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defaultThemeVersion="166925"/>
  <xr:revisionPtr revIDLastSave="0" documentId="13_ncr:1_{0DF61660-C516-458C-B9F3-8E879FEBD171}" xr6:coauthVersionLast="47" xr6:coauthVersionMax="47" xr10:uidLastSave="{00000000-0000-0000-0000-000000000000}"/>
  <bookViews>
    <workbookView xWindow="-110" yWindow="-110" windowWidth="19420" windowHeight="10300" tabRatio="824" xr2:uid="{91793F75-9DF7-40F4-B312-7EC0218BAD79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" sheetId="50" state="hidden" r:id="rId11"/>
    <sheet name="Dist Cust Factors" sheetId="51" state="hidden" r:id="rId12"/>
    <sheet name="Total Allocation by Rate Zone" sheetId="52" r:id="rId13"/>
    <sheet name="Rate Zone Allocation - Dist" sheetId="61" r:id="rId14"/>
    <sheet name="Rate Zone Allocation - Gas Cost" sheetId="60" r:id="rId15"/>
    <sheet name="Rate Zone Allocation Factors" sheetId="53" r:id="rId16"/>
    <sheet name="Total Allocation - N" sheetId="54" r:id="rId17"/>
    <sheet name="Allocation - N Dist" sheetId="63" r:id="rId18"/>
    <sheet name="Allocation - N Gas" sheetId="62" r:id="rId19"/>
    <sheet name="Allocation Factors - N" sheetId="55" r:id="rId20"/>
    <sheet name="Total Allocation - C" sheetId="68" r:id="rId21"/>
    <sheet name="Allocation - C Dist" sheetId="71" r:id="rId22"/>
    <sheet name="Allocation - C Gas" sheetId="70" r:id="rId23"/>
    <sheet name="Allocation Factors - C" sheetId="69" r:id="rId24"/>
    <sheet name="Total Allocation - S" sheetId="72" r:id="rId25"/>
    <sheet name="Allocation - S Dist" sheetId="75" r:id="rId26"/>
    <sheet name="Allocation - S Gas" sheetId="74" r:id="rId27"/>
    <sheet name="Allocation Factors - S" sheetId="73" r:id="rId28"/>
    <sheet name="Total Allocation -Ex" sheetId="58" r:id="rId29"/>
    <sheet name="Total Allocation - Ex Dist" sheetId="67" r:id="rId30"/>
    <sheet name="Total Allocation - Ex Gas" sheetId="66" r:id="rId31"/>
    <sheet name="Allocation Factors - Ex" sheetId="59" r:id="rId32"/>
    <sheet name="Distribution - One Rate Zone" sheetId="76" r:id="rId33"/>
    <sheet name="Distribution One Rate Zone Dist" sheetId="79" r:id="rId34"/>
    <sheet name="Distribution One Rate Zone Gas" sheetId="78" r:id="rId35"/>
    <sheet name="Distribution Allocation Factors" sheetId="77" r:id="rId36"/>
  </sheets>
  <definedNames>
    <definedName name="_xlnm.Print_Area" localSheetId="10">'Dist Cust Class'!$B$5:$X$106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Factors'!$A$1:$M$118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7">'Trans Factors'!$A$1:$T$85</definedName>
    <definedName name="_xlnm.Print_Area" localSheetId="6">'Transmission Class'!$A$2:$AF$182</definedName>
    <definedName name="_xlnm.Print_Titles" localSheetId="0">Function!$10:$13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50" l="1"/>
  <c r="H159" i="50"/>
  <c r="H151" i="50"/>
  <c r="T95" i="50"/>
  <c r="R95" i="50"/>
  <c r="P95" i="50"/>
  <c r="L95" i="50"/>
  <c r="H95" i="50"/>
  <c r="H54" i="52" l="1"/>
  <c r="O124" i="4"/>
  <c r="O40" i="13"/>
  <c r="O30" i="13" l="1"/>
  <c r="O29" i="13"/>
  <c r="O28" i="13"/>
  <c r="O27" i="13"/>
  <c r="O26" i="13"/>
  <c r="O25" i="13"/>
  <c r="O24" i="13"/>
  <c r="O23" i="13"/>
  <c r="O22" i="13"/>
  <c r="O21" i="13"/>
  <c r="O20" i="13"/>
  <c r="O19" i="13"/>
  <c r="O18" i="13"/>
  <c r="O3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5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77" i="13"/>
  <c r="O88" i="13"/>
  <c r="O87" i="13"/>
  <c r="O86" i="13"/>
  <c r="O85" i="13"/>
  <c r="O84" i="13"/>
  <c r="O103" i="13"/>
  <c r="O102" i="13"/>
  <c r="O109" i="13"/>
  <c r="O108" i="13"/>
  <c r="O176" i="13"/>
  <c r="O175" i="13"/>
  <c r="O174" i="13"/>
  <c r="O173" i="13"/>
  <c r="O172" i="13"/>
  <c r="O171" i="13"/>
  <c r="O170" i="13"/>
  <c r="O160" i="13"/>
  <c r="O159" i="13"/>
  <c r="O157" i="13"/>
  <c r="O156" i="13"/>
  <c r="O155" i="13"/>
  <c r="O154" i="13"/>
  <c r="O153" i="13"/>
  <c r="O152" i="13"/>
  <c r="O151" i="13"/>
  <c r="O149" i="13"/>
  <c r="O148" i="13"/>
  <c r="O147" i="13"/>
  <c r="O145" i="13"/>
  <c r="O143" i="13"/>
  <c r="O142" i="13"/>
  <c r="O141" i="13"/>
  <c r="O140" i="13"/>
  <c r="O139" i="13"/>
  <c r="O138" i="13"/>
  <c r="O136" i="13"/>
  <c r="O135" i="13"/>
  <c r="O134" i="13"/>
  <c r="O133" i="13"/>
  <c r="O131" i="13"/>
  <c r="O130" i="13"/>
  <c r="O129" i="13"/>
  <c r="O128" i="13"/>
  <c r="O127" i="13"/>
  <c r="O126" i="13"/>
  <c r="O125" i="13"/>
  <c r="O124" i="13"/>
  <c r="O117" i="13"/>
  <c r="O118" i="13"/>
  <c r="O119" i="13"/>
  <c r="O120" i="13"/>
  <c r="O121" i="13"/>
  <c r="O122" i="13"/>
  <c r="O116" i="13"/>
  <c r="O159" i="4" l="1"/>
  <c r="O176" i="4"/>
  <c r="O175" i="4"/>
  <c r="O174" i="4"/>
  <c r="O173" i="4"/>
  <c r="O172" i="4"/>
  <c r="O171" i="4"/>
  <c r="O170" i="4"/>
  <c r="O160" i="4"/>
  <c r="O157" i="4"/>
  <c r="O156" i="4"/>
  <c r="O155" i="4"/>
  <c r="O154" i="4"/>
  <c r="O153" i="4"/>
  <c r="O152" i="4"/>
  <c r="O151" i="4"/>
  <c r="O149" i="4"/>
  <c r="O148" i="4"/>
  <c r="O147" i="4"/>
  <c r="O145" i="4"/>
  <c r="O143" i="4"/>
  <c r="O142" i="4"/>
  <c r="O141" i="4"/>
  <c r="O140" i="4"/>
  <c r="O139" i="4"/>
  <c r="O138" i="4"/>
  <c r="O136" i="4"/>
  <c r="O135" i="4"/>
  <c r="O134" i="4"/>
  <c r="O133" i="4"/>
  <c r="O131" i="4"/>
  <c r="O130" i="4"/>
  <c r="O129" i="4"/>
  <c r="O128" i="4"/>
  <c r="O127" i="4"/>
  <c r="O126" i="4"/>
  <c r="O125" i="4"/>
  <c r="O122" i="4"/>
  <c r="O121" i="4"/>
  <c r="O120" i="4"/>
  <c r="O119" i="4"/>
  <c r="O118" i="4"/>
  <c r="O117" i="4"/>
  <c r="O116" i="4"/>
  <c r="O109" i="4"/>
  <c r="O108" i="4"/>
  <c r="O103" i="4"/>
  <c r="O102" i="4"/>
  <c r="O88" i="4"/>
  <c r="O87" i="4"/>
  <c r="O86" i="4"/>
  <c r="O85" i="4"/>
  <c r="O84" i="4"/>
  <c r="O77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55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3" i="4"/>
  <c r="O19" i="4"/>
  <c r="O20" i="4"/>
  <c r="O21" i="4"/>
  <c r="O22" i="4"/>
  <c r="O23" i="4"/>
  <c r="O24" i="4"/>
  <c r="O25" i="4"/>
  <c r="O26" i="4"/>
  <c r="O27" i="4"/>
  <c r="O28" i="4"/>
  <c r="O29" i="4"/>
  <c r="O30" i="4"/>
  <c r="O18" i="4"/>
  <c r="K176" i="4" l="1"/>
  <c r="K175" i="4"/>
  <c r="K174" i="4"/>
  <c r="K173" i="4"/>
  <c r="K172" i="4"/>
  <c r="K171" i="4"/>
  <c r="K170" i="4"/>
  <c r="K160" i="4"/>
  <c r="K159" i="4"/>
  <c r="K157" i="4"/>
  <c r="K156" i="4"/>
  <c r="K155" i="4"/>
  <c r="K154" i="4"/>
  <c r="K153" i="4"/>
  <c r="K152" i="4"/>
  <c r="K151" i="4"/>
  <c r="K149" i="4"/>
  <c r="K148" i="4"/>
  <c r="K147" i="4"/>
  <c r="K145" i="4"/>
  <c r="K143" i="4"/>
  <c r="K142" i="4"/>
  <c r="K141" i="4"/>
  <c r="K140" i="4"/>
  <c r="K139" i="4"/>
  <c r="K138" i="4"/>
  <c r="K136" i="4"/>
  <c r="K135" i="4"/>
  <c r="K134" i="4"/>
  <c r="K133" i="4"/>
  <c r="K131" i="4"/>
  <c r="K130" i="4"/>
  <c r="K129" i="4"/>
  <c r="K128" i="4"/>
  <c r="K127" i="4"/>
  <c r="K126" i="4"/>
  <c r="K125" i="4"/>
  <c r="K124" i="4"/>
  <c r="K122" i="4"/>
  <c r="K121" i="4"/>
  <c r="K120" i="4"/>
  <c r="K119" i="4"/>
  <c r="K118" i="4"/>
  <c r="K117" i="4"/>
  <c r="K116" i="4"/>
  <c r="K109" i="4"/>
  <c r="K108" i="4"/>
  <c r="K103" i="4"/>
  <c r="K102" i="4"/>
  <c r="K88" i="4"/>
  <c r="K87" i="4"/>
  <c r="K86" i="4"/>
  <c r="K85" i="4"/>
  <c r="K84" i="4"/>
  <c r="K77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55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3" i="4"/>
  <c r="K20" i="4"/>
  <c r="K21" i="4"/>
  <c r="K22" i="4"/>
  <c r="K23" i="4"/>
  <c r="K24" i="4"/>
  <c r="K25" i="4"/>
  <c r="K26" i="4"/>
  <c r="K27" i="4"/>
  <c r="K28" i="4"/>
  <c r="K29" i="4"/>
  <c r="K30" i="4"/>
  <c r="K18" i="4"/>
  <c r="K19" i="4"/>
  <c r="F38" i="62" l="1"/>
  <c r="J28" i="51"/>
  <c r="H28" i="51"/>
  <c r="F28" i="51"/>
  <c r="J16" i="51"/>
  <c r="H16" i="51"/>
  <c r="F16" i="51"/>
  <c r="A27" i="51"/>
  <c r="A28" i="51" s="1"/>
  <c r="A24" i="51"/>
  <c r="A25" i="51" s="1"/>
  <c r="A21" i="51"/>
  <c r="A22" i="51" s="1"/>
  <c r="A18" i="51"/>
  <c r="A19" i="51" s="1"/>
  <c r="A16" i="51"/>
  <c r="A15" i="51"/>
  <c r="A13" i="51"/>
  <c r="F38" i="58"/>
  <c r="F38" i="72"/>
  <c r="F25" i="72"/>
  <c r="F38" i="68"/>
  <c r="F25" i="68"/>
  <c r="F18" i="68"/>
  <c r="F38" i="54"/>
  <c r="F25" i="54"/>
  <c r="F18" i="54"/>
  <c r="F35" i="1" l="1"/>
  <c r="O176" i="1" l="1"/>
  <c r="O175" i="1"/>
  <c r="O174" i="1"/>
  <c r="O173" i="1"/>
  <c r="O172" i="1"/>
  <c r="O171" i="1"/>
  <c r="O170" i="1"/>
  <c r="O160" i="1"/>
  <c r="O159" i="1"/>
  <c r="O157" i="1"/>
  <c r="O156" i="1"/>
  <c r="O155" i="1"/>
  <c r="O154" i="1"/>
  <c r="O153" i="1"/>
  <c r="O152" i="1"/>
  <c r="O151" i="1"/>
  <c r="O149" i="1"/>
  <c r="O148" i="1"/>
  <c r="O147" i="1"/>
  <c r="O145" i="1"/>
  <c r="O143" i="1"/>
  <c r="O142" i="1"/>
  <c r="O141" i="1"/>
  <c r="O140" i="1"/>
  <c r="O139" i="1"/>
  <c r="O138" i="1"/>
  <c r="O136" i="1"/>
  <c r="O135" i="1"/>
  <c r="O134" i="1"/>
  <c r="O133" i="1"/>
  <c r="O131" i="1"/>
  <c r="O130" i="1"/>
  <c r="O129" i="1"/>
  <c r="O128" i="1"/>
  <c r="O127" i="1"/>
  <c r="O126" i="1"/>
  <c r="O125" i="1"/>
  <c r="O124" i="1"/>
  <c r="O122" i="1"/>
  <c r="O121" i="1"/>
  <c r="O120" i="1"/>
  <c r="O119" i="1"/>
  <c r="O118" i="1"/>
  <c r="O117" i="1"/>
  <c r="O116" i="1"/>
  <c r="O109" i="1"/>
  <c r="O108" i="1"/>
  <c r="O103" i="1"/>
  <c r="O102" i="1"/>
  <c r="O88" i="1"/>
  <c r="O87" i="1"/>
  <c r="O86" i="1"/>
  <c r="O85" i="1"/>
  <c r="O84" i="1"/>
  <c r="O77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55" i="1"/>
  <c r="O52" i="1"/>
  <c r="K176" i="1"/>
  <c r="K175" i="1"/>
  <c r="K174" i="1"/>
  <c r="K173" i="1"/>
  <c r="K172" i="1"/>
  <c r="K171" i="1"/>
  <c r="K170" i="1"/>
  <c r="K160" i="1"/>
  <c r="K159" i="1"/>
  <c r="K157" i="1"/>
  <c r="K156" i="1"/>
  <c r="K155" i="1"/>
  <c r="K154" i="1"/>
  <c r="K153" i="1"/>
  <c r="K152" i="1"/>
  <c r="K151" i="1"/>
  <c r="K149" i="1"/>
  <c r="K148" i="1"/>
  <c r="K147" i="1"/>
  <c r="K145" i="1"/>
  <c r="K143" i="1"/>
  <c r="K142" i="1"/>
  <c r="K141" i="1"/>
  <c r="K140" i="1"/>
  <c r="K139" i="1"/>
  <c r="K138" i="1"/>
  <c r="K136" i="1"/>
  <c r="K135" i="1"/>
  <c r="K134" i="1"/>
  <c r="K133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09" i="1"/>
  <c r="K108" i="1"/>
  <c r="K103" i="1"/>
  <c r="K102" i="1"/>
  <c r="K88" i="1"/>
  <c r="K87" i="1"/>
  <c r="K86" i="1"/>
  <c r="K85" i="1"/>
  <c r="K84" i="1"/>
  <c r="K77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55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3" i="1"/>
  <c r="K19" i="1"/>
  <c r="K20" i="1"/>
  <c r="K21" i="1"/>
  <c r="K22" i="1"/>
  <c r="K23" i="1"/>
  <c r="K24" i="1"/>
  <c r="K25" i="1"/>
  <c r="K26" i="1"/>
  <c r="K27" i="1"/>
  <c r="K28" i="1"/>
  <c r="K29" i="1"/>
  <c r="K30" i="1"/>
  <c r="K18" i="1"/>
  <c r="O41" i="1"/>
  <c r="O42" i="1"/>
  <c r="O43" i="1"/>
  <c r="O44" i="1"/>
  <c r="O45" i="1"/>
  <c r="O46" i="1"/>
  <c r="O47" i="1"/>
  <c r="O48" i="1"/>
  <c r="O49" i="1"/>
  <c r="O50" i="1"/>
  <c r="O51" i="1"/>
  <c r="O40" i="1"/>
  <c r="O33" i="1"/>
  <c r="O19" i="1"/>
  <c r="O20" i="1"/>
  <c r="O21" i="1"/>
  <c r="O22" i="1"/>
  <c r="O23" i="1"/>
  <c r="O24" i="1"/>
  <c r="O25" i="1"/>
  <c r="O26" i="1"/>
  <c r="O27" i="1"/>
  <c r="O28" i="1"/>
  <c r="O29" i="1"/>
  <c r="O30" i="1"/>
  <c r="O18" i="1"/>
  <c r="D58" i="73" l="1"/>
  <c r="D52" i="73"/>
  <c r="S53" i="73" s="1"/>
  <c r="D49" i="73"/>
  <c r="D46" i="73"/>
  <c r="P47" i="73" s="1"/>
  <c r="D43" i="73"/>
  <c r="N44" i="73" s="1"/>
  <c r="D37" i="73"/>
  <c r="D34" i="73"/>
  <c r="D31" i="73"/>
  <c r="U32" i="73" s="1"/>
  <c r="D28" i="73"/>
  <c r="U29" i="73" s="1"/>
  <c r="D25" i="73"/>
  <c r="D16" i="73"/>
  <c r="D64" i="73"/>
  <c r="S65" i="73" s="1"/>
  <c r="D22" i="73"/>
  <c r="O23" i="73" s="1"/>
  <c r="D19" i="73"/>
  <c r="U20" i="73" s="1"/>
  <c r="A16" i="73"/>
  <c r="A17" i="73" s="1"/>
  <c r="A19" i="73" s="1"/>
  <c r="A20" i="73" s="1"/>
  <c r="A22" i="73" s="1"/>
  <c r="A23" i="73" s="1"/>
  <c r="A25" i="73" s="1"/>
  <c r="A26" i="73" s="1"/>
  <c r="A28" i="73" s="1"/>
  <c r="A29" i="73" s="1"/>
  <c r="A31" i="73" s="1"/>
  <c r="A32" i="73" s="1"/>
  <c r="A34" i="73" s="1"/>
  <c r="A35" i="73" s="1"/>
  <c r="A37" i="73" s="1"/>
  <c r="A38" i="73" s="1"/>
  <c r="A40" i="73" s="1"/>
  <c r="A41" i="73" s="1"/>
  <c r="A43" i="73" s="1"/>
  <c r="A44" i="73" s="1"/>
  <c r="A46" i="73" s="1"/>
  <c r="A47" i="73" s="1"/>
  <c r="A49" i="73" s="1"/>
  <c r="A50" i="73" s="1"/>
  <c r="A52" i="73" s="1"/>
  <c r="A53" i="73" s="1"/>
  <c r="A55" i="73" s="1"/>
  <c r="A56" i="73" s="1"/>
  <c r="A58" i="73" s="1"/>
  <c r="A59" i="73" s="1"/>
  <c r="A61" i="73" s="1"/>
  <c r="A62" i="73" s="1"/>
  <c r="A64" i="73" s="1"/>
  <c r="A65" i="73" s="1"/>
  <c r="A67" i="73" s="1"/>
  <c r="A68" i="73" s="1"/>
  <c r="A14" i="73"/>
  <c r="D67" i="69"/>
  <c r="N68" i="69" s="1"/>
  <c r="D64" i="69"/>
  <c r="N65" i="69" s="1"/>
  <c r="D52" i="69"/>
  <c r="D46" i="69"/>
  <c r="D43" i="69"/>
  <c r="O44" i="69" s="1"/>
  <c r="O38" i="69"/>
  <c r="L38" i="69"/>
  <c r="D37" i="69"/>
  <c r="T38" i="69" s="1"/>
  <c r="D31" i="69"/>
  <c r="O32" i="69" s="1"/>
  <c r="D19" i="69"/>
  <c r="D49" i="69"/>
  <c r="N50" i="69" s="1"/>
  <c r="A14" i="69"/>
  <c r="A16" i="69" s="1"/>
  <c r="A17" i="69" s="1"/>
  <c r="A19" i="69" s="1"/>
  <c r="A20" i="69" s="1"/>
  <c r="A22" i="69" s="1"/>
  <c r="A23" i="69" s="1"/>
  <c r="A25" i="69" s="1"/>
  <c r="A26" i="69" s="1"/>
  <c r="A28" i="69" s="1"/>
  <c r="A29" i="69" s="1"/>
  <c r="A31" i="69" s="1"/>
  <c r="A32" i="69" s="1"/>
  <c r="A34" i="69" s="1"/>
  <c r="A35" i="69" s="1"/>
  <c r="A37" i="69" s="1"/>
  <c r="A38" i="69" s="1"/>
  <c r="A40" i="69" s="1"/>
  <c r="A41" i="69" s="1"/>
  <c r="A43" i="69" s="1"/>
  <c r="A44" i="69" s="1"/>
  <c r="A46" i="69" s="1"/>
  <c r="A47" i="69" s="1"/>
  <c r="A49" i="69" s="1"/>
  <c r="A50" i="69" s="1"/>
  <c r="A52" i="69" s="1"/>
  <c r="A53" i="69" s="1"/>
  <c r="A55" i="69" s="1"/>
  <c r="A56" i="69" s="1"/>
  <c r="A58" i="69" s="1"/>
  <c r="A59" i="69" s="1"/>
  <c r="A61" i="69" s="1"/>
  <c r="A62" i="69" s="1"/>
  <c r="A64" i="69" s="1"/>
  <c r="A65" i="69" s="1"/>
  <c r="A67" i="69" s="1"/>
  <c r="A68" i="69" s="1"/>
  <c r="D67" i="55"/>
  <c r="O65" i="55"/>
  <c r="N65" i="55"/>
  <c r="D64" i="55"/>
  <c r="D61" i="55"/>
  <c r="D58" i="55"/>
  <c r="O59" i="55" s="1"/>
  <c r="D52" i="55"/>
  <c r="N53" i="55" s="1"/>
  <c r="U50" i="55"/>
  <c r="T50" i="55"/>
  <c r="P50" i="55"/>
  <c r="O50" i="55"/>
  <c r="D43" i="55"/>
  <c r="D37" i="55"/>
  <c r="D34" i="55"/>
  <c r="O35" i="55" s="1"/>
  <c r="D31" i="55"/>
  <c r="N32" i="55" s="1"/>
  <c r="N26" i="55"/>
  <c r="D22" i="55"/>
  <c r="O23" i="55" s="1"/>
  <c r="N20" i="55"/>
  <c r="D19" i="55"/>
  <c r="D49" i="55"/>
  <c r="R50" i="55" s="1"/>
  <c r="D46" i="55"/>
  <c r="Q47" i="55" s="1"/>
  <c r="D25" i="55"/>
  <c r="U26" i="55" s="1"/>
  <c r="A52" i="55"/>
  <c r="A50" i="55"/>
  <c r="A49" i="55"/>
  <c r="O37" i="60"/>
  <c r="K37" i="60"/>
  <c r="O37" i="61"/>
  <c r="K37" i="61"/>
  <c r="H37" i="61"/>
  <c r="F37" i="75"/>
  <c r="F37" i="71"/>
  <c r="F37" i="63"/>
  <c r="F38" i="66"/>
  <c r="F37" i="67"/>
  <c r="A59" i="52"/>
  <c r="O37" i="52"/>
  <c r="K37" i="52"/>
  <c r="D19" i="53"/>
  <c r="F20" i="53" s="1"/>
  <c r="P17" i="14"/>
  <c r="N17" i="14"/>
  <c r="L17" i="14"/>
  <c r="J17" i="14"/>
  <c r="H17" i="14"/>
  <c r="F17" i="14"/>
  <c r="P14" i="14"/>
  <c r="N14" i="14"/>
  <c r="L14" i="14"/>
  <c r="J14" i="14"/>
  <c r="H14" i="14"/>
  <c r="F14" i="14"/>
  <c r="Z47" i="77"/>
  <c r="Y47" i="77"/>
  <c r="X47" i="77"/>
  <c r="W47" i="77"/>
  <c r="V47" i="77"/>
  <c r="U47" i="77"/>
  <c r="T47" i="77"/>
  <c r="S47" i="77"/>
  <c r="R47" i="77"/>
  <c r="Q47" i="77"/>
  <c r="P47" i="77"/>
  <c r="O47" i="77"/>
  <c r="N47" i="77"/>
  <c r="M47" i="77"/>
  <c r="L47" i="77"/>
  <c r="K47" i="77"/>
  <c r="J47" i="77"/>
  <c r="I47" i="77"/>
  <c r="H47" i="77"/>
  <c r="G47" i="77"/>
  <c r="F47" i="77"/>
  <c r="Z44" i="77"/>
  <c r="Y44" i="77"/>
  <c r="X44" i="77"/>
  <c r="W44" i="77"/>
  <c r="V44" i="77"/>
  <c r="U44" i="77"/>
  <c r="T44" i="77"/>
  <c r="S44" i="77"/>
  <c r="R44" i="77"/>
  <c r="Q44" i="77"/>
  <c r="P44" i="77"/>
  <c r="O44" i="77"/>
  <c r="N44" i="77"/>
  <c r="M44" i="77"/>
  <c r="L44" i="77"/>
  <c r="K44" i="77"/>
  <c r="J44" i="77"/>
  <c r="I44" i="77"/>
  <c r="H44" i="77"/>
  <c r="G44" i="77"/>
  <c r="F44" i="77"/>
  <c r="Z41" i="77"/>
  <c r="Y41" i="77"/>
  <c r="X41" i="77"/>
  <c r="W41" i="77"/>
  <c r="V41" i="77"/>
  <c r="U41" i="77"/>
  <c r="T41" i="77"/>
  <c r="S41" i="77"/>
  <c r="R41" i="77"/>
  <c r="Q41" i="77"/>
  <c r="P41" i="77"/>
  <c r="O41" i="77"/>
  <c r="N41" i="77"/>
  <c r="M41" i="77"/>
  <c r="L41" i="77"/>
  <c r="K41" i="77"/>
  <c r="J41" i="77"/>
  <c r="I41" i="77"/>
  <c r="H41" i="77"/>
  <c r="G41" i="77"/>
  <c r="F41" i="77"/>
  <c r="Z38" i="77"/>
  <c r="Y38" i="77"/>
  <c r="X38" i="77"/>
  <c r="W38" i="77"/>
  <c r="V38" i="77"/>
  <c r="U38" i="77"/>
  <c r="T38" i="77"/>
  <c r="S38" i="77"/>
  <c r="R38" i="77"/>
  <c r="Q38" i="77"/>
  <c r="P38" i="77"/>
  <c r="O38" i="77"/>
  <c r="N38" i="77"/>
  <c r="M38" i="77"/>
  <c r="L38" i="77"/>
  <c r="K38" i="77"/>
  <c r="J38" i="77"/>
  <c r="I38" i="77"/>
  <c r="H38" i="77"/>
  <c r="G38" i="77"/>
  <c r="F38" i="77"/>
  <c r="Z35" i="77"/>
  <c r="Y35" i="77"/>
  <c r="X35" i="77"/>
  <c r="W35" i="77"/>
  <c r="V35" i="77"/>
  <c r="U35" i="77"/>
  <c r="T35" i="77"/>
  <c r="S35" i="77"/>
  <c r="R35" i="77"/>
  <c r="Q35" i="77"/>
  <c r="P35" i="77"/>
  <c r="O35" i="77"/>
  <c r="N35" i="77"/>
  <c r="M35" i="77"/>
  <c r="L35" i="77"/>
  <c r="K35" i="77"/>
  <c r="J35" i="77"/>
  <c r="I35" i="77"/>
  <c r="H35" i="77"/>
  <c r="G35" i="77"/>
  <c r="F35" i="77"/>
  <c r="Z32" i="77"/>
  <c r="Y32" i="77"/>
  <c r="X32" i="77"/>
  <c r="W32" i="77"/>
  <c r="V32" i="77"/>
  <c r="U32" i="77"/>
  <c r="T32" i="77"/>
  <c r="S32" i="77"/>
  <c r="R32" i="77"/>
  <c r="Q32" i="77"/>
  <c r="P32" i="77"/>
  <c r="O32" i="77"/>
  <c r="N32" i="77"/>
  <c r="M32" i="77"/>
  <c r="L32" i="77"/>
  <c r="K32" i="77"/>
  <c r="J32" i="77"/>
  <c r="I32" i="77"/>
  <c r="H32" i="77"/>
  <c r="G32" i="77"/>
  <c r="F32" i="77"/>
  <c r="Z29" i="77"/>
  <c r="Y29" i="77"/>
  <c r="X29" i="77"/>
  <c r="W29" i="77"/>
  <c r="V29" i="77"/>
  <c r="U29" i="77"/>
  <c r="T29" i="77"/>
  <c r="S29" i="77"/>
  <c r="R29" i="77"/>
  <c r="Q29" i="77"/>
  <c r="P29" i="77"/>
  <c r="O29" i="77"/>
  <c r="N29" i="77"/>
  <c r="M29" i="77"/>
  <c r="L29" i="77"/>
  <c r="K29" i="77"/>
  <c r="J29" i="77"/>
  <c r="I29" i="77"/>
  <c r="H29" i="77"/>
  <c r="G29" i="77"/>
  <c r="F29" i="77"/>
  <c r="Z26" i="77"/>
  <c r="Y26" i="77"/>
  <c r="X26" i="77"/>
  <c r="W26" i="77"/>
  <c r="V26" i="77"/>
  <c r="U26" i="77"/>
  <c r="T26" i="77"/>
  <c r="S26" i="77"/>
  <c r="R26" i="77"/>
  <c r="Q26" i="77"/>
  <c r="P26" i="77"/>
  <c r="O26" i="77"/>
  <c r="N26" i="77"/>
  <c r="M26" i="77"/>
  <c r="L26" i="77"/>
  <c r="K26" i="77"/>
  <c r="J26" i="77"/>
  <c r="I26" i="77"/>
  <c r="H26" i="77"/>
  <c r="G26" i="77"/>
  <c r="F26" i="77"/>
  <c r="Z23" i="77"/>
  <c r="Y23" i="77"/>
  <c r="X23" i="77"/>
  <c r="W23" i="77"/>
  <c r="V23" i="77"/>
  <c r="U23" i="77"/>
  <c r="T23" i="77"/>
  <c r="S23" i="77"/>
  <c r="R23" i="77"/>
  <c r="Q23" i="77"/>
  <c r="P23" i="77"/>
  <c r="O23" i="77"/>
  <c r="N23" i="77"/>
  <c r="M23" i="77"/>
  <c r="L23" i="77"/>
  <c r="K23" i="77"/>
  <c r="J23" i="77"/>
  <c r="I23" i="77"/>
  <c r="H23" i="77"/>
  <c r="G23" i="77"/>
  <c r="F23" i="77"/>
  <c r="Z20" i="77"/>
  <c r="Y20" i="77"/>
  <c r="X20" i="77"/>
  <c r="W20" i="77"/>
  <c r="V20" i="77"/>
  <c r="U20" i="77"/>
  <c r="T20" i="77"/>
  <c r="S20" i="77"/>
  <c r="R20" i="77"/>
  <c r="Q20" i="77"/>
  <c r="P20" i="77"/>
  <c r="O20" i="77"/>
  <c r="N20" i="77"/>
  <c r="M20" i="77"/>
  <c r="L20" i="77"/>
  <c r="K20" i="77"/>
  <c r="J20" i="77"/>
  <c r="I20" i="77"/>
  <c r="H20" i="77"/>
  <c r="G20" i="77"/>
  <c r="F20" i="77"/>
  <c r="Z17" i="77"/>
  <c r="Y17" i="77"/>
  <c r="X17" i="77"/>
  <c r="W17" i="77"/>
  <c r="V17" i="77"/>
  <c r="U17" i="77"/>
  <c r="T17" i="77"/>
  <c r="S17" i="77"/>
  <c r="R17" i="77"/>
  <c r="Q17" i="77"/>
  <c r="P17" i="77"/>
  <c r="O17" i="77"/>
  <c r="N17" i="77"/>
  <c r="M17" i="77"/>
  <c r="L17" i="77"/>
  <c r="K17" i="77"/>
  <c r="J17" i="77"/>
  <c r="I17" i="77"/>
  <c r="H17" i="77"/>
  <c r="G17" i="77"/>
  <c r="F17" i="77"/>
  <c r="G14" i="77"/>
  <c r="H14" i="77"/>
  <c r="I14" i="77"/>
  <c r="J14" i="77"/>
  <c r="K14" i="77"/>
  <c r="L14" i="77"/>
  <c r="M14" i="77"/>
  <c r="N14" i="77"/>
  <c r="O14" i="77"/>
  <c r="P14" i="77"/>
  <c r="Q14" i="77"/>
  <c r="R14" i="77"/>
  <c r="S14" i="77"/>
  <c r="T14" i="77"/>
  <c r="U14" i="77"/>
  <c r="V14" i="77"/>
  <c r="W14" i="77"/>
  <c r="X14" i="77"/>
  <c r="Y14" i="77"/>
  <c r="Z14" i="77"/>
  <c r="F14" i="77"/>
  <c r="J68" i="59"/>
  <c r="I68" i="59"/>
  <c r="H68" i="59"/>
  <c r="G68" i="59"/>
  <c r="F68" i="59"/>
  <c r="J65" i="59"/>
  <c r="I65" i="59"/>
  <c r="H65" i="59"/>
  <c r="G65" i="59"/>
  <c r="F65" i="59"/>
  <c r="J62" i="59"/>
  <c r="I62" i="59"/>
  <c r="H62" i="59"/>
  <c r="G62" i="59"/>
  <c r="F62" i="59"/>
  <c r="J59" i="59"/>
  <c r="I59" i="59"/>
  <c r="H59" i="59"/>
  <c r="G59" i="59"/>
  <c r="F59" i="59"/>
  <c r="J56" i="59"/>
  <c r="I56" i="59"/>
  <c r="H56" i="59"/>
  <c r="G56" i="59"/>
  <c r="F56" i="59"/>
  <c r="J53" i="59"/>
  <c r="I53" i="59"/>
  <c r="H53" i="59"/>
  <c r="G53" i="59"/>
  <c r="F53" i="59"/>
  <c r="J50" i="59"/>
  <c r="I50" i="59"/>
  <c r="H50" i="59"/>
  <c r="G50" i="59"/>
  <c r="F50" i="59"/>
  <c r="J47" i="59"/>
  <c r="I47" i="59"/>
  <c r="H47" i="59"/>
  <c r="G47" i="59"/>
  <c r="F47" i="59"/>
  <c r="J44" i="59"/>
  <c r="I44" i="59"/>
  <c r="H44" i="59"/>
  <c r="G44" i="59"/>
  <c r="F44" i="59"/>
  <c r="J41" i="59"/>
  <c r="I41" i="59"/>
  <c r="H41" i="59"/>
  <c r="G41" i="59"/>
  <c r="F41" i="59"/>
  <c r="J38" i="59"/>
  <c r="I38" i="59"/>
  <c r="H38" i="59"/>
  <c r="G38" i="59"/>
  <c r="F38" i="59"/>
  <c r="J35" i="59"/>
  <c r="I35" i="59"/>
  <c r="H35" i="59"/>
  <c r="G35" i="59"/>
  <c r="F35" i="59"/>
  <c r="J32" i="59"/>
  <c r="I32" i="59"/>
  <c r="H32" i="59"/>
  <c r="G32" i="59"/>
  <c r="F32" i="59"/>
  <c r="J29" i="59"/>
  <c r="I29" i="59"/>
  <c r="H29" i="59"/>
  <c r="G29" i="59"/>
  <c r="F29" i="59"/>
  <c r="J26" i="59"/>
  <c r="I26" i="59"/>
  <c r="H26" i="59"/>
  <c r="G26" i="59"/>
  <c r="F26" i="59"/>
  <c r="J23" i="59"/>
  <c r="I23" i="59"/>
  <c r="H23" i="59"/>
  <c r="G23" i="59"/>
  <c r="F23" i="59"/>
  <c r="J20" i="59"/>
  <c r="I20" i="59"/>
  <c r="H20" i="59"/>
  <c r="G20" i="59"/>
  <c r="F20" i="59"/>
  <c r="J17" i="59"/>
  <c r="I17" i="59"/>
  <c r="H17" i="59"/>
  <c r="G17" i="59"/>
  <c r="F17" i="59"/>
  <c r="J14" i="59"/>
  <c r="I14" i="59"/>
  <c r="H14" i="59"/>
  <c r="G14" i="59"/>
  <c r="F14" i="59"/>
  <c r="D64" i="53"/>
  <c r="H65" i="53" s="1"/>
  <c r="D61" i="53"/>
  <c r="L62" i="53" s="1"/>
  <c r="D46" i="53"/>
  <c r="F47" i="53" s="1"/>
  <c r="J47" i="10"/>
  <c r="H47" i="10"/>
  <c r="D67" i="73" l="1"/>
  <c r="O68" i="73" s="1"/>
  <c r="T29" i="73"/>
  <c r="D55" i="73"/>
  <c r="U56" i="73" s="1"/>
  <c r="O65" i="73"/>
  <c r="D61" i="73"/>
  <c r="Q62" i="73" s="1"/>
  <c r="P23" i="73"/>
  <c r="Q23" i="73"/>
  <c r="L65" i="73"/>
  <c r="M65" i="73"/>
  <c r="T65" i="73"/>
  <c r="U65" i="73"/>
  <c r="O59" i="73"/>
  <c r="F59" i="73"/>
  <c r="K59" i="73"/>
  <c r="G59" i="73"/>
  <c r="S59" i="73"/>
  <c r="Q59" i="73"/>
  <c r="P59" i="73"/>
  <c r="Q50" i="73"/>
  <c r="U50" i="73"/>
  <c r="S50" i="73"/>
  <c r="R50" i="73"/>
  <c r="M50" i="73"/>
  <c r="K50" i="73"/>
  <c r="H50" i="73"/>
  <c r="K47" i="73"/>
  <c r="O47" i="73"/>
  <c r="G47" i="73"/>
  <c r="F47" i="73"/>
  <c r="S47" i="73"/>
  <c r="Q47" i="73"/>
  <c r="U44" i="73"/>
  <c r="G44" i="73"/>
  <c r="O44" i="73"/>
  <c r="Q44" i="73"/>
  <c r="D40" i="73"/>
  <c r="S41" i="73" s="1"/>
  <c r="S38" i="73"/>
  <c r="Q38" i="73"/>
  <c r="H38" i="73"/>
  <c r="R38" i="73"/>
  <c r="K38" i="73"/>
  <c r="M38" i="73"/>
  <c r="U38" i="73"/>
  <c r="O35" i="73"/>
  <c r="F35" i="73"/>
  <c r="P35" i="73"/>
  <c r="O29" i="73"/>
  <c r="S29" i="73"/>
  <c r="M29" i="73"/>
  <c r="L29" i="73"/>
  <c r="Q26" i="73"/>
  <c r="S26" i="73"/>
  <c r="R26" i="73"/>
  <c r="M26" i="73"/>
  <c r="K26" i="73"/>
  <c r="U26" i="73"/>
  <c r="H26" i="73"/>
  <c r="F23" i="73"/>
  <c r="S23" i="73"/>
  <c r="G23" i="73"/>
  <c r="K23" i="73"/>
  <c r="Q20" i="73"/>
  <c r="N20" i="73"/>
  <c r="G20" i="73"/>
  <c r="O20" i="73"/>
  <c r="S17" i="73"/>
  <c r="T17" i="73"/>
  <c r="L17" i="73"/>
  <c r="M17" i="73"/>
  <c r="U17" i="73"/>
  <c r="D13" i="73"/>
  <c r="Q14" i="73" s="1"/>
  <c r="O32" i="73"/>
  <c r="G35" i="73"/>
  <c r="Q35" i="73"/>
  <c r="M53" i="73"/>
  <c r="U53" i="73"/>
  <c r="S62" i="73"/>
  <c r="N17" i="73"/>
  <c r="F20" i="73"/>
  <c r="P20" i="73"/>
  <c r="H23" i="73"/>
  <c r="R23" i="73"/>
  <c r="L26" i="73"/>
  <c r="T26" i="73"/>
  <c r="N29" i="73"/>
  <c r="F32" i="73"/>
  <c r="P32" i="73"/>
  <c r="H35" i="73"/>
  <c r="R35" i="73"/>
  <c r="L38" i="73"/>
  <c r="T38" i="73"/>
  <c r="F44" i="73"/>
  <c r="P44" i="73"/>
  <c r="H47" i="73"/>
  <c r="R47" i="73"/>
  <c r="L50" i="73"/>
  <c r="T50" i="73"/>
  <c r="N53" i="73"/>
  <c r="H59" i="73"/>
  <c r="R59" i="73"/>
  <c r="L62" i="73"/>
  <c r="T62" i="73"/>
  <c r="N65" i="73"/>
  <c r="P68" i="73"/>
  <c r="N32" i="73"/>
  <c r="O17" i="73"/>
  <c r="K35" i="73"/>
  <c r="O41" i="73"/>
  <c r="F17" i="73"/>
  <c r="P17" i="73"/>
  <c r="H20" i="73"/>
  <c r="R20" i="73"/>
  <c r="L23" i="73"/>
  <c r="T23" i="73"/>
  <c r="N26" i="73"/>
  <c r="F29" i="73"/>
  <c r="P29" i="73"/>
  <c r="H32" i="73"/>
  <c r="R32" i="73"/>
  <c r="L35" i="73"/>
  <c r="T35" i="73"/>
  <c r="N38" i="73"/>
  <c r="F41" i="73"/>
  <c r="P41" i="73"/>
  <c r="H44" i="73"/>
  <c r="R44" i="73"/>
  <c r="L47" i="73"/>
  <c r="T47" i="73"/>
  <c r="N50" i="73"/>
  <c r="F53" i="73"/>
  <c r="P53" i="73"/>
  <c r="L59" i="73"/>
  <c r="T59" i="73"/>
  <c r="N62" i="73"/>
  <c r="F65" i="73"/>
  <c r="P65" i="73"/>
  <c r="Q32" i="73"/>
  <c r="G17" i="73"/>
  <c r="Q17" i="73"/>
  <c r="K20" i="73"/>
  <c r="S20" i="73"/>
  <c r="M23" i="73"/>
  <c r="U23" i="73"/>
  <c r="O26" i="73"/>
  <c r="G29" i="73"/>
  <c r="Q29" i="73"/>
  <c r="K32" i="73"/>
  <c r="S32" i="73"/>
  <c r="M35" i="73"/>
  <c r="U35" i="73"/>
  <c r="O38" i="73"/>
  <c r="G41" i="73"/>
  <c r="K44" i="73"/>
  <c r="S44" i="73"/>
  <c r="M47" i="73"/>
  <c r="U47" i="73"/>
  <c r="O50" i="73"/>
  <c r="G53" i="73"/>
  <c r="Q53" i="73"/>
  <c r="K56" i="73"/>
  <c r="M59" i="73"/>
  <c r="U59" i="73"/>
  <c r="O62" i="73"/>
  <c r="G65" i="73"/>
  <c r="Q65" i="73"/>
  <c r="K68" i="73"/>
  <c r="T53" i="73"/>
  <c r="G56" i="73"/>
  <c r="H17" i="73"/>
  <c r="R17" i="73"/>
  <c r="L20" i="73"/>
  <c r="T20" i="73"/>
  <c r="N23" i="73"/>
  <c r="F26" i="73"/>
  <c r="P26" i="73"/>
  <c r="H29" i="73"/>
  <c r="R29" i="73"/>
  <c r="L32" i="73"/>
  <c r="T32" i="73"/>
  <c r="N35" i="73"/>
  <c r="F38" i="73"/>
  <c r="P38" i="73"/>
  <c r="L44" i="73"/>
  <c r="T44" i="73"/>
  <c r="N47" i="73"/>
  <c r="F50" i="73"/>
  <c r="P50" i="73"/>
  <c r="H53" i="73"/>
  <c r="R53" i="73"/>
  <c r="L56" i="73"/>
  <c r="T56" i="73"/>
  <c r="N59" i="73"/>
  <c r="F62" i="73"/>
  <c r="P62" i="73"/>
  <c r="H65" i="73"/>
  <c r="R65" i="73"/>
  <c r="L68" i="73"/>
  <c r="L53" i="73"/>
  <c r="G32" i="73"/>
  <c r="S35" i="73"/>
  <c r="O53" i="73"/>
  <c r="M62" i="73"/>
  <c r="U62" i="73"/>
  <c r="K17" i="73"/>
  <c r="M20" i="73"/>
  <c r="G26" i="73"/>
  <c r="K29" i="73"/>
  <c r="M32" i="73"/>
  <c r="G38" i="73"/>
  <c r="K41" i="73"/>
  <c r="M44" i="73"/>
  <c r="G50" i="73"/>
  <c r="K53" i="73"/>
  <c r="M56" i="73"/>
  <c r="K65" i="73"/>
  <c r="N44" i="69"/>
  <c r="O50" i="69"/>
  <c r="O68" i="69"/>
  <c r="K68" i="69"/>
  <c r="U68" i="69"/>
  <c r="M68" i="69"/>
  <c r="T68" i="69"/>
  <c r="L68" i="69"/>
  <c r="S68" i="69"/>
  <c r="R68" i="69"/>
  <c r="H68" i="69"/>
  <c r="P68" i="69"/>
  <c r="F68" i="69"/>
  <c r="Q68" i="69"/>
  <c r="G68" i="69"/>
  <c r="O65" i="69"/>
  <c r="K65" i="69"/>
  <c r="S65" i="69"/>
  <c r="U65" i="69"/>
  <c r="M65" i="69"/>
  <c r="T65" i="69"/>
  <c r="L65" i="69"/>
  <c r="R65" i="69"/>
  <c r="H65" i="69"/>
  <c r="P65" i="69"/>
  <c r="F65" i="69"/>
  <c r="Q65" i="69"/>
  <c r="G65" i="69"/>
  <c r="D61" i="69"/>
  <c r="R62" i="69" s="1"/>
  <c r="D58" i="69"/>
  <c r="D55" i="69"/>
  <c r="Q53" i="69"/>
  <c r="N53" i="69"/>
  <c r="O53" i="69"/>
  <c r="K53" i="69"/>
  <c r="T53" i="69"/>
  <c r="L53" i="69"/>
  <c r="S53" i="69"/>
  <c r="R53" i="69"/>
  <c r="H53" i="69"/>
  <c r="P53" i="69"/>
  <c r="F53" i="69"/>
  <c r="M53" i="69"/>
  <c r="U53" i="69"/>
  <c r="G53" i="69"/>
  <c r="F50" i="69"/>
  <c r="P50" i="69"/>
  <c r="Q50" i="69"/>
  <c r="H50" i="69"/>
  <c r="R50" i="69"/>
  <c r="K50" i="69"/>
  <c r="S50" i="69"/>
  <c r="L50" i="69"/>
  <c r="T50" i="69"/>
  <c r="G50" i="69"/>
  <c r="M50" i="69"/>
  <c r="U50" i="69"/>
  <c r="N47" i="69"/>
  <c r="T47" i="69"/>
  <c r="L47" i="69"/>
  <c r="P47" i="69"/>
  <c r="S47" i="69"/>
  <c r="K47" i="69"/>
  <c r="G47" i="69"/>
  <c r="Q47" i="69"/>
  <c r="F47" i="69"/>
  <c r="O47" i="69"/>
  <c r="R47" i="69"/>
  <c r="U47" i="69"/>
  <c r="H47" i="69"/>
  <c r="M47" i="69"/>
  <c r="K44" i="69"/>
  <c r="F44" i="69"/>
  <c r="S44" i="69"/>
  <c r="P44" i="69"/>
  <c r="U44" i="69"/>
  <c r="M44" i="69"/>
  <c r="T44" i="69"/>
  <c r="L44" i="69"/>
  <c r="R44" i="69"/>
  <c r="H44" i="69"/>
  <c r="Q44" i="69"/>
  <c r="G44" i="69"/>
  <c r="D40" i="69"/>
  <c r="N38" i="69"/>
  <c r="U38" i="69"/>
  <c r="M38" i="69"/>
  <c r="K38" i="69"/>
  <c r="S38" i="69"/>
  <c r="R38" i="69"/>
  <c r="H38" i="69"/>
  <c r="Q38" i="69"/>
  <c r="G38" i="69"/>
  <c r="P38" i="69"/>
  <c r="F38" i="69"/>
  <c r="D34" i="69"/>
  <c r="H35" i="69" s="1"/>
  <c r="N32" i="69"/>
  <c r="P32" i="69"/>
  <c r="F32" i="69"/>
  <c r="U32" i="69"/>
  <c r="M32" i="69"/>
  <c r="R32" i="69"/>
  <c r="Q32" i="69"/>
  <c r="T32" i="69"/>
  <c r="L32" i="69"/>
  <c r="G32" i="69"/>
  <c r="S32" i="69"/>
  <c r="K32" i="69"/>
  <c r="H32" i="69"/>
  <c r="D28" i="69"/>
  <c r="D25" i="69"/>
  <c r="D22" i="69"/>
  <c r="Q20" i="69"/>
  <c r="P20" i="69"/>
  <c r="U20" i="69"/>
  <c r="M20" i="69"/>
  <c r="T20" i="69"/>
  <c r="L20" i="69"/>
  <c r="S20" i="69"/>
  <c r="K20" i="69"/>
  <c r="G20" i="69"/>
  <c r="R20" i="69"/>
  <c r="H20" i="69"/>
  <c r="F20" i="69"/>
  <c r="O20" i="69"/>
  <c r="N20" i="69"/>
  <c r="D16" i="69"/>
  <c r="N17" i="69" s="1"/>
  <c r="F50" i="55"/>
  <c r="L50" i="55"/>
  <c r="M50" i="55"/>
  <c r="H47" i="55"/>
  <c r="N47" i="55"/>
  <c r="O47" i="55"/>
  <c r="R47" i="55"/>
  <c r="O26" i="55"/>
  <c r="T68" i="55"/>
  <c r="L68" i="55"/>
  <c r="G68" i="55"/>
  <c r="S68" i="55"/>
  <c r="K68" i="55"/>
  <c r="F68" i="55"/>
  <c r="Q68" i="55"/>
  <c r="P68" i="55"/>
  <c r="O68" i="55"/>
  <c r="H68" i="55"/>
  <c r="R68" i="55"/>
  <c r="M68" i="55"/>
  <c r="U68" i="55"/>
  <c r="N68" i="55"/>
  <c r="G65" i="55"/>
  <c r="U65" i="55"/>
  <c r="M65" i="55"/>
  <c r="F65" i="55"/>
  <c r="T65" i="55"/>
  <c r="L65" i="55"/>
  <c r="S65" i="55"/>
  <c r="K65" i="55"/>
  <c r="Q65" i="55"/>
  <c r="R65" i="55"/>
  <c r="H65" i="55"/>
  <c r="P65" i="55"/>
  <c r="O62" i="55"/>
  <c r="N62" i="55"/>
  <c r="F62" i="55"/>
  <c r="K62" i="55"/>
  <c r="U62" i="55"/>
  <c r="M62" i="55"/>
  <c r="S62" i="55"/>
  <c r="T62" i="55"/>
  <c r="L62" i="55"/>
  <c r="R62" i="55"/>
  <c r="H62" i="55"/>
  <c r="Q62" i="55"/>
  <c r="G62" i="55"/>
  <c r="P62" i="55"/>
  <c r="Q59" i="55"/>
  <c r="N59" i="55"/>
  <c r="R59" i="55"/>
  <c r="U59" i="55"/>
  <c r="M59" i="55"/>
  <c r="H59" i="55"/>
  <c r="T59" i="55"/>
  <c r="L59" i="55"/>
  <c r="S59" i="55"/>
  <c r="K59" i="55"/>
  <c r="G59" i="55"/>
  <c r="P59" i="55"/>
  <c r="F59" i="55"/>
  <c r="D55" i="55"/>
  <c r="O53" i="55"/>
  <c r="Q53" i="55"/>
  <c r="K53" i="55"/>
  <c r="U53" i="55"/>
  <c r="M53" i="55"/>
  <c r="S53" i="55"/>
  <c r="T53" i="55"/>
  <c r="L53" i="55"/>
  <c r="R53" i="55"/>
  <c r="H53" i="55"/>
  <c r="P53" i="55"/>
  <c r="F53" i="55"/>
  <c r="G53" i="55"/>
  <c r="D50" i="55"/>
  <c r="Q50" i="55"/>
  <c r="K50" i="55"/>
  <c r="S50" i="55"/>
  <c r="G50" i="55"/>
  <c r="H50" i="55"/>
  <c r="N50" i="55"/>
  <c r="K47" i="55"/>
  <c r="S47" i="55"/>
  <c r="G47" i="55"/>
  <c r="L47" i="55"/>
  <c r="T47" i="55"/>
  <c r="M47" i="55"/>
  <c r="U47" i="55"/>
  <c r="P47" i="55"/>
  <c r="F47" i="55"/>
  <c r="N44" i="55"/>
  <c r="Q44" i="55"/>
  <c r="R44" i="55"/>
  <c r="O44" i="55"/>
  <c r="T44" i="55"/>
  <c r="K44" i="55"/>
  <c r="U44" i="55"/>
  <c r="M44" i="55"/>
  <c r="L44" i="55"/>
  <c r="P44" i="55"/>
  <c r="F44" i="55"/>
  <c r="S44" i="55"/>
  <c r="H44" i="55"/>
  <c r="G44" i="55"/>
  <c r="D40" i="55"/>
  <c r="N41" i="55" s="1"/>
  <c r="N38" i="55"/>
  <c r="Q38" i="55"/>
  <c r="O38" i="55"/>
  <c r="K38" i="55"/>
  <c r="S38" i="55"/>
  <c r="U38" i="55"/>
  <c r="M38" i="55"/>
  <c r="T38" i="55"/>
  <c r="L38" i="55"/>
  <c r="R38" i="55"/>
  <c r="H38" i="55"/>
  <c r="P38" i="55"/>
  <c r="F38" i="55"/>
  <c r="G38" i="55"/>
  <c r="N35" i="55"/>
  <c r="U35" i="55"/>
  <c r="M35" i="55"/>
  <c r="H35" i="55"/>
  <c r="Q35" i="55"/>
  <c r="R35" i="55"/>
  <c r="G35" i="55"/>
  <c r="P35" i="55"/>
  <c r="K35" i="55"/>
  <c r="S35" i="55"/>
  <c r="T35" i="55"/>
  <c r="L35" i="55"/>
  <c r="F35" i="55"/>
  <c r="O32" i="55"/>
  <c r="K32" i="55"/>
  <c r="U32" i="55"/>
  <c r="M32" i="55"/>
  <c r="T32" i="55"/>
  <c r="L32" i="55"/>
  <c r="S32" i="55"/>
  <c r="P32" i="55"/>
  <c r="F32" i="55"/>
  <c r="Q32" i="55"/>
  <c r="H32" i="55"/>
  <c r="R32" i="55"/>
  <c r="G32" i="55"/>
  <c r="D28" i="55"/>
  <c r="Q29" i="55" s="1"/>
  <c r="G26" i="55"/>
  <c r="H26" i="55"/>
  <c r="R26" i="55"/>
  <c r="P26" i="55"/>
  <c r="K26" i="55"/>
  <c r="S26" i="55"/>
  <c r="L26" i="55"/>
  <c r="T26" i="55"/>
  <c r="F26" i="55"/>
  <c r="Q26" i="55"/>
  <c r="M26" i="55"/>
  <c r="N23" i="55"/>
  <c r="M23" i="55"/>
  <c r="T23" i="55"/>
  <c r="L23" i="55"/>
  <c r="R23" i="55"/>
  <c r="Q23" i="55"/>
  <c r="H23" i="55"/>
  <c r="U23" i="55"/>
  <c r="G23" i="55"/>
  <c r="P23" i="55"/>
  <c r="K23" i="55"/>
  <c r="S23" i="55"/>
  <c r="F23" i="55"/>
  <c r="O20" i="55"/>
  <c r="U20" i="55"/>
  <c r="M20" i="55"/>
  <c r="Q20" i="55"/>
  <c r="P20" i="55"/>
  <c r="T20" i="55"/>
  <c r="L20" i="55"/>
  <c r="S20" i="55"/>
  <c r="K20" i="55"/>
  <c r="R20" i="55"/>
  <c r="H20" i="55"/>
  <c r="G20" i="55"/>
  <c r="F20" i="55"/>
  <c r="D16" i="55"/>
  <c r="J65" i="53"/>
  <c r="F62" i="53"/>
  <c r="J62" i="53"/>
  <c r="D67" i="53"/>
  <c r="L65" i="53"/>
  <c r="F65" i="53"/>
  <c r="H62" i="53"/>
  <c r="D58" i="53"/>
  <c r="D55" i="53"/>
  <c r="L56" i="53" s="1"/>
  <c r="D52" i="53"/>
  <c r="D49" i="53"/>
  <c r="L50" i="53" s="1"/>
  <c r="J47" i="53"/>
  <c r="H47" i="53"/>
  <c r="L47" i="53"/>
  <c r="D43" i="53"/>
  <c r="D40" i="53"/>
  <c r="D37" i="53"/>
  <c r="F38" i="53" s="1"/>
  <c r="D34" i="53"/>
  <c r="D31" i="53"/>
  <c r="L32" i="53" s="1"/>
  <c r="D28" i="53"/>
  <c r="L29" i="53" s="1"/>
  <c r="D25" i="53"/>
  <c r="J26" i="53" s="1"/>
  <c r="D22" i="53"/>
  <c r="H23" i="53" s="1"/>
  <c r="H20" i="53"/>
  <c r="J20" i="53"/>
  <c r="L20" i="53"/>
  <c r="D16" i="53"/>
  <c r="J17" i="53" s="1"/>
  <c r="G68" i="73" l="1"/>
  <c r="R68" i="73"/>
  <c r="U68" i="73"/>
  <c r="T68" i="73"/>
  <c r="S68" i="73"/>
  <c r="H68" i="73"/>
  <c r="F68" i="73"/>
  <c r="Q68" i="73"/>
  <c r="N68" i="73"/>
  <c r="M68" i="73"/>
  <c r="G62" i="73"/>
  <c r="K62" i="73"/>
  <c r="R62" i="73"/>
  <c r="H62" i="73"/>
  <c r="P56" i="73"/>
  <c r="F56" i="73"/>
  <c r="O56" i="73"/>
  <c r="S56" i="73"/>
  <c r="R56" i="73"/>
  <c r="H56" i="73"/>
  <c r="Q56" i="73"/>
  <c r="N56" i="73"/>
  <c r="N41" i="73"/>
  <c r="H41" i="73"/>
  <c r="M41" i="73"/>
  <c r="R41" i="73"/>
  <c r="Q41" i="73"/>
  <c r="U41" i="73"/>
  <c r="T41" i="73"/>
  <c r="L41" i="73"/>
  <c r="D47" i="73"/>
  <c r="D23" i="73"/>
  <c r="N14" i="73"/>
  <c r="H14" i="73"/>
  <c r="O14" i="73"/>
  <c r="T14" i="73"/>
  <c r="U14" i="73"/>
  <c r="S14" i="73"/>
  <c r="G14" i="73"/>
  <c r="P14" i="73"/>
  <c r="M14" i="73"/>
  <c r="L14" i="73"/>
  <c r="F14" i="73"/>
  <c r="R14" i="73"/>
  <c r="K14" i="73"/>
  <c r="D50" i="73"/>
  <c r="D35" i="73"/>
  <c r="D50" i="69"/>
  <c r="O62" i="69"/>
  <c r="U62" i="69"/>
  <c r="O17" i="69"/>
  <c r="Q62" i="69"/>
  <c r="F62" i="69"/>
  <c r="T62" i="69"/>
  <c r="L62" i="69"/>
  <c r="S62" i="69"/>
  <c r="K62" i="69"/>
  <c r="G62" i="69"/>
  <c r="P62" i="69"/>
  <c r="H62" i="69"/>
  <c r="M62" i="69"/>
  <c r="N62" i="69"/>
  <c r="G59" i="69"/>
  <c r="F59" i="69"/>
  <c r="T59" i="69"/>
  <c r="L59" i="69"/>
  <c r="S59" i="69"/>
  <c r="K59" i="69"/>
  <c r="R59" i="69"/>
  <c r="H59" i="69"/>
  <c r="Q59" i="69"/>
  <c r="P59" i="69"/>
  <c r="O59" i="69"/>
  <c r="U59" i="69"/>
  <c r="M59" i="69"/>
  <c r="N59" i="69"/>
  <c r="G56" i="69"/>
  <c r="U56" i="69"/>
  <c r="M56" i="69"/>
  <c r="Q56" i="69"/>
  <c r="P56" i="69"/>
  <c r="T56" i="69"/>
  <c r="L56" i="69"/>
  <c r="S56" i="69"/>
  <c r="K56" i="69"/>
  <c r="F56" i="69"/>
  <c r="R56" i="69"/>
  <c r="H56" i="69"/>
  <c r="N56" i="69"/>
  <c r="O56" i="69"/>
  <c r="D44" i="69"/>
  <c r="U41" i="69"/>
  <c r="M41" i="69"/>
  <c r="G41" i="69"/>
  <c r="S41" i="69"/>
  <c r="K41" i="69"/>
  <c r="F41" i="69"/>
  <c r="R41" i="69"/>
  <c r="H41" i="69"/>
  <c r="Q41" i="69"/>
  <c r="P41" i="69"/>
  <c r="T41" i="69"/>
  <c r="L41" i="69"/>
  <c r="N41" i="69"/>
  <c r="O41" i="69"/>
  <c r="N35" i="69"/>
  <c r="U35" i="69"/>
  <c r="M35" i="69"/>
  <c r="T35" i="69"/>
  <c r="L35" i="69"/>
  <c r="S35" i="69"/>
  <c r="K35" i="69"/>
  <c r="G35" i="69"/>
  <c r="P35" i="69"/>
  <c r="F35" i="69"/>
  <c r="Q35" i="69"/>
  <c r="R35" i="69"/>
  <c r="O35" i="69"/>
  <c r="D32" i="69"/>
  <c r="R29" i="69"/>
  <c r="U29" i="69"/>
  <c r="M29" i="69"/>
  <c r="H29" i="69"/>
  <c r="G29" i="69"/>
  <c r="F29" i="69"/>
  <c r="T29" i="69"/>
  <c r="L29" i="69"/>
  <c r="P29" i="69"/>
  <c r="Q29" i="69"/>
  <c r="S29" i="69"/>
  <c r="K29" i="69"/>
  <c r="O29" i="69"/>
  <c r="N29" i="69"/>
  <c r="O26" i="69"/>
  <c r="K26" i="69"/>
  <c r="U26" i="69"/>
  <c r="M26" i="69"/>
  <c r="T26" i="69"/>
  <c r="L26" i="69"/>
  <c r="S26" i="69"/>
  <c r="R26" i="69"/>
  <c r="H26" i="69"/>
  <c r="F26" i="69"/>
  <c r="P26" i="69"/>
  <c r="G26" i="69"/>
  <c r="N26" i="69"/>
  <c r="Q26" i="69"/>
  <c r="Q23" i="69"/>
  <c r="N23" i="69"/>
  <c r="S23" i="69"/>
  <c r="K23" i="69"/>
  <c r="G23" i="69"/>
  <c r="R23" i="69"/>
  <c r="H23" i="69"/>
  <c r="P23" i="69"/>
  <c r="F23" i="69"/>
  <c r="O23" i="69"/>
  <c r="U23" i="69"/>
  <c r="M23" i="69"/>
  <c r="T23" i="69"/>
  <c r="L23" i="69"/>
  <c r="F17" i="69"/>
  <c r="G17" i="69"/>
  <c r="P17" i="69"/>
  <c r="U17" i="69"/>
  <c r="M17" i="69"/>
  <c r="T17" i="69"/>
  <c r="L17" i="69"/>
  <c r="S17" i="69"/>
  <c r="K17" i="69"/>
  <c r="Q17" i="69"/>
  <c r="R17" i="69"/>
  <c r="H17" i="69"/>
  <c r="F56" i="55"/>
  <c r="P56" i="55"/>
  <c r="U56" i="55"/>
  <c r="M56" i="55"/>
  <c r="G56" i="55"/>
  <c r="T56" i="55"/>
  <c r="L56" i="55"/>
  <c r="S56" i="55"/>
  <c r="K56" i="55"/>
  <c r="Q56" i="55"/>
  <c r="O56" i="55"/>
  <c r="N56" i="55"/>
  <c r="R56" i="55"/>
  <c r="H56" i="55"/>
  <c r="D44" i="55"/>
  <c r="U41" i="55"/>
  <c r="M41" i="55"/>
  <c r="G41" i="55"/>
  <c r="F41" i="55"/>
  <c r="T41" i="55"/>
  <c r="L41" i="55"/>
  <c r="S41" i="55"/>
  <c r="K41" i="55"/>
  <c r="R41" i="55"/>
  <c r="H41" i="55"/>
  <c r="Q41" i="55"/>
  <c r="P41" i="55"/>
  <c r="O41" i="55"/>
  <c r="D32" i="55"/>
  <c r="R29" i="55"/>
  <c r="L29" i="55"/>
  <c r="K29" i="55"/>
  <c r="U29" i="55"/>
  <c r="M29" i="55"/>
  <c r="T29" i="55"/>
  <c r="S29" i="55"/>
  <c r="P29" i="55"/>
  <c r="F29" i="55"/>
  <c r="G29" i="55"/>
  <c r="H29" i="55"/>
  <c r="O29" i="55"/>
  <c r="N29" i="55"/>
  <c r="D23" i="55"/>
  <c r="P17" i="55"/>
  <c r="U17" i="55"/>
  <c r="M17" i="55"/>
  <c r="Q17" i="55"/>
  <c r="F17" i="55"/>
  <c r="G17" i="55"/>
  <c r="S17" i="55"/>
  <c r="K17" i="55"/>
  <c r="R17" i="55"/>
  <c r="H17" i="55"/>
  <c r="N17" i="55"/>
  <c r="T17" i="55"/>
  <c r="L17" i="55"/>
  <c r="O17" i="55"/>
  <c r="L68" i="53"/>
  <c r="H68" i="53"/>
  <c r="J68" i="53"/>
  <c r="F68" i="53"/>
  <c r="L59" i="53"/>
  <c r="J59" i="53"/>
  <c r="H59" i="53"/>
  <c r="F59" i="53"/>
  <c r="F56" i="53"/>
  <c r="H56" i="53"/>
  <c r="J56" i="53"/>
  <c r="H53" i="53"/>
  <c r="J53" i="53"/>
  <c r="L53" i="53"/>
  <c r="F53" i="53"/>
  <c r="H50" i="53"/>
  <c r="J50" i="53"/>
  <c r="F50" i="53"/>
  <c r="H44" i="53"/>
  <c r="L44" i="53"/>
  <c r="J44" i="53"/>
  <c r="F44" i="53"/>
  <c r="L41" i="53"/>
  <c r="J41" i="53"/>
  <c r="H41" i="53"/>
  <c r="F41" i="53"/>
  <c r="L38" i="53"/>
  <c r="J38" i="53"/>
  <c r="H38" i="53"/>
  <c r="J35" i="53"/>
  <c r="L35" i="53"/>
  <c r="H35" i="53"/>
  <c r="F35" i="53"/>
  <c r="F32" i="53"/>
  <c r="H32" i="53"/>
  <c r="J32" i="53"/>
  <c r="F29" i="53"/>
  <c r="J29" i="53"/>
  <c r="H29" i="53"/>
  <c r="F26" i="53"/>
  <c r="L26" i="53"/>
  <c r="H26" i="53"/>
  <c r="J23" i="53"/>
  <c r="L23" i="53"/>
  <c r="F23" i="53"/>
  <c r="L17" i="53"/>
  <c r="H17" i="53"/>
  <c r="F17" i="53"/>
  <c r="D72" i="12" l="1"/>
  <c r="J73" i="12" s="1"/>
  <c r="D33" i="12"/>
  <c r="N34" i="12" s="1"/>
  <c r="D30" i="12"/>
  <c r="R31" i="12" s="1"/>
  <c r="D27" i="12"/>
  <c r="X28" i="12" s="1"/>
  <c r="D24" i="12"/>
  <c r="L25" i="12" s="1"/>
  <c r="D21" i="12"/>
  <c r="P22" i="12" s="1"/>
  <c r="D18" i="12"/>
  <c r="T19" i="12" s="1"/>
  <c r="L36" i="10"/>
  <c r="H33" i="10"/>
  <c r="D68" i="10"/>
  <c r="L69" i="10" s="1"/>
  <c r="D50" i="10"/>
  <c r="L51" i="10" s="1"/>
  <c r="D41" i="10"/>
  <c r="L42" i="10" s="1"/>
  <c r="D38" i="10"/>
  <c r="F39" i="10" s="1"/>
  <c r="D35" i="10"/>
  <c r="J36" i="10" s="1"/>
  <c r="D32" i="10"/>
  <c r="F33" i="10" s="1"/>
  <c r="D29" i="10"/>
  <c r="H30" i="10" s="1"/>
  <c r="D26" i="10"/>
  <c r="F27" i="10" s="1"/>
  <c r="D20" i="10"/>
  <c r="J21" i="10" s="1"/>
  <c r="D17" i="10"/>
  <c r="H18" i="10" s="1"/>
  <c r="L22" i="12" l="1"/>
  <c r="X25" i="12"/>
  <c r="R22" i="12"/>
  <c r="L31" i="12"/>
  <c r="T22" i="12"/>
  <c r="H34" i="12"/>
  <c r="F25" i="12"/>
  <c r="J34" i="12"/>
  <c r="H25" i="12"/>
  <c r="X34" i="12"/>
  <c r="N19" i="12"/>
  <c r="N25" i="12"/>
  <c r="F73" i="12"/>
  <c r="P19" i="12"/>
  <c r="P25" i="12"/>
  <c r="T73" i="12"/>
  <c r="J22" i="12"/>
  <c r="V25" i="12"/>
  <c r="V73" i="12"/>
  <c r="F19" i="12"/>
  <c r="J28" i="12"/>
  <c r="T31" i="12"/>
  <c r="P34" i="12"/>
  <c r="L73" i="12"/>
  <c r="L28" i="12"/>
  <c r="F31" i="12"/>
  <c r="V31" i="12"/>
  <c r="R34" i="12"/>
  <c r="N73" i="12"/>
  <c r="V19" i="12"/>
  <c r="H19" i="12"/>
  <c r="X19" i="12"/>
  <c r="J19" i="12"/>
  <c r="F22" i="12"/>
  <c r="V22" i="12"/>
  <c r="R25" i="12"/>
  <c r="N28" i="12"/>
  <c r="H31" i="12"/>
  <c r="X31" i="12"/>
  <c r="T34" i="12"/>
  <c r="P73" i="12"/>
  <c r="R28" i="12"/>
  <c r="L19" i="12"/>
  <c r="H22" i="12"/>
  <c r="X22" i="12"/>
  <c r="T25" i="12"/>
  <c r="P28" i="12"/>
  <c r="J31" i="12"/>
  <c r="F34" i="12"/>
  <c r="V34" i="12"/>
  <c r="R73" i="12"/>
  <c r="R19" i="12"/>
  <c r="N22" i="12"/>
  <c r="J25" i="12"/>
  <c r="F28" i="12"/>
  <c r="V28" i="12"/>
  <c r="P31" i="12"/>
  <c r="L34" i="12"/>
  <c r="H73" i="12"/>
  <c r="X73" i="12"/>
  <c r="T28" i="12"/>
  <c r="N31" i="12"/>
  <c r="H28" i="12"/>
  <c r="D45" i="12"/>
  <c r="D57" i="12"/>
  <c r="F58" i="12" s="1"/>
  <c r="D75" i="12"/>
  <c r="F51" i="10"/>
  <c r="D51" i="10" s="1"/>
  <c r="H51" i="10"/>
  <c r="J51" i="10"/>
  <c r="H69" i="10"/>
  <c r="F69" i="10"/>
  <c r="J69" i="10"/>
  <c r="F42" i="10"/>
  <c r="H42" i="10"/>
  <c r="J42" i="10"/>
  <c r="J39" i="10"/>
  <c r="L39" i="10"/>
  <c r="H39" i="10"/>
  <c r="D39" i="10" s="1"/>
  <c r="F36" i="10"/>
  <c r="H36" i="10"/>
  <c r="L33" i="10"/>
  <c r="J33" i="10"/>
  <c r="D33" i="10" s="1"/>
  <c r="F30" i="10"/>
  <c r="J30" i="10"/>
  <c r="L30" i="10"/>
  <c r="D27" i="10"/>
  <c r="J27" i="10"/>
  <c r="H27" i="10"/>
  <c r="L27" i="10"/>
  <c r="D21" i="10"/>
  <c r="F21" i="10"/>
  <c r="H21" i="10"/>
  <c r="L21" i="10"/>
  <c r="J18" i="10"/>
  <c r="L18" i="10"/>
  <c r="F18" i="10"/>
  <c r="D73" i="12" l="1"/>
  <c r="D22" i="12"/>
  <c r="D34" i="12"/>
  <c r="D28" i="12"/>
  <c r="D31" i="12"/>
  <c r="D25" i="12"/>
  <c r="D19" i="12"/>
  <c r="T46" i="12"/>
  <c r="R46" i="12"/>
  <c r="P46" i="12"/>
  <c r="H46" i="12"/>
  <c r="V46" i="12"/>
  <c r="N46" i="12"/>
  <c r="J46" i="12"/>
  <c r="L46" i="12"/>
  <c r="X46" i="12"/>
  <c r="F46" i="12"/>
  <c r="V58" i="12"/>
  <c r="P58" i="12"/>
  <c r="N58" i="12"/>
  <c r="J58" i="12"/>
  <c r="H58" i="12"/>
  <c r="T58" i="12"/>
  <c r="R58" i="12"/>
  <c r="X58" i="12"/>
  <c r="L58" i="12"/>
  <c r="V76" i="12"/>
  <c r="R76" i="12"/>
  <c r="X76" i="12"/>
  <c r="T76" i="12"/>
  <c r="P76" i="12"/>
  <c r="N76" i="12"/>
  <c r="J76" i="12"/>
  <c r="H76" i="12"/>
  <c r="L76" i="12"/>
  <c r="F76" i="12"/>
  <c r="D69" i="10"/>
  <c r="D42" i="10"/>
  <c r="D36" i="10"/>
  <c r="D30" i="10"/>
  <c r="D18" i="10"/>
  <c r="D46" i="12" l="1"/>
  <c r="D58" i="12"/>
  <c r="D76" i="12"/>
  <c r="D112" i="2" l="1"/>
  <c r="L113" i="2" s="1"/>
  <c r="D103" i="2"/>
  <c r="L104" i="2" s="1"/>
  <c r="D46" i="2"/>
  <c r="H47" i="2" s="1"/>
  <c r="D43" i="2"/>
  <c r="L44" i="2" s="1"/>
  <c r="D40" i="2"/>
  <c r="F41" i="2" s="1"/>
  <c r="D37" i="2"/>
  <c r="L38" i="2" s="1"/>
  <c r="D34" i="2"/>
  <c r="J35" i="2" s="1"/>
  <c r="D31" i="2"/>
  <c r="L32" i="2" s="1"/>
  <c r="D28" i="2"/>
  <c r="J29" i="2" s="1"/>
  <c r="D25" i="2"/>
  <c r="L26" i="2" s="1"/>
  <c r="D22" i="2"/>
  <c r="L23" i="2" s="1"/>
  <c r="D19" i="2"/>
  <c r="L20" i="2" s="1"/>
  <c r="D16" i="2"/>
  <c r="J17" i="2" s="1"/>
  <c r="A42" i="54"/>
  <c r="A37" i="54"/>
  <c r="A38" i="54"/>
  <c r="A39" i="54" s="1"/>
  <c r="A37" i="63"/>
  <c r="A38" i="63" s="1"/>
  <c r="A37" i="62"/>
  <c r="A38" i="62" s="1"/>
  <c r="A42" i="68"/>
  <c r="A37" i="68"/>
  <c r="A38" i="68" s="1"/>
  <c r="A37" i="71"/>
  <c r="A38" i="71" s="1"/>
  <c r="A37" i="70"/>
  <c r="A38" i="70" s="1"/>
  <c r="A37" i="58"/>
  <c r="A38" i="58" s="1"/>
  <c r="A37" i="67"/>
  <c r="A38" i="67"/>
  <c r="A37" i="66"/>
  <c r="A38" i="66"/>
  <c r="D67" i="59"/>
  <c r="D64" i="59"/>
  <c r="D61" i="59"/>
  <c r="D58" i="59"/>
  <c r="D55" i="59"/>
  <c r="D53" i="59"/>
  <c r="D52" i="59"/>
  <c r="D49" i="59"/>
  <c r="D46" i="59"/>
  <c r="D43" i="59"/>
  <c r="D40" i="59"/>
  <c r="D37" i="59"/>
  <c r="D34" i="59"/>
  <c r="D31" i="59"/>
  <c r="D28" i="59"/>
  <c r="D25" i="59"/>
  <c r="D22" i="59"/>
  <c r="D19" i="59"/>
  <c r="D16" i="59"/>
  <c r="D13" i="59"/>
  <c r="F113" i="2" l="1"/>
  <c r="H113" i="2"/>
  <c r="F23" i="2"/>
  <c r="H23" i="2"/>
  <c r="J23" i="2"/>
  <c r="J113" i="2"/>
  <c r="J32" i="2"/>
  <c r="F104" i="2"/>
  <c r="H17" i="2"/>
  <c r="H104" i="2"/>
  <c r="L17" i="2"/>
  <c r="J104" i="2"/>
  <c r="F20" i="2"/>
  <c r="L47" i="2"/>
  <c r="F47" i="2"/>
  <c r="J47" i="2"/>
  <c r="F44" i="2"/>
  <c r="H44" i="2"/>
  <c r="J44" i="2"/>
  <c r="H41" i="2"/>
  <c r="J41" i="2"/>
  <c r="L41" i="2"/>
  <c r="J38" i="2"/>
  <c r="F38" i="2"/>
  <c r="H38" i="2"/>
  <c r="F35" i="2"/>
  <c r="H35" i="2"/>
  <c r="L35" i="2"/>
  <c r="F32" i="2"/>
  <c r="H32" i="2"/>
  <c r="H29" i="2"/>
  <c r="L29" i="2"/>
  <c r="F29" i="2"/>
  <c r="F26" i="2"/>
  <c r="H26" i="2"/>
  <c r="J26" i="2"/>
  <c r="H20" i="2"/>
  <c r="J20" i="2"/>
  <c r="F17" i="2"/>
  <c r="D65" i="59"/>
  <c r="D62" i="59"/>
  <c r="D59" i="59"/>
  <c r="D56" i="59"/>
  <c r="D50" i="59"/>
  <c r="D44" i="59"/>
  <c r="D38" i="59"/>
  <c r="D35" i="59"/>
  <c r="D14" i="59"/>
  <c r="D46" i="77" l="1"/>
  <c r="D43" i="77"/>
  <c r="D40" i="77"/>
  <c r="D37" i="77"/>
  <c r="D34" i="77"/>
  <c r="D31" i="77"/>
  <c r="D28" i="77"/>
  <c r="D25" i="77"/>
  <c r="D22" i="77"/>
  <c r="D16" i="77"/>
  <c r="K19" i="77" l="1"/>
  <c r="L19" i="77"/>
  <c r="M19" i="77"/>
  <c r="N19" i="77"/>
  <c r="O19" i="77"/>
  <c r="P19" i="77"/>
  <c r="Q19" i="77"/>
  <c r="R19" i="77"/>
  <c r="S19" i="77"/>
  <c r="T19" i="77"/>
  <c r="U19" i="77"/>
  <c r="V19" i="77"/>
  <c r="W19" i="77"/>
  <c r="X19" i="77"/>
  <c r="Y19" i="77"/>
  <c r="Z19" i="77"/>
  <c r="H19" i="77"/>
  <c r="D13" i="77"/>
  <c r="D19" i="77" l="1"/>
  <c r="D44" i="77"/>
  <c r="D35" i="77"/>
  <c r="D23" i="77"/>
  <c r="D17" i="77"/>
  <c r="D47" i="77"/>
  <c r="D41" i="77"/>
  <c r="D38" i="77"/>
  <c r="D32" i="77"/>
  <c r="D29" i="77"/>
  <c r="D26" i="77"/>
  <c r="K16" i="61"/>
  <c r="K17" i="61"/>
  <c r="K18" i="61"/>
  <c r="K19" i="61"/>
  <c r="K20" i="61"/>
  <c r="D14" i="77" l="1"/>
  <c r="D20" i="77" l="1"/>
  <c r="K15" i="61"/>
  <c r="K38" i="61"/>
  <c r="K36" i="61"/>
  <c r="K35" i="61"/>
  <c r="K34" i="61"/>
  <c r="K33" i="61"/>
  <c r="K32" i="61"/>
  <c r="K31" i="61"/>
  <c r="K27" i="61"/>
  <c r="K26" i="61"/>
  <c r="K25" i="61"/>
  <c r="K24" i="61"/>
  <c r="O15" i="61"/>
  <c r="O38" i="61"/>
  <c r="O36" i="61"/>
  <c r="O35" i="61"/>
  <c r="O34" i="61"/>
  <c r="O33" i="61"/>
  <c r="O32" i="61"/>
  <c r="O31" i="61"/>
  <c r="O27" i="61"/>
  <c r="O26" i="61"/>
  <c r="O25" i="61"/>
  <c r="O24" i="61"/>
  <c r="O20" i="61"/>
  <c r="O19" i="61"/>
  <c r="O18" i="61"/>
  <c r="O17" i="61"/>
  <c r="O16" i="61"/>
  <c r="K15" i="60"/>
  <c r="K38" i="60"/>
  <c r="K36" i="60"/>
  <c r="K35" i="60"/>
  <c r="K34" i="60"/>
  <c r="K33" i="60"/>
  <c r="K32" i="60"/>
  <c r="K31" i="60"/>
  <c r="K27" i="60"/>
  <c r="K26" i="60"/>
  <c r="K25" i="60"/>
  <c r="K24" i="60"/>
  <c r="K20" i="60"/>
  <c r="K19" i="60"/>
  <c r="K18" i="60"/>
  <c r="K17" i="60"/>
  <c r="K16" i="60"/>
  <c r="O15" i="60"/>
  <c r="O38" i="60"/>
  <c r="O36" i="60"/>
  <c r="O35" i="60"/>
  <c r="O34" i="60"/>
  <c r="O33" i="60"/>
  <c r="O32" i="60"/>
  <c r="O31" i="60"/>
  <c r="O27" i="60"/>
  <c r="O26" i="60"/>
  <c r="O25" i="60"/>
  <c r="O24" i="60"/>
  <c r="O20" i="60"/>
  <c r="O19" i="60"/>
  <c r="O18" i="60"/>
  <c r="O17" i="60"/>
  <c r="O16" i="60"/>
  <c r="K15" i="52"/>
  <c r="K38" i="52"/>
  <c r="K36" i="52"/>
  <c r="K35" i="52"/>
  <c r="K34" i="52"/>
  <c r="K33" i="52"/>
  <c r="K32" i="52"/>
  <c r="K31" i="52"/>
  <c r="K27" i="52"/>
  <c r="K26" i="52"/>
  <c r="K25" i="52"/>
  <c r="K24" i="52"/>
  <c r="K20" i="52"/>
  <c r="K19" i="52"/>
  <c r="K18" i="52"/>
  <c r="K17" i="52"/>
  <c r="K16" i="52"/>
  <c r="O15" i="52"/>
  <c r="O38" i="52"/>
  <c r="O36" i="52"/>
  <c r="O35" i="52"/>
  <c r="O34" i="52"/>
  <c r="O33" i="52"/>
  <c r="O32" i="52"/>
  <c r="O31" i="52"/>
  <c r="O27" i="52"/>
  <c r="O26" i="52"/>
  <c r="O25" i="52"/>
  <c r="O24" i="52"/>
  <c r="O20" i="52"/>
  <c r="O19" i="52"/>
  <c r="O18" i="52"/>
  <c r="O17" i="52"/>
  <c r="O16" i="52"/>
  <c r="A14" i="53"/>
  <c r="A16" i="53" s="1"/>
  <c r="A17" i="53" s="1"/>
  <c r="A19" i="53" s="1"/>
  <c r="A20" i="53" s="1"/>
  <c r="A22" i="53" s="1"/>
  <c r="A23" i="53" s="1"/>
  <c r="A25" i="53" s="1"/>
  <c r="A26" i="53" s="1"/>
  <c r="A28" i="53" s="1"/>
  <c r="A29" i="53" s="1"/>
  <c r="A31" i="53" s="1"/>
  <c r="A32" i="53" s="1"/>
  <c r="A34" i="53" s="1"/>
  <c r="A35" i="53" s="1"/>
  <c r="A37" i="53" s="1"/>
  <c r="A38" i="53" s="1"/>
  <c r="A40" i="53" s="1"/>
  <c r="A41" i="53" s="1"/>
  <c r="A43" i="53" s="1"/>
  <c r="A44" i="53" s="1"/>
  <c r="A46" i="53" s="1"/>
  <c r="A47" i="53" s="1"/>
  <c r="A49" i="53" s="1"/>
  <c r="A50" i="53" s="1"/>
  <c r="A52" i="53" s="1"/>
  <c r="A53" i="53" s="1"/>
  <c r="A55" i="53" s="1"/>
  <c r="A56" i="53" s="1"/>
  <c r="A58" i="53" s="1"/>
  <c r="A59" i="53" s="1"/>
  <c r="A61" i="53" s="1"/>
  <c r="A62" i="53" s="1"/>
  <c r="A64" i="53" s="1"/>
  <c r="A65" i="53" s="1"/>
  <c r="A67" i="53" s="1"/>
  <c r="A68" i="53" s="1"/>
  <c r="A14" i="55"/>
  <c r="A16" i="55" s="1"/>
  <c r="A17" i="55" s="1"/>
  <c r="A19" i="55" s="1"/>
  <c r="A20" i="55" s="1"/>
  <c r="A22" i="55" s="1"/>
  <c r="A23" i="55" s="1"/>
  <c r="A25" i="55" s="1"/>
  <c r="A26" i="55" s="1"/>
  <c r="A28" i="55" s="1"/>
  <c r="A29" i="55" s="1"/>
  <c r="A31" i="55" s="1"/>
  <c r="A32" i="55" s="1"/>
  <c r="A34" i="55" s="1"/>
  <c r="A35" i="55" s="1"/>
  <c r="A37" i="55" s="1"/>
  <c r="A38" i="55" s="1"/>
  <c r="A40" i="55" s="1"/>
  <c r="A41" i="55" s="1"/>
  <c r="A43" i="55" s="1"/>
  <c r="A44" i="55" s="1"/>
  <c r="A46" i="55" s="1"/>
  <c r="A47" i="55" s="1"/>
  <c r="A53" i="55" s="1"/>
  <c r="A55" i="55" s="1"/>
  <c r="A56" i="55" s="1"/>
  <c r="A58" i="55" s="1"/>
  <c r="A59" i="55" s="1"/>
  <c r="A61" i="55" s="1"/>
  <c r="A62" i="55" s="1"/>
  <c r="A64" i="55" s="1"/>
  <c r="A65" i="55" s="1"/>
  <c r="A67" i="55" s="1"/>
  <c r="A68" i="55" s="1"/>
  <c r="G42" i="12" l="1"/>
  <c r="I42" i="12"/>
  <c r="K42" i="12"/>
  <c r="M42" i="12"/>
  <c r="O42" i="12"/>
  <c r="Q42" i="12"/>
  <c r="S42" i="12"/>
  <c r="U42" i="12"/>
  <c r="W42" i="12"/>
  <c r="G36" i="12"/>
  <c r="I36" i="12"/>
  <c r="K36" i="12"/>
  <c r="M36" i="12"/>
  <c r="O36" i="12"/>
  <c r="Q36" i="12"/>
  <c r="S36" i="12"/>
  <c r="U36" i="12"/>
  <c r="W36" i="12"/>
  <c r="G59" i="10"/>
  <c r="I59" i="10"/>
  <c r="K59" i="10"/>
  <c r="G58" i="2"/>
  <c r="F28" i="79" l="1"/>
  <c r="D17" i="73" l="1"/>
  <c r="D47" i="59"/>
  <c r="D20" i="59"/>
  <c r="D59" i="73" l="1"/>
  <c r="D23" i="59"/>
  <c r="D59" i="69" l="1"/>
  <c r="D23" i="69" l="1"/>
  <c r="D17" i="69"/>
  <c r="D59" i="55" l="1"/>
  <c r="F31" i="79" l="1"/>
  <c r="A17" i="79"/>
  <c r="A18" i="79" s="1"/>
  <c r="A20" i="79" s="1"/>
  <c r="A21" i="79" s="1"/>
  <c r="A22" i="79" s="1"/>
  <c r="A23" i="79" s="1"/>
  <c r="A24" i="79" s="1"/>
  <c r="A25" i="79" s="1"/>
  <c r="A27" i="79" s="1"/>
  <c r="A28" i="79" s="1"/>
  <c r="A29" i="79" s="1"/>
  <c r="A30" i="79" s="1"/>
  <c r="A31" i="79" s="1"/>
  <c r="F31" i="78"/>
  <c r="A17" i="78"/>
  <c r="A18" i="78" s="1"/>
  <c r="A20" i="78" s="1"/>
  <c r="A21" i="78" s="1"/>
  <c r="A22" i="78" s="1"/>
  <c r="A23" i="78" s="1"/>
  <c r="A24" i="78" s="1"/>
  <c r="A25" i="78" s="1"/>
  <c r="A27" i="78" s="1"/>
  <c r="A28" i="78" s="1"/>
  <c r="A29" i="78" s="1"/>
  <c r="A30" i="78" s="1"/>
  <c r="A31" i="78" s="1"/>
  <c r="F31" i="76"/>
  <c r="A17" i="76"/>
  <c r="A18" i="76" s="1"/>
  <c r="A20" i="76" s="1"/>
  <c r="A21" i="76" s="1"/>
  <c r="A22" i="76" s="1"/>
  <c r="A23" i="76" s="1"/>
  <c r="A24" i="76" s="1"/>
  <c r="A25" i="76" s="1"/>
  <c r="A27" i="76" s="1"/>
  <c r="A28" i="76" s="1"/>
  <c r="A29" i="76" s="1"/>
  <c r="A30" i="76" s="1"/>
  <c r="A31" i="76" s="1"/>
  <c r="D17" i="55" l="1"/>
  <c r="F36" i="75"/>
  <c r="F35" i="75"/>
  <c r="F34" i="75"/>
  <c r="F33" i="75"/>
  <c r="F32" i="75"/>
  <c r="F31" i="75"/>
  <c r="F27" i="75"/>
  <c r="F26" i="75"/>
  <c r="F24" i="75"/>
  <c r="F20" i="75"/>
  <c r="F19" i="75"/>
  <c r="F17" i="75"/>
  <c r="F16" i="75"/>
  <c r="A16" i="75"/>
  <c r="A17" i="75" s="1"/>
  <c r="A18" i="75" s="1"/>
  <c r="A19" i="75" s="1"/>
  <c r="A20" i="75" s="1"/>
  <c r="A21" i="75" s="1"/>
  <c r="A24" i="75" s="1"/>
  <c r="A25" i="75" s="1"/>
  <c r="A26" i="75" s="1"/>
  <c r="A27" i="75" s="1"/>
  <c r="A28" i="75" s="1"/>
  <c r="A31" i="75" s="1"/>
  <c r="A32" i="75" s="1"/>
  <c r="A33" i="75" s="1"/>
  <c r="A34" i="75" s="1"/>
  <c r="A35" i="75" s="1"/>
  <c r="A36" i="75" s="1"/>
  <c r="F15" i="75"/>
  <c r="F28" i="74"/>
  <c r="F21" i="74"/>
  <c r="A16" i="74"/>
  <c r="A17" i="74" s="1"/>
  <c r="A18" i="74" s="1"/>
  <c r="A19" i="74" s="1"/>
  <c r="A20" i="74" s="1"/>
  <c r="A21" i="74" s="1"/>
  <c r="A24" i="74" s="1"/>
  <c r="A25" i="74" s="1"/>
  <c r="A26" i="74" s="1"/>
  <c r="A27" i="74" s="1"/>
  <c r="A28" i="74" s="1"/>
  <c r="A31" i="74" s="1"/>
  <c r="A32" i="74" s="1"/>
  <c r="A33" i="74" s="1"/>
  <c r="A34" i="74" s="1"/>
  <c r="A35" i="74" s="1"/>
  <c r="A36" i="74" s="1"/>
  <c r="F21" i="72"/>
  <c r="F18" i="75"/>
  <c r="A16" i="72"/>
  <c r="A17" i="72" s="1"/>
  <c r="A18" i="72" s="1"/>
  <c r="A19" i="72" s="1"/>
  <c r="A20" i="72" s="1"/>
  <c r="A21" i="72" s="1"/>
  <c r="A24" i="72" s="1"/>
  <c r="A25" i="72" s="1"/>
  <c r="A26" i="72" s="1"/>
  <c r="A27" i="72" s="1"/>
  <c r="A28" i="72" s="1"/>
  <c r="A31" i="72" s="1"/>
  <c r="A32" i="72" s="1"/>
  <c r="A33" i="72" s="1"/>
  <c r="A34" i="72" s="1"/>
  <c r="A35" i="72" s="1"/>
  <c r="A36" i="72" s="1"/>
  <c r="A39" i="72" l="1"/>
  <c r="A42" i="72" s="1"/>
  <c r="A37" i="72"/>
  <c r="A38" i="72" s="1"/>
  <c r="A37" i="74"/>
  <c r="A38" i="74" s="1"/>
  <c r="A39" i="74" s="1"/>
  <c r="A42" i="74" s="1"/>
  <c r="A37" i="75"/>
  <c r="A38" i="75" s="1"/>
  <c r="A39" i="75" s="1"/>
  <c r="A42" i="75" s="1"/>
  <c r="F21" i="75"/>
  <c r="F36" i="71" l="1"/>
  <c r="F35" i="71"/>
  <c r="F34" i="71"/>
  <c r="F33" i="71"/>
  <c r="F32" i="71"/>
  <c r="F31" i="71"/>
  <c r="F27" i="71"/>
  <c r="F26" i="71"/>
  <c r="F25" i="71"/>
  <c r="F24" i="71"/>
  <c r="F20" i="71"/>
  <c r="F19" i="71"/>
  <c r="F18" i="71"/>
  <c r="F17" i="71"/>
  <c r="F16" i="71"/>
  <c r="A16" i="71"/>
  <c r="A17" i="71" s="1"/>
  <c r="A18" i="71" s="1"/>
  <c r="A19" i="71" s="1"/>
  <c r="A20" i="71" s="1"/>
  <c r="A21" i="71" s="1"/>
  <c r="A24" i="71" s="1"/>
  <c r="A25" i="71" s="1"/>
  <c r="A26" i="71" s="1"/>
  <c r="A27" i="71" s="1"/>
  <c r="A28" i="71" s="1"/>
  <c r="A31" i="71" s="1"/>
  <c r="A32" i="71" s="1"/>
  <c r="A33" i="71" s="1"/>
  <c r="A34" i="71" s="1"/>
  <c r="A35" i="71" s="1"/>
  <c r="A36" i="71" s="1"/>
  <c r="A39" i="71" s="1"/>
  <c r="A42" i="71" s="1"/>
  <c r="F15" i="71"/>
  <c r="F28" i="70"/>
  <c r="F21" i="70"/>
  <c r="A16" i="70"/>
  <c r="A17" i="70" s="1"/>
  <c r="A18" i="70" s="1"/>
  <c r="A19" i="70" s="1"/>
  <c r="A20" i="70" s="1"/>
  <c r="A21" i="70" s="1"/>
  <c r="A24" i="70" s="1"/>
  <c r="A25" i="70" s="1"/>
  <c r="A26" i="70" s="1"/>
  <c r="A27" i="70" s="1"/>
  <c r="A28" i="70" s="1"/>
  <c r="A31" i="70" s="1"/>
  <c r="A32" i="70" s="1"/>
  <c r="A33" i="70" s="1"/>
  <c r="A34" i="70" s="1"/>
  <c r="A35" i="70" s="1"/>
  <c r="A36" i="70" s="1"/>
  <c r="A39" i="70" s="1"/>
  <c r="A42" i="70" s="1"/>
  <c r="F28" i="68"/>
  <c r="F21" i="68"/>
  <c r="A16" i="68"/>
  <c r="A17" i="68" s="1"/>
  <c r="A18" i="68" s="1"/>
  <c r="A19" i="68" s="1"/>
  <c r="A20" i="68" s="1"/>
  <c r="A21" i="68" s="1"/>
  <c r="A24" i="68" s="1"/>
  <c r="A25" i="68" s="1"/>
  <c r="A26" i="68" s="1"/>
  <c r="A27" i="68" s="1"/>
  <c r="A28" i="68" s="1"/>
  <c r="A31" i="68" s="1"/>
  <c r="A32" i="68" s="1"/>
  <c r="A33" i="68" s="1"/>
  <c r="A34" i="68" s="1"/>
  <c r="A35" i="68" s="1"/>
  <c r="A36" i="68" s="1"/>
  <c r="A39" i="68" s="1"/>
  <c r="F21" i="71" l="1"/>
  <c r="F28" i="71"/>
  <c r="A16" i="52" l="1"/>
  <c r="A17" i="52" s="1"/>
  <c r="A18" i="52" s="1"/>
  <c r="A19" i="52" s="1"/>
  <c r="A20" i="52" s="1"/>
  <c r="A21" i="52" s="1"/>
  <c r="A24" i="52" s="1"/>
  <c r="A25" i="52" s="1"/>
  <c r="A26" i="52" s="1"/>
  <c r="A27" i="52" s="1"/>
  <c r="A28" i="52" s="1"/>
  <c r="A31" i="52" s="1"/>
  <c r="A32" i="52" s="1"/>
  <c r="A33" i="52" s="1"/>
  <c r="A34" i="52" s="1"/>
  <c r="A35" i="52" s="1"/>
  <c r="A36" i="52" s="1"/>
  <c r="A37" i="52" l="1"/>
  <c r="A38" i="52" s="1"/>
  <c r="A39" i="52" s="1"/>
  <c r="D13" i="53"/>
  <c r="L14" i="53" s="1"/>
  <c r="D56" i="53" l="1"/>
  <c r="F14" i="53"/>
  <c r="D59" i="53"/>
  <c r="D65" i="53"/>
  <c r="D62" i="53"/>
  <c r="D38" i="53"/>
  <c r="H14" i="53"/>
  <c r="J14" i="53"/>
  <c r="D26" i="53" l="1"/>
  <c r="D23" i="53"/>
  <c r="D20" i="53"/>
  <c r="D14" i="53"/>
  <c r="K56" i="61"/>
  <c r="K55" i="61"/>
  <c r="K54" i="61"/>
  <c r="K53" i="61"/>
  <c r="K47" i="61"/>
  <c r="K48" i="61"/>
  <c r="K49" i="61"/>
  <c r="K50" i="61"/>
  <c r="K51" i="61"/>
  <c r="K46" i="61"/>
  <c r="K43" i="61"/>
  <c r="K44" i="61"/>
  <c r="K42" i="61"/>
  <c r="K56" i="60"/>
  <c r="K55" i="60"/>
  <c r="K54" i="60"/>
  <c r="K53" i="60"/>
  <c r="K52" i="60"/>
  <c r="K51" i="60"/>
  <c r="K50" i="60"/>
  <c r="K49" i="60"/>
  <c r="K48" i="60"/>
  <c r="K47" i="60"/>
  <c r="K46" i="60"/>
  <c r="K45" i="60"/>
  <c r="K44" i="60"/>
  <c r="K43" i="60"/>
  <c r="K42" i="60"/>
  <c r="F38" i="67" l="1"/>
  <c r="F36" i="67"/>
  <c r="F35" i="67"/>
  <c r="F34" i="67"/>
  <c r="F33" i="67"/>
  <c r="F32" i="67"/>
  <c r="F31" i="67"/>
  <c r="F39" i="67" s="1"/>
  <c r="F27" i="67"/>
  <c r="F28" i="67" s="1"/>
  <c r="F26" i="67"/>
  <c r="F25" i="67"/>
  <c r="F24" i="67"/>
  <c r="F20" i="67"/>
  <c r="F16" i="67"/>
  <c r="F17" i="67"/>
  <c r="F18" i="67"/>
  <c r="F19" i="67"/>
  <c r="F15" i="67"/>
  <c r="A16" i="67"/>
  <c r="A17" i="67" s="1"/>
  <c r="A18" i="67" s="1"/>
  <c r="A19" i="67" s="1"/>
  <c r="A20" i="67" s="1"/>
  <c r="A21" i="67" s="1"/>
  <c r="A24" i="67" s="1"/>
  <c r="A25" i="67" s="1"/>
  <c r="A26" i="67" s="1"/>
  <c r="A27" i="67" s="1"/>
  <c r="A28" i="67" s="1"/>
  <c r="A31" i="67" s="1"/>
  <c r="A32" i="67" s="1"/>
  <c r="A33" i="67" s="1"/>
  <c r="A34" i="67" s="1"/>
  <c r="A35" i="67" s="1"/>
  <c r="A36" i="67" s="1"/>
  <c r="A39" i="67" s="1"/>
  <c r="A42" i="67" s="1"/>
  <c r="F39" i="66"/>
  <c r="F28" i="66"/>
  <c r="F21" i="66"/>
  <c r="A16" i="66"/>
  <c r="A17" i="66" s="1"/>
  <c r="A18" i="66" s="1"/>
  <c r="A19" i="66" s="1"/>
  <c r="A20" i="66" s="1"/>
  <c r="A21" i="66" s="1"/>
  <c r="A24" i="66" s="1"/>
  <c r="A25" i="66" s="1"/>
  <c r="A26" i="66" s="1"/>
  <c r="A27" i="66" s="1"/>
  <c r="A28" i="66" s="1"/>
  <c r="A31" i="66" s="1"/>
  <c r="A32" i="66" s="1"/>
  <c r="A33" i="66" s="1"/>
  <c r="A34" i="66" s="1"/>
  <c r="A35" i="66" s="1"/>
  <c r="A36" i="66" s="1"/>
  <c r="A39" i="66" s="1"/>
  <c r="A42" i="66" s="1"/>
  <c r="F36" i="63"/>
  <c r="F35" i="63"/>
  <c r="F34" i="63"/>
  <c r="F33" i="63"/>
  <c r="F32" i="63"/>
  <c r="F31" i="63"/>
  <c r="F27" i="63"/>
  <c r="F26" i="63"/>
  <c r="F25" i="63"/>
  <c r="F24" i="63"/>
  <c r="F20" i="63"/>
  <c r="F19" i="63"/>
  <c r="F18" i="63"/>
  <c r="F17" i="63"/>
  <c r="F16" i="63"/>
  <c r="F15" i="63"/>
  <c r="A16" i="63"/>
  <c r="A17" i="63" s="1"/>
  <c r="A18" i="63" s="1"/>
  <c r="A19" i="63" s="1"/>
  <c r="A20" i="63" s="1"/>
  <c r="A21" i="63" s="1"/>
  <c r="A24" i="63" s="1"/>
  <c r="A25" i="63" s="1"/>
  <c r="A26" i="63" s="1"/>
  <c r="A27" i="63" s="1"/>
  <c r="A28" i="63" s="1"/>
  <c r="A31" i="63" s="1"/>
  <c r="A32" i="63" s="1"/>
  <c r="A33" i="63" s="1"/>
  <c r="A34" i="63" s="1"/>
  <c r="A35" i="63" s="1"/>
  <c r="A36" i="63" s="1"/>
  <c r="A39" i="63" s="1"/>
  <c r="A42" i="63" s="1"/>
  <c r="F28" i="62"/>
  <c r="F21" i="62"/>
  <c r="A16" i="62"/>
  <c r="A17" i="62" s="1"/>
  <c r="A18" i="62" s="1"/>
  <c r="A19" i="62" s="1"/>
  <c r="A20" i="62" s="1"/>
  <c r="A21" i="62" s="1"/>
  <c r="A24" i="62" s="1"/>
  <c r="A25" i="62" s="1"/>
  <c r="A26" i="62" s="1"/>
  <c r="A27" i="62" s="1"/>
  <c r="A28" i="62" s="1"/>
  <c r="A31" i="62" s="1"/>
  <c r="A32" i="62" s="1"/>
  <c r="A33" i="62" s="1"/>
  <c r="A34" i="62" s="1"/>
  <c r="A35" i="62" s="1"/>
  <c r="A36" i="62" s="1"/>
  <c r="A39" i="62" s="1"/>
  <c r="A42" i="62" s="1"/>
  <c r="H55" i="61"/>
  <c r="H53" i="61"/>
  <c r="H51" i="61"/>
  <c r="H50" i="61"/>
  <c r="H49" i="61"/>
  <c r="H48" i="61"/>
  <c r="H47" i="61"/>
  <c r="H46" i="61"/>
  <c r="H44" i="61"/>
  <c r="H43" i="61"/>
  <c r="H42" i="61"/>
  <c r="H36" i="61"/>
  <c r="H35" i="61"/>
  <c r="H34" i="61"/>
  <c r="H33" i="61"/>
  <c r="H32" i="61"/>
  <c r="H31" i="61"/>
  <c r="H27" i="61"/>
  <c r="H26" i="61"/>
  <c r="H24" i="61"/>
  <c r="H20" i="61"/>
  <c r="H19" i="61"/>
  <c r="H17" i="61"/>
  <c r="H16" i="61"/>
  <c r="H15" i="61"/>
  <c r="F45" i="61"/>
  <c r="S30" i="61"/>
  <c r="S29" i="61"/>
  <c r="S23" i="61"/>
  <c r="S22" i="61"/>
  <c r="A16" i="61"/>
  <c r="A17" i="61" s="1"/>
  <c r="A18" i="61" s="1"/>
  <c r="A19" i="61" s="1"/>
  <c r="A20" i="61" s="1"/>
  <c r="A21" i="61" s="1"/>
  <c r="A24" i="61" s="1"/>
  <c r="A25" i="61" s="1"/>
  <c r="A26" i="61" s="1"/>
  <c r="A27" i="61" s="1"/>
  <c r="A28" i="61" s="1"/>
  <c r="A31" i="61" s="1"/>
  <c r="A32" i="61" s="1"/>
  <c r="A33" i="61" s="1"/>
  <c r="A34" i="61" s="1"/>
  <c r="A35" i="61" s="1"/>
  <c r="A36" i="61" s="1"/>
  <c r="F52" i="60"/>
  <c r="F45" i="60"/>
  <c r="H57" i="60"/>
  <c r="S30" i="60"/>
  <c r="S29" i="60"/>
  <c r="H28" i="60"/>
  <c r="S23" i="60"/>
  <c r="S22" i="60"/>
  <c r="H21" i="60"/>
  <c r="A16" i="60"/>
  <c r="A17" i="60" s="1"/>
  <c r="A18" i="60" s="1"/>
  <c r="A19" i="60" s="1"/>
  <c r="A20" i="60" s="1"/>
  <c r="A21" i="60" s="1"/>
  <c r="A24" i="60" s="1"/>
  <c r="A25" i="60" s="1"/>
  <c r="A26" i="60" s="1"/>
  <c r="A27" i="60" s="1"/>
  <c r="A28" i="60" s="1"/>
  <c r="A31" i="60" s="1"/>
  <c r="A32" i="60" s="1"/>
  <c r="A33" i="60" s="1"/>
  <c r="A34" i="60" s="1"/>
  <c r="A35" i="60" s="1"/>
  <c r="A36" i="60" s="1"/>
  <c r="O176" i="50"/>
  <c r="K176" i="50"/>
  <c r="O175" i="50"/>
  <c r="K175" i="50"/>
  <c r="O174" i="50"/>
  <c r="K174" i="50"/>
  <c r="O173" i="50"/>
  <c r="K173" i="50"/>
  <c r="O172" i="50"/>
  <c r="K172" i="50"/>
  <c r="O171" i="50"/>
  <c r="K171" i="50"/>
  <c r="O170" i="50"/>
  <c r="K170" i="50"/>
  <c r="O160" i="50"/>
  <c r="K160" i="50"/>
  <c r="O159" i="50"/>
  <c r="K159" i="50"/>
  <c r="O157" i="50"/>
  <c r="K157" i="50"/>
  <c r="O156" i="50"/>
  <c r="K156" i="50"/>
  <c r="O155" i="50"/>
  <c r="K155" i="50"/>
  <c r="O154" i="50"/>
  <c r="K154" i="50"/>
  <c r="O153" i="50"/>
  <c r="K153" i="50"/>
  <c r="O152" i="50"/>
  <c r="K152" i="50"/>
  <c r="O151" i="50"/>
  <c r="K151" i="50"/>
  <c r="O149" i="50"/>
  <c r="K149" i="50"/>
  <c r="O148" i="50"/>
  <c r="K148" i="50"/>
  <c r="O147" i="50"/>
  <c r="K147" i="50"/>
  <c r="O145" i="50"/>
  <c r="K145" i="50"/>
  <c r="O143" i="50"/>
  <c r="K143" i="50"/>
  <c r="O142" i="50"/>
  <c r="K142" i="50"/>
  <c r="O141" i="50"/>
  <c r="K141" i="50"/>
  <c r="O140" i="50"/>
  <c r="K140" i="50"/>
  <c r="O139" i="50"/>
  <c r="K139" i="50"/>
  <c r="O138" i="50"/>
  <c r="K138" i="50"/>
  <c r="O136" i="50"/>
  <c r="K136" i="50"/>
  <c r="O135" i="50"/>
  <c r="K135" i="50"/>
  <c r="O134" i="50"/>
  <c r="K134" i="50"/>
  <c r="T133" i="50"/>
  <c r="R133" i="50"/>
  <c r="P133" i="50"/>
  <c r="O133" i="50"/>
  <c r="O131" i="50"/>
  <c r="K131" i="50"/>
  <c r="O130" i="50"/>
  <c r="K130" i="50"/>
  <c r="O129" i="50"/>
  <c r="K129" i="50"/>
  <c r="O128" i="50"/>
  <c r="K128" i="50"/>
  <c r="O127" i="50"/>
  <c r="K127" i="50"/>
  <c r="O126" i="50"/>
  <c r="K126" i="50"/>
  <c r="O125" i="50"/>
  <c r="K125" i="50"/>
  <c r="O124" i="50"/>
  <c r="K124" i="50"/>
  <c r="O122" i="50"/>
  <c r="K122" i="50"/>
  <c r="O121" i="50"/>
  <c r="K121" i="50"/>
  <c r="O120" i="50"/>
  <c r="K120" i="50"/>
  <c r="O119" i="50"/>
  <c r="K119" i="50"/>
  <c r="O118" i="50"/>
  <c r="K118" i="50"/>
  <c r="O116" i="50"/>
  <c r="K116" i="50"/>
  <c r="O109" i="50"/>
  <c r="K109" i="50"/>
  <c r="O108" i="50"/>
  <c r="K108" i="50"/>
  <c r="O103" i="50"/>
  <c r="K103" i="50"/>
  <c r="O102" i="50"/>
  <c r="K102" i="50"/>
  <c r="O88" i="50"/>
  <c r="K88" i="50"/>
  <c r="O87" i="50"/>
  <c r="K87" i="50"/>
  <c r="O86" i="50"/>
  <c r="K86" i="50"/>
  <c r="O85" i="50"/>
  <c r="K85" i="50"/>
  <c r="O84" i="50"/>
  <c r="K84" i="50"/>
  <c r="O77" i="50"/>
  <c r="K77" i="50"/>
  <c r="O74" i="50"/>
  <c r="K74" i="50"/>
  <c r="O73" i="50"/>
  <c r="K73" i="50"/>
  <c r="O72" i="50"/>
  <c r="K72" i="50"/>
  <c r="O71" i="50"/>
  <c r="K71" i="50"/>
  <c r="O70" i="50"/>
  <c r="K70" i="50"/>
  <c r="O69" i="50"/>
  <c r="K69" i="50"/>
  <c r="O68" i="50"/>
  <c r="K68" i="50"/>
  <c r="O67" i="50"/>
  <c r="K67" i="50"/>
  <c r="O66" i="50"/>
  <c r="K66" i="50"/>
  <c r="O65" i="50"/>
  <c r="K65" i="50"/>
  <c r="O64" i="50"/>
  <c r="K64" i="50"/>
  <c r="O63" i="50"/>
  <c r="K63" i="50"/>
  <c r="O62" i="50"/>
  <c r="K62" i="50"/>
  <c r="O55" i="50"/>
  <c r="K55" i="50"/>
  <c r="O52" i="50"/>
  <c r="K52" i="50"/>
  <c r="O51" i="50"/>
  <c r="K51" i="50"/>
  <c r="O50" i="50"/>
  <c r="K50" i="50"/>
  <c r="O49" i="50"/>
  <c r="K49" i="50"/>
  <c r="O48" i="50"/>
  <c r="K48" i="50"/>
  <c r="O47" i="50"/>
  <c r="K47" i="50"/>
  <c r="O46" i="50"/>
  <c r="K46" i="50"/>
  <c r="O45" i="50"/>
  <c r="K45" i="50"/>
  <c r="O44" i="50"/>
  <c r="K44" i="50"/>
  <c r="O43" i="50"/>
  <c r="K43" i="50"/>
  <c r="O42" i="50"/>
  <c r="K42" i="50"/>
  <c r="O41" i="50"/>
  <c r="K41" i="50"/>
  <c r="O40" i="50"/>
  <c r="K40" i="50"/>
  <c r="O33" i="50"/>
  <c r="K33" i="50"/>
  <c r="O30" i="50"/>
  <c r="K30" i="50"/>
  <c r="O29" i="50"/>
  <c r="K29" i="50"/>
  <c r="O28" i="50"/>
  <c r="K28" i="50"/>
  <c r="O27" i="50"/>
  <c r="K27" i="50"/>
  <c r="O26" i="50"/>
  <c r="K26" i="50"/>
  <c r="O25" i="50"/>
  <c r="K25" i="50"/>
  <c r="O24" i="50"/>
  <c r="K24" i="50"/>
  <c r="O23" i="50"/>
  <c r="K23" i="50"/>
  <c r="O22" i="50"/>
  <c r="K22" i="50"/>
  <c r="O21" i="50"/>
  <c r="K21" i="50"/>
  <c r="O20" i="50"/>
  <c r="K20" i="50"/>
  <c r="O19" i="50"/>
  <c r="K19" i="50"/>
  <c r="O18" i="50"/>
  <c r="K18" i="50"/>
  <c r="O117" i="50"/>
  <c r="K117" i="50"/>
  <c r="F42" i="66" l="1"/>
  <c r="A37" i="60"/>
  <c r="A38" i="60" s="1"/>
  <c r="A39" i="60" s="1"/>
  <c r="A42" i="60" s="1"/>
  <c r="A43" i="60" s="1"/>
  <c r="A44" i="60" s="1"/>
  <c r="A46" i="60" s="1"/>
  <c r="A47" i="60" s="1"/>
  <c r="A48" i="60" s="1"/>
  <c r="A49" i="60" s="1"/>
  <c r="A50" i="60" s="1"/>
  <c r="A51" i="60" s="1"/>
  <c r="A53" i="60" s="1"/>
  <c r="A54" i="60" s="1"/>
  <c r="A55" i="60" s="1"/>
  <c r="A56" i="60" s="1"/>
  <c r="A57" i="60" s="1"/>
  <c r="A59" i="60" s="1"/>
  <c r="A37" i="61"/>
  <c r="A38" i="61" s="1"/>
  <c r="A39" i="61" s="1"/>
  <c r="A42" i="61" s="1"/>
  <c r="A43" i="61" s="1"/>
  <c r="A44" i="61" s="1"/>
  <c r="A46" i="61" s="1"/>
  <c r="A47" i="61" s="1"/>
  <c r="A48" i="61" s="1"/>
  <c r="A49" i="61" s="1"/>
  <c r="A50" i="61" s="1"/>
  <c r="A51" i="61" s="1"/>
  <c r="A53" i="61" s="1"/>
  <c r="A54" i="61" s="1"/>
  <c r="A55" i="61" s="1"/>
  <c r="A56" i="61" s="1"/>
  <c r="A57" i="61" s="1"/>
  <c r="A59" i="61" s="1"/>
  <c r="F21" i="67"/>
  <c r="F42" i="67" s="1"/>
  <c r="F28" i="63"/>
  <c r="F21" i="63"/>
  <c r="F39" i="58" l="1"/>
  <c r="F28" i="58"/>
  <c r="F21" i="58"/>
  <c r="A16" i="58"/>
  <c r="A17" i="58" s="1"/>
  <c r="A18" i="58" s="1"/>
  <c r="A19" i="58" s="1"/>
  <c r="A20" i="58" s="1"/>
  <c r="A21" i="58" s="1"/>
  <c r="A24" i="58" s="1"/>
  <c r="A25" i="58" s="1"/>
  <c r="A26" i="58" s="1"/>
  <c r="A27" i="58" s="1"/>
  <c r="A28" i="58" s="1"/>
  <c r="A31" i="58" s="1"/>
  <c r="A32" i="58" s="1"/>
  <c r="A33" i="58" s="1"/>
  <c r="A34" i="58" s="1"/>
  <c r="A35" i="58" s="1"/>
  <c r="A36" i="58" s="1"/>
  <c r="A39" i="58" s="1"/>
  <c r="A42" i="58" s="1"/>
  <c r="F42" i="58" l="1"/>
  <c r="F39" i="54" l="1"/>
  <c r="F28" i="54"/>
  <c r="F21" i="54"/>
  <c r="A16" i="54"/>
  <c r="A17" i="54" s="1"/>
  <c r="A18" i="54" s="1"/>
  <c r="A19" i="54" s="1"/>
  <c r="A20" i="54" s="1"/>
  <c r="A21" i="54" s="1"/>
  <c r="A24" i="54" s="1"/>
  <c r="A25" i="54" s="1"/>
  <c r="A26" i="54" s="1"/>
  <c r="A27" i="54" s="1"/>
  <c r="A28" i="54" s="1"/>
  <c r="A31" i="54" s="1"/>
  <c r="A32" i="54" s="1"/>
  <c r="A33" i="54" s="1"/>
  <c r="A34" i="54" s="1"/>
  <c r="A35" i="54" s="1"/>
  <c r="A36" i="54" s="1"/>
  <c r="F42" i="54" l="1"/>
  <c r="A42" i="52"/>
  <c r="A43" i="52" s="1"/>
  <c r="A44" i="52" s="1"/>
  <c r="A46" i="52" s="1"/>
  <c r="A47" i="52" s="1"/>
  <c r="A48" i="52" s="1"/>
  <c r="A49" i="52" s="1"/>
  <c r="A50" i="52" s="1"/>
  <c r="A51" i="52" s="1"/>
  <c r="A53" i="52" s="1"/>
  <c r="A54" i="52" s="1"/>
  <c r="A55" i="52" s="1"/>
  <c r="A56" i="52" s="1"/>
  <c r="A57" i="52" s="1"/>
  <c r="D27" i="51" l="1"/>
  <c r="D15" i="51"/>
  <c r="J13" i="51"/>
  <c r="H13" i="51"/>
  <c r="F13" i="51"/>
  <c r="D13" i="51" s="1"/>
  <c r="D12" i="51"/>
  <c r="Z159" i="50"/>
  <c r="F133" i="50"/>
  <c r="H178" i="50"/>
  <c r="AG158" i="50"/>
  <c r="AE158" i="50"/>
  <c r="AC158" i="50"/>
  <c r="AG150" i="50"/>
  <c r="AE150" i="50"/>
  <c r="AC150" i="50"/>
  <c r="AG146" i="50"/>
  <c r="AE146" i="50"/>
  <c r="AC146" i="50"/>
  <c r="AG144" i="50"/>
  <c r="AE144" i="50"/>
  <c r="AC144" i="50"/>
  <c r="AG137" i="50"/>
  <c r="AE137" i="50"/>
  <c r="AC137" i="50"/>
  <c r="AG132" i="50"/>
  <c r="AE132" i="50"/>
  <c r="AC132" i="50"/>
  <c r="AG123" i="50"/>
  <c r="AE123" i="50"/>
  <c r="AC123" i="50"/>
  <c r="H110" i="50"/>
  <c r="H104" i="50"/>
  <c r="H89" i="50"/>
  <c r="H79" i="50"/>
  <c r="H57" i="50"/>
  <c r="H35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H92" i="50" l="1"/>
  <c r="D16" i="51"/>
  <c r="D28" i="51"/>
  <c r="D22" i="11" l="1"/>
  <c r="D19" i="11"/>
  <c r="D16" i="11"/>
  <c r="J23" i="11" l="1"/>
  <c r="H23" i="11"/>
  <c r="L23" i="11"/>
  <c r="F23" i="11"/>
  <c r="T23" i="11"/>
  <c r="R23" i="11"/>
  <c r="P23" i="11"/>
  <c r="N23" i="11"/>
  <c r="H20" i="11"/>
  <c r="F20" i="11"/>
  <c r="T20" i="11"/>
  <c r="R20" i="11"/>
  <c r="N20" i="11"/>
  <c r="P20" i="11"/>
  <c r="L20" i="11"/>
  <c r="J20" i="11"/>
  <c r="J17" i="11"/>
  <c r="H17" i="11"/>
  <c r="R17" i="11"/>
  <c r="F17" i="11"/>
  <c r="D17" i="11" s="1"/>
  <c r="T17" i="11"/>
  <c r="P17" i="11"/>
  <c r="N17" i="11"/>
  <c r="L17" i="11"/>
  <c r="J66" i="12"/>
  <c r="F66" i="12"/>
  <c r="H66" i="12"/>
  <c r="D13" i="11"/>
  <c r="D49" i="11"/>
  <c r="D58" i="11"/>
  <c r="D46" i="11"/>
  <c r="D31" i="11"/>
  <c r="D55" i="11"/>
  <c r="D70" i="11"/>
  <c r="D61" i="11"/>
  <c r="D43" i="11"/>
  <c r="D28" i="11"/>
  <c r="D40" i="11"/>
  <c r="D52" i="11"/>
  <c r="D79" i="11"/>
  <c r="D76" i="11"/>
  <c r="D25" i="11"/>
  <c r="H80" i="11" l="1"/>
  <c r="F80" i="11"/>
  <c r="T80" i="11"/>
  <c r="R80" i="11"/>
  <c r="P80" i="11"/>
  <c r="N80" i="11"/>
  <c r="J80" i="11"/>
  <c r="L80" i="11"/>
  <c r="H77" i="11"/>
  <c r="F77" i="11"/>
  <c r="T77" i="11"/>
  <c r="R77" i="11"/>
  <c r="P77" i="11"/>
  <c r="L77" i="11"/>
  <c r="N77" i="11"/>
  <c r="J77" i="11"/>
  <c r="H71" i="11"/>
  <c r="F71" i="11"/>
  <c r="T71" i="11"/>
  <c r="R71" i="11"/>
  <c r="J71" i="11"/>
  <c r="P71" i="11"/>
  <c r="N71" i="11"/>
  <c r="L71" i="11"/>
  <c r="H62" i="11"/>
  <c r="F62" i="11"/>
  <c r="T62" i="11"/>
  <c r="L62" i="11"/>
  <c r="R62" i="11"/>
  <c r="P62" i="11"/>
  <c r="N62" i="11"/>
  <c r="J62" i="11"/>
  <c r="H59" i="11"/>
  <c r="F59" i="11"/>
  <c r="T59" i="11"/>
  <c r="R59" i="11"/>
  <c r="P59" i="11"/>
  <c r="N59" i="11"/>
  <c r="L59" i="11"/>
  <c r="J59" i="11"/>
  <c r="H56" i="11"/>
  <c r="F56" i="11"/>
  <c r="T56" i="11"/>
  <c r="R56" i="11"/>
  <c r="P56" i="11"/>
  <c r="N56" i="11"/>
  <c r="L56" i="11"/>
  <c r="J56" i="11"/>
  <c r="H53" i="11"/>
  <c r="F53" i="11"/>
  <c r="T53" i="11"/>
  <c r="R53" i="11"/>
  <c r="L53" i="11"/>
  <c r="P53" i="11"/>
  <c r="N53" i="11"/>
  <c r="J53" i="11"/>
  <c r="H50" i="11"/>
  <c r="F50" i="11"/>
  <c r="T50" i="11"/>
  <c r="R50" i="11"/>
  <c r="P50" i="11"/>
  <c r="J50" i="11"/>
  <c r="N50" i="11"/>
  <c r="L50" i="11"/>
  <c r="F47" i="11"/>
  <c r="P47" i="11"/>
  <c r="T47" i="11"/>
  <c r="R47" i="11"/>
  <c r="N47" i="11"/>
  <c r="J47" i="11"/>
  <c r="H47" i="11"/>
  <c r="L47" i="11"/>
  <c r="H44" i="11"/>
  <c r="P44" i="11"/>
  <c r="F44" i="11"/>
  <c r="T44" i="11"/>
  <c r="R44" i="11"/>
  <c r="N44" i="11"/>
  <c r="L44" i="11"/>
  <c r="J44" i="11"/>
  <c r="H41" i="11"/>
  <c r="T41" i="11"/>
  <c r="F41" i="11"/>
  <c r="R41" i="11"/>
  <c r="J41" i="11"/>
  <c r="P41" i="11"/>
  <c r="N41" i="11"/>
  <c r="L41" i="11"/>
  <c r="J32" i="11"/>
  <c r="H32" i="11"/>
  <c r="F32" i="11"/>
  <c r="D32" i="11" s="1"/>
  <c r="T32" i="11"/>
  <c r="N32" i="11"/>
  <c r="R32" i="11"/>
  <c r="L32" i="11"/>
  <c r="P32" i="11"/>
  <c r="H29" i="11"/>
  <c r="L29" i="11"/>
  <c r="J29" i="11"/>
  <c r="F29" i="11"/>
  <c r="T29" i="11"/>
  <c r="R29" i="11"/>
  <c r="P29" i="11"/>
  <c r="N29" i="11"/>
  <c r="J26" i="11"/>
  <c r="H26" i="11"/>
  <c r="T26" i="11"/>
  <c r="F26" i="11"/>
  <c r="R26" i="11"/>
  <c r="P26" i="11"/>
  <c r="L26" i="11"/>
  <c r="N26" i="11"/>
  <c r="D23" i="11"/>
  <c r="D20" i="11"/>
  <c r="H14" i="11"/>
  <c r="R14" i="11"/>
  <c r="D66" i="12"/>
  <c r="F14" i="11"/>
  <c r="J14" i="11"/>
  <c r="P14" i="11"/>
  <c r="T14" i="11"/>
  <c r="L14" i="11"/>
  <c r="N14" i="11"/>
  <c r="D80" i="11" l="1"/>
  <c r="D77" i="11"/>
  <c r="D71" i="11"/>
  <c r="D62" i="11"/>
  <c r="D59" i="11"/>
  <c r="D56" i="11"/>
  <c r="D53" i="11"/>
  <c r="D50" i="11"/>
  <c r="D47" i="11"/>
  <c r="D44" i="11"/>
  <c r="D41" i="11"/>
  <c r="D29" i="11"/>
  <c r="D26" i="11"/>
  <c r="N67" i="12"/>
  <c r="T67" i="12"/>
  <c r="L67" i="12"/>
  <c r="R67" i="12"/>
  <c r="P67" i="12"/>
  <c r="J67" i="12"/>
  <c r="V67" i="12"/>
  <c r="X67" i="12"/>
  <c r="H67" i="12"/>
  <c r="F67" i="12"/>
  <c r="D14" i="11"/>
  <c r="D67" i="12" l="1"/>
  <c r="AC159" i="4"/>
  <c r="Z179" i="4"/>
  <c r="H178" i="4"/>
  <c r="Z177" i="4"/>
  <c r="Z169" i="4"/>
  <c r="Z168" i="4"/>
  <c r="Z167" i="4"/>
  <c r="Z166" i="4"/>
  <c r="Z165" i="4"/>
  <c r="Z163" i="4"/>
  <c r="Z161" i="4"/>
  <c r="AL158" i="4"/>
  <c r="AK158" i="4"/>
  <c r="AJ158" i="4"/>
  <c r="AH158" i="4"/>
  <c r="AF158" i="4"/>
  <c r="AN158" i="4" s="1"/>
  <c r="Z158" i="4"/>
  <c r="AL150" i="4"/>
  <c r="AK150" i="4"/>
  <c r="AJ150" i="4"/>
  <c r="AH150" i="4"/>
  <c r="AF150" i="4"/>
  <c r="Z150" i="4"/>
  <c r="AL146" i="4"/>
  <c r="AK146" i="4"/>
  <c r="AJ146" i="4"/>
  <c r="AH146" i="4"/>
  <c r="AF146" i="4"/>
  <c r="Z146" i="4"/>
  <c r="AL144" i="4"/>
  <c r="AK144" i="4"/>
  <c r="AJ144" i="4"/>
  <c r="AH144" i="4"/>
  <c r="AF144" i="4"/>
  <c r="AN144" i="4" s="1"/>
  <c r="Z144" i="4"/>
  <c r="AL137" i="4"/>
  <c r="AK137" i="4"/>
  <c r="AJ137" i="4"/>
  <c r="AH137" i="4"/>
  <c r="AF137" i="4"/>
  <c r="AN137" i="4" s="1"/>
  <c r="Z137" i="4"/>
  <c r="AL132" i="4"/>
  <c r="AK132" i="4"/>
  <c r="AJ132" i="4"/>
  <c r="AN132" i="4" s="1"/>
  <c r="AH132" i="4"/>
  <c r="AF132" i="4"/>
  <c r="Z132" i="4"/>
  <c r="Z123" i="4"/>
  <c r="Z115" i="4"/>
  <c r="Z114" i="4"/>
  <c r="Z113" i="4"/>
  <c r="Z112" i="4"/>
  <c r="Z111" i="4"/>
  <c r="Z107" i="4"/>
  <c r="Z106" i="4"/>
  <c r="Z105" i="4"/>
  <c r="Z101" i="4"/>
  <c r="Z100" i="4"/>
  <c r="Z99" i="4"/>
  <c r="Z98" i="4"/>
  <c r="Z96" i="4"/>
  <c r="Z94" i="4"/>
  <c r="Z93" i="4"/>
  <c r="Z91" i="4"/>
  <c r="Z90" i="4"/>
  <c r="H89" i="4"/>
  <c r="Z83" i="4"/>
  <c r="Z82" i="4"/>
  <c r="Z81" i="4"/>
  <c r="Z80" i="4"/>
  <c r="Z78" i="4"/>
  <c r="Z76" i="4"/>
  <c r="Z59" i="4"/>
  <c r="Z58" i="4"/>
  <c r="Z56" i="4"/>
  <c r="Z54" i="4"/>
  <c r="Z37" i="4"/>
  <c r="Z36" i="4"/>
  <c r="Z34" i="4"/>
  <c r="Z32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9" i="4"/>
  <c r="D13" i="14"/>
  <c r="AD179" i="13"/>
  <c r="H178" i="13"/>
  <c r="AD177" i="13"/>
  <c r="AD169" i="13"/>
  <c r="AD168" i="13"/>
  <c r="AD167" i="13"/>
  <c r="AD165" i="13"/>
  <c r="AD163" i="13"/>
  <c r="H162" i="13"/>
  <c r="AD161" i="13"/>
  <c r="AD158" i="13"/>
  <c r="AD150" i="13"/>
  <c r="AD146" i="13"/>
  <c r="AD144" i="13"/>
  <c r="AD137" i="13"/>
  <c r="AD132" i="13"/>
  <c r="AD123" i="13"/>
  <c r="AD115" i="13"/>
  <c r="AD114" i="13"/>
  <c r="AD113" i="13"/>
  <c r="AD112" i="13"/>
  <c r="AD111" i="13"/>
  <c r="H110" i="13"/>
  <c r="AD107" i="13"/>
  <c r="AD106" i="13"/>
  <c r="AD105" i="13"/>
  <c r="H104" i="13"/>
  <c r="AD101" i="13"/>
  <c r="AD100" i="13"/>
  <c r="AD99" i="13"/>
  <c r="AD98" i="13"/>
  <c r="AD96" i="13"/>
  <c r="AD94" i="13"/>
  <c r="AD93" i="13"/>
  <c r="AD91" i="13"/>
  <c r="AD90" i="13"/>
  <c r="H89" i="13"/>
  <c r="AD83" i="13"/>
  <c r="AD82" i="13"/>
  <c r="AD81" i="13"/>
  <c r="AD80" i="13"/>
  <c r="H79" i="13"/>
  <c r="H92" i="13" s="1"/>
  <c r="AD78" i="13"/>
  <c r="AD76" i="13"/>
  <c r="H75" i="13"/>
  <c r="H57" i="13"/>
  <c r="AD56" i="13"/>
  <c r="AD54" i="13"/>
  <c r="H53" i="13"/>
  <c r="AD34" i="13"/>
  <c r="AD32" i="13"/>
  <c r="H31" i="13"/>
  <c r="H35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B19" i="13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Z179" i="1"/>
  <c r="H178" i="1"/>
  <c r="Z177" i="1"/>
  <c r="L176" i="1"/>
  <c r="L175" i="1"/>
  <c r="L173" i="1"/>
  <c r="L172" i="1"/>
  <c r="L171" i="1"/>
  <c r="L170" i="1"/>
  <c r="Z169" i="1"/>
  <c r="Z168" i="1"/>
  <c r="Z167" i="1"/>
  <c r="Z166" i="1"/>
  <c r="Z165" i="1"/>
  <c r="Z163" i="1"/>
  <c r="Z161" i="1"/>
  <c r="Z158" i="1"/>
  <c r="L156" i="1"/>
  <c r="L155" i="1"/>
  <c r="L153" i="1"/>
  <c r="L152" i="1"/>
  <c r="Z150" i="1"/>
  <c r="L147" i="1"/>
  <c r="Z146" i="1"/>
  <c r="Z144" i="1"/>
  <c r="L143" i="1"/>
  <c r="L141" i="1"/>
  <c r="L140" i="1"/>
  <c r="L139" i="1"/>
  <c r="Z137" i="1"/>
  <c r="L136" i="1"/>
  <c r="L135" i="1"/>
  <c r="L134" i="1"/>
  <c r="Z132" i="1"/>
  <c r="L131" i="1"/>
  <c r="L130" i="1"/>
  <c r="L128" i="1"/>
  <c r="L127" i="1"/>
  <c r="L126" i="1"/>
  <c r="L124" i="1"/>
  <c r="Z123" i="1"/>
  <c r="L122" i="1"/>
  <c r="L121" i="1"/>
  <c r="AD120" i="1"/>
  <c r="AD119" i="1"/>
  <c r="L118" i="1"/>
  <c r="AD117" i="1"/>
  <c r="Z115" i="1"/>
  <c r="Z114" i="1"/>
  <c r="Z113" i="1"/>
  <c r="Z112" i="1"/>
  <c r="Z111" i="1"/>
  <c r="H110" i="1"/>
  <c r="L109" i="1"/>
  <c r="L108" i="1"/>
  <c r="Z107" i="1"/>
  <c r="Z106" i="1"/>
  <c r="Z105" i="1"/>
  <c r="H104" i="1"/>
  <c r="L103" i="1"/>
  <c r="Z101" i="1"/>
  <c r="Z100" i="1"/>
  <c r="Z99" i="1"/>
  <c r="Z98" i="1"/>
  <c r="Z96" i="1"/>
  <c r="Z94" i="1"/>
  <c r="Z93" i="1"/>
  <c r="Z91" i="1"/>
  <c r="Z90" i="1"/>
  <c r="H89" i="1"/>
  <c r="L87" i="1"/>
  <c r="L85" i="1"/>
  <c r="L84" i="1"/>
  <c r="Z83" i="1"/>
  <c r="Z82" i="1"/>
  <c r="Z81" i="1"/>
  <c r="Z80" i="1"/>
  <c r="Z78" i="1"/>
  <c r="Z76" i="1"/>
  <c r="H75" i="1"/>
  <c r="H79" i="1" s="1"/>
  <c r="H92" i="1" s="1"/>
  <c r="Z61" i="1"/>
  <c r="Z60" i="1"/>
  <c r="Z59" i="1"/>
  <c r="Z58" i="1"/>
  <c r="H57" i="1"/>
  <c r="Z56" i="1"/>
  <c r="L55" i="1"/>
  <c r="Z54" i="1"/>
  <c r="H53" i="1"/>
  <c r="L52" i="1"/>
  <c r="L51" i="1"/>
  <c r="L50" i="1"/>
  <c r="L49" i="1"/>
  <c r="L48" i="1"/>
  <c r="L47" i="1"/>
  <c r="L46" i="1"/>
  <c r="L45" i="1"/>
  <c r="L44" i="1"/>
  <c r="L42" i="1"/>
  <c r="L41" i="1"/>
  <c r="L40" i="1"/>
  <c r="Z39" i="1"/>
  <c r="Z38" i="1"/>
  <c r="Z37" i="1"/>
  <c r="Z36" i="1"/>
  <c r="H35" i="1"/>
  <c r="Z34" i="1"/>
  <c r="L33" i="1"/>
  <c r="Z32" i="1"/>
  <c r="H31" i="1"/>
  <c r="L25" i="1"/>
  <c r="L2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9" i="1" s="1"/>
  <c r="B84" i="1" s="1"/>
  <c r="B85" i="1" s="1"/>
  <c r="B86" i="1" s="1"/>
  <c r="B87" i="1" s="1"/>
  <c r="B88" i="1" s="1"/>
  <c r="B89" i="1" s="1"/>
  <c r="B92" i="1" s="1"/>
  <c r="B95" i="1" s="1"/>
  <c r="B97" i="1" s="1"/>
  <c r="B102" i="1" s="1"/>
  <c r="B103" i="1" s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s="1"/>
  <c r="B170" i="1" s="1"/>
  <c r="B171" i="1" s="1"/>
  <c r="B172" i="1" s="1"/>
  <c r="B173" i="1" s="1"/>
  <c r="B174" i="1" s="1"/>
  <c r="B175" i="1" s="1"/>
  <c r="B176" i="1" s="1"/>
  <c r="B178" i="1" s="1"/>
  <c r="B180" i="1" s="1"/>
  <c r="Z17" i="1"/>
  <c r="Z16" i="1"/>
  <c r="Z15" i="1"/>
  <c r="Z14" i="1"/>
  <c r="D61" i="2" l="1"/>
  <c r="J62" i="2" s="1"/>
  <c r="D67" i="2"/>
  <c r="L68" i="2" s="1"/>
  <c r="D73" i="2"/>
  <c r="L74" i="2" s="1"/>
  <c r="D79" i="2"/>
  <c r="F80" i="2" s="1"/>
  <c r="D91" i="2"/>
  <c r="F92" i="2" s="1"/>
  <c r="D106" i="2"/>
  <c r="F107" i="2" s="1"/>
  <c r="L62" i="2"/>
  <c r="L92" i="2"/>
  <c r="D49" i="2"/>
  <c r="H50" i="2" s="1"/>
  <c r="D55" i="2"/>
  <c r="F56" i="2" s="1"/>
  <c r="D64" i="2"/>
  <c r="J65" i="2" s="1"/>
  <c r="D70" i="2"/>
  <c r="J71" i="2" s="1"/>
  <c r="D76" i="2"/>
  <c r="H77" i="2" s="1"/>
  <c r="D82" i="2"/>
  <c r="F83" i="2" s="1"/>
  <c r="D94" i="2"/>
  <c r="J95" i="2" s="1"/>
  <c r="D109" i="2"/>
  <c r="L110" i="2" s="1"/>
  <c r="V121" i="4"/>
  <c r="A55" i="2"/>
  <c r="F65" i="1"/>
  <c r="L65" i="1" s="1"/>
  <c r="P121" i="4"/>
  <c r="T95" i="1"/>
  <c r="F95" i="5" s="1"/>
  <c r="AB95" i="5" s="1"/>
  <c r="F95" i="50"/>
  <c r="R121" i="4"/>
  <c r="T121" i="4"/>
  <c r="AD141" i="1"/>
  <c r="AD152" i="1"/>
  <c r="V170" i="1"/>
  <c r="AD126" i="1"/>
  <c r="AD124" i="1"/>
  <c r="AD139" i="1"/>
  <c r="AD156" i="1"/>
  <c r="AD125" i="1"/>
  <c r="AD131" i="1"/>
  <c r="AD140" i="1"/>
  <c r="AD157" i="1"/>
  <c r="F70" i="1"/>
  <c r="L70" i="1" s="1"/>
  <c r="AD133" i="1"/>
  <c r="AD159" i="1"/>
  <c r="AD118" i="1"/>
  <c r="AD134" i="1"/>
  <c r="AD127" i="1"/>
  <c r="AD142" i="1"/>
  <c r="AD128" i="1"/>
  <c r="AD135" i="1"/>
  <c r="AD143" i="1"/>
  <c r="AD153" i="1"/>
  <c r="AD121" i="1"/>
  <c r="AD129" i="1"/>
  <c r="AD136" i="1"/>
  <c r="AD154" i="1"/>
  <c r="AD122" i="1"/>
  <c r="AD130" i="1"/>
  <c r="AD138" i="1"/>
  <c r="AD147" i="1"/>
  <c r="AD155" i="1"/>
  <c r="AC162" i="1"/>
  <c r="V50" i="1"/>
  <c r="V48" i="1"/>
  <c r="V155" i="1"/>
  <c r="V176" i="1"/>
  <c r="V140" i="1"/>
  <c r="V147" i="1"/>
  <c r="R147" i="1"/>
  <c r="F147" i="4" s="1"/>
  <c r="P147" i="1"/>
  <c r="F147" i="13" s="1"/>
  <c r="V153" i="1"/>
  <c r="R153" i="1"/>
  <c r="F153" i="4" s="1"/>
  <c r="P153" i="1"/>
  <c r="F153" i="13" s="1"/>
  <c r="V52" i="1"/>
  <c r="T52" i="1"/>
  <c r="R52" i="1"/>
  <c r="F52" i="4" s="1"/>
  <c r="P52" i="1"/>
  <c r="F52" i="13" s="1"/>
  <c r="V172" i="1"/>
  <c r="R172" i="1"/>
  <c r="F172" i="4" s="1"/>
  <c r="P172" i="1"/>
  <c r="F172" i="13" s="1"/>
  <c r="P131" i="1"/>
  <c r="F131" i="13" s="1"/>
  <c r="P128" i="1"/>
  <c r="F128" i="13" s="1"/>
  <c r="V49" i="1"/>
  <c r="V51" i="1"/>
  <c r="P87" i="1"/>
  <c r="F87" i="13" s="1"/>
  <c r="V139" i="1"/>
  <c r="V141" i="1"/>
  <c r="V143" i="1"/>
  <c r="V152" i="1"/>
  <c r="V156" i="1"/>
  <c r="V171" i="1"/>
  <c r="V173" i="1"/>
  <c r="V175" i="1"/>
  <c r="F62" i="1"/>
  <c r="L62" i="1" s="1"/>
  <c r="F72" i="1"/>
  <c r="L72" i="1" s="1"/>
  <c r="V45" i="1"/>
  <c r="P46" i="1"/>
  <c r="F46" i="13" s="1"/>
  <c r="P48" i="1"/>
  <c r="F48" i="13" s="1"/>
  <c r="P50" i="1"/>
  <c r="F50" i="13" s="1"/>
  <c r="P126" i="1"/>
  <c r="F126" i="13" s="1"/>
  <c r="P130" i="1"/>
  <c r="F130" i="13" s="1"/>
  <c r="P140" i="1"/>
  <c r="F140" i="13" s="1"/>
  <c r="P155" i="1"/>
  <c r="F155" i="13" s="1"/>
  <c r="P170" i="1"/>
  <c r="F170" i="13" s="1"/>
  <c r="P176" i="1"/>
  <c r="F176" i="13" s="1"/>
  <c r="L110" i="1"/>
  <c r="R48" i="1"/>
  <c r="F48" i="4" s="1"/>
  <c r="R50" i="1"/>
  <c r="F50" i="4" s="1"/>
  <c r="R140" i="1"/>
  <c r="F140" i="4" s="1"/>
  <c r="R155" i="1"/>
  <c r="F155" i="4" s="1"/>
  <c r="R170" i="1"/>
  <c r="F170" i="4" s="1"/>
  <c r="R176" i="1"/>
  <c r="F176" i="4" s="1"/>
  <c r="P25" i="1"/>
  <c r="F25" i="13" s="1"/>
  <c r="T48" i="1"/>
  <c r="T155" i="1"/>
  <c r="F73" i="1"/>
  <c r="L73" i="1" s="1"/>
  <c r="F63" i="1"/>
  <c r="L63" i="1" s="1"/>
  <c r="P47" i="1"/>
  <c r="F47" i="13" s="1"/>
  <c r="P49" i="1"/>
  <c r="F49" i="13" s="1"/>
  <c r="P51" i="1"/>
  <c r="F51" i="13" s="1"/>
  <c r="P124" i="1"/>
  <c r="P139" i="1"/>
  <c r="F139" i="13" s="1"/>
  <c r="P141" i="1"/>
  <c r="F141" i="13" s="1"/>
  <c r="P143" i="1"/>
  <c r="F143" i="13" s="1"/>
  <c r="P152" i="1"/>
  <c r="F152" i="13" s="1"/>
  <c r="P156" i="1"/>
  <c r="F156" i="13" s="1"/>
  <c r="P171" i="1"/>
  <c r="F171" i="13" s="1"/>
  <c r="P173" i="1"/>
  <c r="F173" i="13" s="1"/>
  <c r="P175" i="1"/>
  <c r="F175" i="13" s="1"/>
  <c r="F66" i="1"/>
  <c r="L66" i="1" s="1"/>
  <c r="F71" i="1"/>
  <c r="L71" i="1" s="1"/>
  <c r="R49" i="1"/>
  <c r="F49" i="4" s="1"/>
  <c r="R51" i="1"/>
  <c r="F51" i="4" s="1"/>
  <c r="R139" i="1"/>
  <c r="F139" i="4" s="1"/>
  <c r="R141" i="1"/>
  <c r="F141" i="4" s="1"/>
  <c r="R143" i="1"/>
  <c r="F143" i="4" s="1"/>
  <c r="R152" i="1"/>
  <c r="F152" i="4" s="1"/>
  <c r="R156" i="1"/>
  <c r="F156" i="4" s="1"/>
  <c r="R171" i="1"/>
  <c r="F171" i="4" s="1"/>
  <c r="R173" i="1"/>
  <c r="F173" i="4" s="1"/>
  <c r="R175" i="1"/>
  <c r="F175" i="4" s="1"/>
  <c r="F74" i="1"/>
  <c r="L74" i="1" s="1"/>
  <c r="L27" i="1"/>
  <c r="V95" i="1"/>
  <c r="F95" i="7" s="1"/>
  <c r="L30" i="1"/>
  <c r="F68" i="1"/>
  <c r="L68" i="1" s="1"/>
  <c r="L19" i="1"/>
  <c r="D14" i="10"/>
  <c r="H24" i="4" s="1"/>
  <c r="AC31" i="4"/>
  <c r="AN146" i="4"/>
  <c r="AN150" i="4"/>
  <c r="D14" i="14"/>
  <c r="D44" i="2"/>
  <c r="D47" i="2"/>
  <c r="D104" i="2"/>
  <c r="D113" i="2"/>
  <c r="D13" i="2"/>
  <c r="F14" i="2" s="1"/>
  <c r="F64" i="1"/>
  <c r="L20" i="1"/>
  <c r="F31" i="1"/>
  <c r="L28" i="1"/>
  <c r="L23" i="1"/>
  <c r="L86" i="1"/>
  <c r="F89" i="1"/>
  <c r="L18" i="1"/>
  <c r="L21" i="1"/>
  <c r="L29" i="1"/>
  <c r="F53" i="1"/>
  <c r="F77" i="1"/>
  <c r="L26" i="1"/>
  <c r="L24" i="1"/>
  <c r="L88" i="1"/>
  <c r="F104" i="1"/>
  <c r="L102" i="1"/>
  <c r="F67" i="1"/>
  <c r="F69" i="1"/>
  <c r="L43" i="1"/>
  <c r="X95" i="1"/>
  <c r="Z95" i="1" s="1"/>
  <c r="L129" i="1"/>
  <c r="L174" i="1"/>
  <c r="L95" i="1"/>
  <c r="P95" i="1"/>
  <c r="F95" i="13" s="1"/>
  <c r="L119" i="1"/>
  <c r="L125" i="1"/>
  <c r="R95" i="1"/>
  <c r="F95" i="4" s="1"/>
  <c r="F110" i="1"/>
  <c r="L120" i="1"/>
  <c r="L154" i="1"/>
  <c r="L117" i="1"/>
  <c r="L133" i="1"/>
  <c r="F178" i="1"/>
  <c r="L138" i="1"/>
  <c r="L142" i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H56" i="2" l="1"/>
  <c r="D47" i="10"/>
  <c r="H48" i="10" s="1"/>
  <c r="F124" i="13"/>
  <c r="V95" i="5"/>
  <c r="T95" i="5"/>
  <c r="R95" i="5"/>
  <c r="X95" i="5"/>
  <c r="P95" i="5"/>
  <c r="L95" i="5"/>
  <c r="Z95" i="5"/>
  <c r="AD95" i="5"/>
  <c r="H95" i="5"/>
  <c r="T95" i="4"/>
  <c r="R95" i="4"/>
  <c r="AC90" i="4" s="1"/>
  <c r="P95" i="4"/>
  <c r="L95" i="4"/>
  <c r="H95" i="4"/>
  <c r="V95" i="4"/>
  <c r="X95" i="4" s="1"/>
  <c r="Z95" i="4" s="1"/>
  <c r="AH95" i="7"/>
  <c r="R95" i="7"/>
  <c r="T95" i="7"/>
  <c r="AF95" i="7"/>
  <c r="P95" i="7"/>
  <c r="AD95" i="7"/>
  <c r="L95" i="7"/>
  <c r="AB95" i="7"/>
  <c r="H95" i="7"/>
  <c r="Z95" i="7"/>
  <c r="X95" i="7"/>
  <c r="V95" i="7"/>
  <c r="T95" i="13"/>
  <c r="R95" i="13"/>
  <c r="P95" i="13"/>
  <c r="L95" i="13"/>
  <c r="V95" i="13"/>
  <c r="H95" i="13"/>
  <c r="Z95" i="13"/>
  <c r="X95" i="13"/>
  <c r="H110" i="2"/>
  <c r="R42" i="1" s="1"/>
  <c r="F42" i="4" s="1"/>
  <c r="J107" i="2"/>
  <c r="J92" i="2"/>
  <c r="H83" i="2"/>
  <c r="J80" i="2"/>
  <c r="H107" i="2"/>
  <c r="F62" i="2"/>
  <c r="J83" i="2"/>
  <c r="H92" i="2"/>
  <c r="R119" i="1" s="1"/>
  <c r="L107" i="2"/>
  <c r="H62" i="2"/>
  <c r="L83" i="2"/>
  <c r="H95" i="2"/>
  <c r="F74" i="2"/>
  <c r="F71" i="2"/>
  <c r="P30" i="1" s="1"/>
  <c r="P74" i="1" s="1"/>
  <c r="F74" i="13" s="1"/>
  <c r="L80" i="2"/>
  <c r="V21" i="1" s="1"/>
  <c r="H80" i="2"/>
  <c r="R44" i="1" s="1"/>
  <c r="F68" i="2"/>
  <c r="J50" i="2"/>
  <c r="J56" i="2"/>
  <c r="F95" i="2"/>
  <c r="F50" i="2"/>
  <c r="L95" i="2"/>
  <c r="J77" i="2"/>
  <c r="T44" i="1" s="1"/>
  <c r="F77" i="2"/>
  <c r="J110" i="2"/>
  <c r="L77" i="2"/>
  <c r="F110" i="2"/>
  <c r="L71" i="2"/>
  <c r="V30" i="1" s="1"/>
  <c r="V74" i="1" s="1"/>
  <c r="H71" i="2"/>
  <c r="H74" i="2"/>
  <c r="R22" i="1" s="1"/>
  <c r="F22" i="4" s="1"/>
  <c r="L65" i="2"/>
  <c r="H65" i="2"/>
  <c r="R19" i="1" s="1"/>
  <c r="F19" i="4" s="1"/>
  <c r="F65" i="2"/>
  <c r="J74" i="2"/>
  <c r="H68" i="2"/>
  <c r="L56" i="2"/>
  <c r="J68" i="2"/>
  <c r="T41" i="1" s="1"/>
  <c r="L50" i="2"/>
  <c r="R126" i="1"/>
  <c r="F126" i="4" s="1"/>
  <c r="R128" i="1"/>
  <c r="F128" i="4" s="1"/>
  <c r="R124" i="1"/>
  <c r="R46" i="1"/>
  <c r="F46" i="4" s="1"/>
  <c r="R25" i="1"/>
  <c r="F25" i="4" s="1"/>
  <c r="R87" i="1"/>
  <c r="F87" i="4" s="1"/>
  <c r="T172" i="1"/>
  <c r="X172" i="1" s="1"/>
  <c r="Z172" i="1" s="1"/>
  <c r="T170" i="1"/>
  <c r="X170" i="1" s="1"/>
  <c r="Z170" i="1" s="1"/>
  <c r="T171" i="1"/>
  <c r="X171" i="1" s="1"/>
  <c r="Z171" i="1" s="1"/>
  <c r="T140" i="1"/>
  <c r="AJ140" i="1" s="1"/>
  <c r="T143" i="1"/>
  <c r="AJ143" i="1" s="1"/>
  <c r="T141" i="1"/>
  <c r="AJ141" i="1" s="1"/>
  <c r="T175" i="1"/>
  <c r="X175" i="1" s="1"/>
  <c r="Z175" i="1" s="1"/>
  <c r="T152" i="1"/>
  <c r="AJ152" i="1" s="1"/>
  <c r="T153" i="1"/>
  <c r="AJ153" i="1" s="1"/>
  <c r="T156" i="1"/>
  <c r="AJ156" i="1" s="1"/>
  <c r="T50" i="1"/>
  <c r="X50" i="1" s="1"/>
  <c r="Z50" i="1" s="1"/>
  <c r="T51" i="1"/>
  <c r="X51" i="1" s="1"/>
  <c r="Z51" i="1" s="1"/>
  <c r="T176" i="1"/>
  <c r="X176" i="1" s="1"/>
  <c r="Z176" i="1" s="1"/>
  <c r="T173" i="1"/>
  <c r="X173" i="1" s="1"/>
  <c r="Z173" i="1" s="1"/>
  <c r="T147" i="1"/>
  <c r="X147" i="1" s="1"/>
  <c r="Z147" i="1" s="1"/>
  <c r="T49" i="1"/>
  <c r="X49" i="1" s="1"/>
  <c r="Z49" i="1" s="1"/>
  <c r="T139" i="1"/>
  <c r="X139" i="1" s="1"/>
  <c r="Z139" i="1" s="1"/>
  <c r="P127" i="1"/>
  <c r="F127" i="13" s="1"/>
  <c r="H159" i="1"/>
  <c r="H160" i="1"/>
  <c r="A56" i="2"/>
  <c r="A58" i="2" s="1"/>
  <c r="A59" i="2" s="1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J155" i="1"/>
  <c r="AL139" i="1"/>
  <c r="V117" i="1"/>
  <c r="AL117" i="1" s="1"/>
  <c r="T117" i="1"/>
  <c r="AJ117" i="1" s="1"/>
  <c r="R117" i="1"/>
  <c r="AL152" i="1"/>
  <c r="AL140" i="1"/>
  <c r="AL147" i="1"/>
  <c r="AL155" i="1"/>
  <c r="AL156" i="1"/>
  <c r="T30" i="1"/>
  <c r="T74" i="1" s="1"/>
  <c r="AL141" i="1"/>
  <c r="AL153" i="1"/>
  <c r="AL143" i="1"/>
  <c r="T19" i="1"/>
  <c r="V102" i="1"/>
  <c r="T102" i="1"/>
  <c r="L133" i="50"/>
  <c r="T45" i="1"/>
  <c r="H157" i="1"/>
  <c r="L157" i="1" s="1"/>
  <c r="H151" i="1"/>
  <c r="L151" i="1" s="1"/>
  <c r="AD151" i="1" s="1"/>
  <c r="H42" i="4"/>
  <c r="R102" i="1"/>
  <c r="F102" i="4" s="1"/>
  <c r="AB95" i="13"/>
  <c r="AD95" i="13" s="1"/>
  <c r="H20" i="4"/>
  <c r="H46" i="4"/>
  <c r="H68" i="4" s="1"/>
  <c r="H18" i="4"/>
  <c r="H62" i="4" s="1"/>
  <c r="R45" i="1"/>
  <c r="F45" i="4" s="1"/>
  <c r="H120" i="4"/>
  <c r="T22" i="1"/>
  <c r="F15" i="10"/>
  <c r="AF126" i="1"/>
  <c r="AH141" i="1"/>
  <c r="AC141" i="4" s="1"/>
  <c r="AH147" i="1"/>
  <c r="AC147" i="4" s="1"/>
  <c r="AF153" i="1"/>
  <c r="AH153" i="1"/>
  <c r="AC153" i="4" s="1"/>
  <c r="AF128" i="1"/>
  <c r="AF139" i="1"/>
  <c r="AF156" i="1"/>
  <c r="AH139" i="1"/>
  <c r="AC139" i="4" s="1"/>
  <c r="AF152" i="1"/>
  <c r="AF140" i="1"/>
  <c r="AH156" i="1"/>
  <c r="AC156" i="4" s="1"/>
  <c r="AF155" i="1"/>
  <c r="AF124" i="1"/>
  <c r="AF141" i="1"/>
  <c r="AH140" i="1"/>
  <c r="AC140" i="4" s="1"/>
  <c r="AH155" i="1"/>
  <c r="AC155" i="4" s="1"/>
  <c r="AH143" i="1"/>
  <c r="AC143" i="4" s="1"/>
  <c r="AH152" i="1"/>
  <c r="AC152" i="4" s="1"/>
  <c r="AF131" i="1"/>
  <c r="AF147" i="1"/>
  <c r="AF130" i="1"/>
  <c r="AF143" i="1"/>
  <c r="T21" i="1"/>
  <c r="T20" i="1"/>
  <c r="H145" i="1"/>
  <c r="L145" i="1" s="1"/>
  <c r="P69" i="1"/>
  <c r="F69" i="13" s="1"/>
  <c r="P29" i="1"/>
  <c r="P73" i="1" s="1"/>
  <c r="V29" i="1"/>
  <c r="V73" i="1" s="1"/>
  <c r="R29" i="1"/>
  <c r="T29" i="1"/>
  <c r="V138" i="1"/>
  <c r="AL138" i="1" s="1"/>
  <c r="T138" i="1"/>
  <c r="AJ138" i="1" s="1"/>
  <c r="R138" i="1"/>
  <c r="P138" i="1"/>
  <c r="T24" i="1"/>
  <c r="P24" i="1"/>
  <c r="P68" i="1" s="1"/>
  <c r="V24" i="1"/>
  <c r="R24" i="1"/>
  <c r="R26" i="1"/>
  <c r="T26" i="1"/>
  <c r="T70" i="1" s="1"/>
  <c r="P26" i="1"/>
  <c r="P70" i="1" s="1"/>
  <c r="V26" i="1"/>
  <c r="V70" i="1" s="1"/>
  <c r="T42" i="1"/>
  <c r="P102" i="1"/>
  <c r="F102" i="13" s="1"/>
  <c r="R27" i="1"/>
  <c r="T27" i="1"/>
  <c r="P27" i="1"/>
  <c r="V27" i="1"/>
  <c r="V71" i="1" s="1"/>
  <c r="P23" i="1"/>
  <c r="L178" i="1"/>
  <c r="V174" i="1"/>
  <c r="V178" i="1" s="1"/>
  <c r="T174" i="1"/>
  <c r="R174" i="1"/>
  <c r="P174" i="1"/>
  <c r="F174" i="13" s="1"/>
  <c r="T154" i="1"/>
  <c r="AJ154" i="1" s="1"/>
  <c r="R154" i="1"/>
  <c r="P154" i="1"/>
  <c r="V154" i="1"/>
  <c r="AL154" i="1" s="1"/>
  <c r="V28" i="1"/>
  <c r="V72" i="1" s="1"/>
  <c r="R28" i="1"/>
  <c r="T28" i="1"/>
  <c r="P28" i="1"/>
  <c r="P72" i="1" s="1"/>
  <c r="V120" i="1"/>
  <c r="AL120" i="1" s="1"/>
  <c r="T120" i="1"/>
  <c r="AJ120" i="1" s="1"/>
  <c r="R120" i="1"/>
  <c r="P120" i="1"/>
  <c r="V119" i="1"/>
  <c r="AL119" i="1" s="1"/>
  <c r="V142" i="1"/>
  <c r="AL142" i="1" s="1"/>
  <c r="T142" i="1"/>
  <c r="AJ142" i="1" s="1"/>
  <c r="R142" i="1"/>
  <c r="P142" i="1"/>
  <c r="T129" i="1"/>
  <c r="AJ129" i="1" s="1"/>
  <c r="R129" i="1"/>
  <c r="P129" i="1"/>
  <c r="V129" i="1"/>
  <c r="AL129" i="1" s="1"/>
  <c r="V20" i="1"/>
  <c r="V42" i="1"/>
  <c r="X155" i="1"/>
  <c r="Z155" i="1" s="1"/>
  <c r="T119" i="1"/>
  <c r="AJ119" i="1" s="1"/>
  <c r="V23" i="1"/>
  <c r="V67" i="1" s="1"/>
  <c r="J15" i="10"/>
  <c r="L15" i="10"/>
  <c r="H15" i="10"/>
  <c r="V41" i="1"/>
  <c r="J14" i="2"/>
  <c r="H14" i="2"/>
  <c r="D62" i="2"/>
  <c r="L14" i="2"/>
  <c r="V22" i="1"/>
  <c r="T127" i="1"/>
  <c r="AJ127" i="1" s="1"/>
  <c r="R127" i="1"/>
  <c r="R41" i="1"/>
  <c r="F41" i="4" s="1"/>
  <c r="V127" i="1"/>
  <c r="AL127" i="1" s="1"/>
  <c r="T23" i="1"/>
  <c r="D32" i="2"/>
  <c r="D20" i="2"/>
  <c r="R21" i="1"/>
  <c r="X52" i="1"/>
  <c r="Z52" i="1" s="1"/>
  <c r="L31" i="1"/>
  <c r="L35" i="1" s="1"/>
  <c r="X48" i="1"/>
  <c r="Z48" i="1" s="1"/>
  <c r="L77" i="1"/>
  <c r="L89" i="1"/>
  <c r="L53" i="1"/>
  <c r="L57" i="1" s="1"/>
  <c r="L64" i="1"/>
  <c r="F57" i="1"/>
  <c r="L69" i="1"/>
  <c r="L104" i="1"/>
  <c r="L67" i="1"/>
  <c r="F75" i="1"/>
  <c r="R30" i="1" l="1"/>
  <c r="R74" i="1" s="1"/>
  <c r="X74" i="1" s="1"/>
  <c r="Z74" i="1" s="1"/>
  <c r="R20" i="1"/>
  <c r="R64" i="1" s="1"/>
  <c r="R130" i="1"/>
  <c r="R47" i="1"/>
  <c r="V44" i="1"/>
  <c r="V66" i="1" s="1"/>
  <c r="R131" i="1"/>
  <c r="F131" i="4" s="1"/>
  <c r="V131" i="1"/>
  <c r="AL131" i="1" s="1"/>
  <c r="V87" i="1"/>
  <c r="V128" i="1"/>
  <c r="AL128" i="1" s="1"/>
  <c r="V46" i="1"/>
  <c r="V68" i="1" s="1"/>
  <c r="V126" i="1"/>
  <c r="AL126" i="1" s="1"/>
  <c r="V25" i="1"/>
  <c r="V124" i="1"/>
  <c r="AL124" i="1" s="1"/>
  <c r="V130" i="1"/>
  <c r="AL130" i="1" s="1"/>
  <c r="V47" i="1"/>
  <c r="T128" i="1"/>
  <c r="AJ128" i="1" s="1"/>
  <c r="T87" i="1"/>
  <c r="T25" i="1"/>
  <c r="T47" i="1"/>
  <c r="T46" i="1"/>
  <c r="T131" i="1"/>
  <c r="AJ131" i="1" s="1"/>
  <c r="T124" i="1"/>
  <c r="AJ124" i="1" s="1"/>
  <c r="T130" i="1"/>
  <c r="AJ130" i="1" s="1"/>
  <c r="T126" i="1"/>
  <c r="AJ126" i="1" s="1"/>
  <c r="J48" i="10"/>
  <c r="L48" i="10"/>
  <c r="F48" i="10"/>
  <c r="D48" i="10" s="1"/>
  <c r="F100" i="2"/>
  <c r="F124" i="4"/>
  <c r="F23" i="10" s="1"/>
  <c r="D50" i="2"/>
  <c r="T63" i="1"/>
  <c r="AH124" i="1"/>
  <c r="AC124" i="4" s="1"/>
  <c r="X140" i="1"/>
  <c r="Z140" i="1" s="1"/>
  <c r="T73" i="1"/>
  <c r="AF127" i="1"/>
  <c r="T72" i="1"/>
  <c r="AH126" i="1"/>
  <c r="AH128" i="1"/>
  <c r="AC128" i="4" s="1"/>
  <c r="X156" i="1"/>
  <c r="Z156" i="1" s="1"/>
  <c r="X143" i="1"/>
  <c r="Z143" i="1" s="1"/>
  <c r="P42" i="1"/>
  <c r="F42" i="13" s="1"/>
  <c r="D110" i="2"/>
  <c r="P20" i="1"/>
  <c r="D107" i="2"/>
  <c r="X153" i="1"/>
  <c r="Z153" i="1" s="1"/>
  <c r="D95" i="2"/>
  <c r="P119" i="1"/>
  <c r="AF119" i="1" s="1"/>
  <c r="D92" i="2"/>
  <c r="AJ139" i="1"/>
  <c r="AN139" i="1" s="1"/>
  <c r="D83" i="2"/>
  <c r="P21" i="1"/>
  <c r="D80" i="2"/>
  <c r="P44" i="1"/>
  <c r="F44" i="13" s="1"/>
  <c r="D77" i="2"/>
  <c r="P22" i="1"/>
  <c r="F22" i="13" s="1"/>
  <c r="D74" i="2"/>
  <c r="D71" i="2"/>
  <c r="P41" i="1"/>
  <c r="F41" i="13" s="1"/>
  <c r="D68" i="2"/>
  <c r="P19" i="1"/>
  <c r="F19" i="13" s="1"/>
  <c r="D65" i="2"/>
  <c r="D56" i="2"/>
  <c r="X141" i="1"/>
  <c r="Z141" i="1" s="1"/>
  <c r="X152" i="1"/>
  <c r="Z152" i="1" s="1"/>
  <c r="T178" i="1"/>
  <c r="AJ147" i="1"/>
  <c r="AN147" i="1" s="1"/>
  <c r="T71" i="1"/>
  <c r="D41" i="2"/>
  <c r="D38" i="2"/>
  <c r="P45" i="1"/>
  <c r="F45" i="13" s="1"/>
  <c r="D35" i="2"/>
  <c r="P117" i="1"/>
  <c r="AF117" i="1" s="1"/>
  <c r="D29" i="2"/>
  <c r="D26" i="2"/>
  <c r="D23" i="2"/>
  <c r="D17" i="2"/>
  <c r="V157" i="1"/>
  <c r="AL157" i="1" s="1"/>
  <c r="V19" i="1"/>
  <c r="V63" i="1" s="1"/>
  <c r="R151" i="1"/>
  <c r="F151" i="4" s="1"/>
  <c r="V151" i="1"/>
  <c r="AL151" i="1" s="1"/>
  <c r="T151" i="1"/>
  <c r="AJ151" i="1" s="1"/>
  <c r="P151" i="1"/>
  <c r="AF151" i="1" s="1"/>
  <c r="T67" i="1"/>
  <c r="T66" i="1"/>
  <c r="T157" i="1"/>
  <c r="AJ157" i="1" s="1"/>
  <c r="H53" i="4"/>
  <c r="H57" i="4" s="1"/>
  <c r="P157" i="1"/>
  <c r="AF157" i="1" s="1"/>
  <c r="AN141" i="1"/>
  <c r="AN143" i="1"/>
  <c r="AN156" i="1"/>
  <c r="AN152" i="1"/>
  <c r="AN153" i="1"/>
  <c r="F120" i="13"/>
  <c r="AF120" i="1"/>
  <c r="F119" i="4"/>
  <c r="AH119" i="1"/>
  <c r="AC119" i="4" s="1"/>
  <c r="F129" i="4"/>
  <c r="AH129" i="1"/>
  <c r="AC129" i="4" s="1"/>
  <c r="F120" i="4"/>
  <c r="AH120" i="1"/>
  <c r="AC120" i="4" s="1"/>
  <c r="F138" i="13"/>
  <c r="AF138" i="1"/>
  <c r="F142" i="13"/>
  <c r="AF142" i="1"/>
  <c r="F138" i="4"/>
  <c r="AH138" i="1"/>
  <c r="AC138" i="4" s="1"/>
  <c r="F127" i="4"/>
  <c r="AH127" i="1"/>
  <c r="AC127" i="4" s="1"/>
  <c r="F117" i="4"/>
  <c r="AH117" i="1"/>
  <c r="AC117" i="4" s="1"/>
  <c r="F154" i="13"/>
  <c r="AF154" i="1"/>
  <c r="P145" i="1"/>
  <c r="F145" i="13" s="1"/>
  <c r="AD145" i="1"/>
  <c r="F142" i="4"/>
  <c r="AH142" i="1"/>
  <c r="AC142" i="4" s="1"/>
  <c r="F154" i="4"/>
  <c r="AH154" i="1"/>
  <c r="AC154" i="4" s="1"/>
  <c r="AN155" i="1"/>
  <c r="F129" i="13"/>
  <c r="AF129" i="1"/>
  <c r="AN140" i="1"/>
  <c r="R178" i="1"/>
  <c r="F174" i="4"/>
  <c r="R66" i="1"/>
  <c r="F44" i="4"/>
  <c r="F30" i="13"/>
  <c r="T145" i="1"/>
  <c r="V145" i="1"/>
  <c r="T64" i="1"/>
  <c r="L75" i="1"/>
  <c r="L79" i="1" s="1"/>
  <c r="L92" i="1" s="1"/>
  <c r="L97" i="1" s="1"/>
  <c r="F26" i="13"/>
  <c r="F24" i="13"/>
  <c r="F28" i="13"/>
  <c r="R71" i="1"/>
  <c r="F27" i="4"/>
  <c r="R73" i="1"/>
  <c r="F29" i="4"/>
  <c r="F21" i="4"/>
  <c r="R72" i="1"/>
  <c r="F28" i="4"/>
  <c r="R68" i="1"/>
  <c r="F24" i="4"/>
  <c r="R70" i="1"/>
  <c r="F26" i="4"/>
  <c r="P71" i="1"/>
  <c r="F71" i="13" s="1"/>
  <c r="F27" i="13"/>
  <c r="X27" i="1"/>
  <c r="Z27" i="1" s="1"/>
  <c r="F29" i="13"/>
  <c r="X127" i="1"/>
  <c r="Z127" i="1" s="1"/>
  <c r="H31" i="4"/>
  <c r="H35" i="4" s="1"/>
  <c r="H64" i="4"/>
  <c r="H75" i="4" s="1"/>
  <c r="H79" i="4" s="1"/>
  <c r="H92" i="4" s="1"/>
  <c r="R40" i="1"/>
  <c r="R18" i="1"/>
  <c r="F18" i="4" s="1"/>
  <c r="V40" i="1"/>
  <c r="V18" i="1"/>
  <c r="R157" i="1"/>
  <c r="AH157" i="1" s="1"/>
  <c r="AC157" i="4" s="1"/>
  <c r="T18" i="1"/>
  <c r="T40" i="1"/>
  <c r="P18" i="1"/>
  <c r="P40" i="1"/>
  <c r="R23" i="1"/>
  <c r="F23" i="4" s="1"/>
  <c r="R145" i="1"/>
  <c r="F145" i="4" s="1"/>
  <c r="R63" i="1"/>
  <c r="V64" i="1"/>
  <c r="F23" i="13"/>
  <c r="F72" i="13"/>
  <c r="X28" i="1"/>
  <c r="Z28" i="1" s="1"/>
  <c r="D14" i="2"/>
  <c r="D15" i="10"/>
  <c r="X120" i="1"/>
  <c r="Z120" i="1" s="1"/>
  <c r="X129" i="1"/>
  <c r="Z129" i="1" s="1"/>
  <c r="X26" i="1"/>
  <c r="Z26" i="1" s="1"/>
  <c r="X174" i="1"/>
  <c r="Z174" i="1" s="1"/>
  <c r="X154" i="1"/>
  <c r="Z154" i="1" s="1"/>
  <c r="F79" i="1"/>
  <c r="X142" i="1"/>
  <c r="Z142" i="1" s="1"/>
  <c r="X24" i="1"/>
  <c r="Z24" i="1" s="1"/>
  <c r="X138" i="1"/>
  <c r="Z138" i="1" s="1"/>
  <c r="X29" i="1"/>
  <c r="Z29" i="1" s="1"/>
  <c r="X102" i="1"/>
  <c r="P178" i="1"/>
  <c r="AH151" i="1" l="1"/>
  <c r="AL145" i="1"/>
  <c r="AJ145" i="1"/>
  <c r="AH145" i="1"/>
  <c r="AF145" i="1"/>
  <c r="F20" i="4"/>
  <c r="X20" i="1"/>
  <c r="Z20" i="1" s="1"/>
  <c r="T31" i="1"/>
  <c r="X46" i="1"/>
  <c r="Z46" i="1" s="1"/>
  <c r="H100" i="2"/>
  <c r="X30" i="1"/>
  <c r="Z30" i="1" s="1"/>
  <c r="F30" i="4"/>
  <c r="X124" i="1"/>
  <c r="Z124" i="1" s="1"/>
  <c r="X128" i="1"/>
  <c r="Z128" i="1" s="1"/>
  <c r="V69" i="1"/>
  <c r="X131" i="1"/>
  <c r="Z131" i="1" s="1"/>
  <c r="X25" i="1"/>
  <c r="Z25" i="1" s="1"/>
  <c r="AH131" i="1"/>
  <c r="AC131" i="4" s="1"/>
  <c r="X87" i="1"/>
  <c r="Z87" i="1" s="1"/>
  <c r="L100" i="2"/>
  <c r="T68" i="1"/>
  <c r="X68" i="1" s="1"/>
  <c r="Z68" i="1" s="1"/>
  <c r="T69" i="1"/>
  <c r="X126" i="1"/>
  <c r="Z126" i="1" s="1"/>
  <c r="F47" i="4"/>
  <c r="X47" i="1"/>
  <c r="Z47" i="1" s="1"/>
  <c r="AN126" i="1"/>
  <c r="F130" i="4"/>
  <c r="AH130" i="1"/>
  <c r="X130" i="1"/>
  <c r="Z130" i="1" s="1"/>
  <c r="R69" i="1"/>
  <c r="J100" i="2"/>
  <c r="AN124" i="1"/>
  <c r="F20" i="13"/>
  <c r="AC126" i="4"/>
  <c r="AN128" i="1"/>
  <c r="F119" i="13"/>
  <c r="X44" i="1"/>
  <c r="Z44" i="1" s="1"/>
  <c r="P64" i="1"/>
  <c r="X64" i="1" s="1"/>
  <c r="Z64" i="1" s="1"/>
  <c r="X42" i="1"/>
  <c r="Z42" i="1" s="1"/>
  <c r="X119" i="1"/>
  <c r="X21" i="1"/>
  <c r="Z21" i="1" s="1"/>
  <c r="F21" i="13"/>
  <c r="P66" i="1"/>
  <c r="F66" i="13" s="1"/>
  <c r="X41" i="1"/>
  <c r="Z41" i="1" s="1"/>
  <c r="P63" i="1"/>
  <c r="F63" i="13" s="1"/>
  <c r="P31" i="1"/>
  <c r="X22" i="1"/>
  <c r="Z22" i="1" s="1"/>
  <c r="P67" i="1"/>
  <c r="F67" i="13" s="1"/>
  <c r="F117" i="13"/>
  <c r="X117" i="1"/>
  <c r="Z117" i="1" s="1"/>
  <c r="X45" i="1"/>
  <c r="Z45" i="1" s="1"/>
  <c r="V31" i="1"/>
  <c r="X19" i="1"/>
  <c r="Z19" i="1" s="1"/>
  <c r="X151" i="1"/>
  <c r="Z151" i="1" s="1"/>
  <c r="F151" i="13"/>
  <c r="F157" i="13"/>
  <c r="AN127" i="1"/>
  <c r="AN119" i="1"/>
  <c r="AN120" i="1"/>
  <c r="AN138" i="1"/>
  <c r="AN117" i="1"/>
  <c r="AN157" i="1"/>
  <c r="AN129" i="1"/>
  <c r="AN154" i="1"/>
  <c r="AN142" i="1"/>
  <c r="X157" i="1"/>
  <c r="Z157" i="1" s="1"/>
  <c r="F157" i="4"/>
  <c r="F40" i="4"/>
  <c r="X145" i="1"/>
  <c r="Z145" i="1" s="1"/>
  <c r="R31" i="1"/>
  <c r="X71" i="1"/>
  <c r="Z71" i="1" s="1"/>
  <c r="X18" i="1"/>
  <c r="Z18" i="1" s="1"/>
  <c r="V62" i="1"/>
  <c r="P62" i="1"/>
  <c r="F62" i="13" s="1"/>
  <c r="F18" i="13"/>
  <c r="R67" i="1"/>
  <c r="X23" i="1"/>
  <c r="Z23" i="1" s="1"/>
  <c r="T62" i="1"/>
  <c r="R62" i="1"/>
  <c r="F40" i="13"/>
  <c r="X40" i="1"/>
  <c r="Z40" i="1" s="1"/>
  <c r="X72" i="1"/>
  <c r="Z72" i="1" s="1"/>
  <c r="X73" i="1"/>
  <c r="Z73" i="1" s="1"/>
  <c r="F73" i="13"/>
  <c r="X70" i="1"/>
  <c r="Z70" i="1" s="1"/>
  <c r="F70" i="13"/>
  <c r="F68" i="13"/>
  <c r="X178" i="1"/>
  <c r="Z178" i="1" s="1"/>
  <c r="F92" i="1"/>
  <c r="Z102" i="1"/>
  <c r="X69" i="1" l="1"/>
  <c r="Z69" i="1" s="1"/>
  <c r="AN131" i="1"/>
  <c r="AC130" i="4"/>
  <c r="AN130" i="1"/>
  <c r="F64" i="13"/>
  <c r="X66" i="1"/>
  <c r="Z66" i="1" s="1"/>
  <c r="X63" i="1"/>
  <c r="Z63" i="1" s="1"/>
  <c r="X67" i="1"/>
  <c r="Z67" i="1" s="1"/>
  <c r="X31" i="1"/>
  <c r="Z31" i="1" s="1"/>
  <c r="X62" i="1"/>
  <c r="F97" i="1"/>
  <c r="Z62" i="1" l="1"/>
  <c r="AH81" i="5" l="1"/>
  <c r="AH83" i="5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F125" i="50" s="1"/>
  <c r="AH125" i="7"/>
  <c r="T121" i="7"/>
  <c r="V121" i="7"/>
  <c r="X121" i="7"/>
  <c r="T125" i="7"/>
  <c r="Z121" i="7"/>
  <c r="V125" i="7"/>
  <c r="AB121" i="7"/>
  <c r="X125" i="7"/>
  <c r="AD121" i="7"/>
  <c r="Z125" i="7"/>
  <c r="P121" i="7"/>
  <c r="AF121" i="7"/>
  <c r="F121" i="50" s="1"/>
  <c r="AB125" i="7"/>
  <c r="R121" i="7"/>
  <c r="AH121" i="7"/>
  <c r="AD125" i="7"/>
  <c r="P125" i="7"/>
  <c r="L125" i="50" l="1"/>
  <c r="L121" i="50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T121" i="50" l="1"/>
  <c r="R121" i="50"/>
  <c r="P121" i="50"/>
  <c r="T125" i="50"/>
  <c r="P125" i="50"/>
  <c r="R125" i="50"/>
  <c r="H178" i="5"/>
  <c r="H110" i="7" l="1"/>
  <c r="AL37" i="7"/>
  <c r="AL36" i="7"/>
  <c r="AL34" i="7"/>
  <c r="AL32" i="7"/>
  <c r="AL17" i="7"/>
  <c r="AL59" i="7"/>
  <c r="AL58" i="7"/>
  <c r="AL56" i="7"/>
  <c r="AL54" i="7"/>
  <c r="AL39" i="7"/>
  <c r="H110" i="5"/>
  <c r="AH37" i="5"/>
  <c r="AH36" i="5"/>
  <c r="AH34" i="5"/>
  <c r="AH32" i="5"/>
  <c r="BC31" i="5"/>
  <c r="H31" i="5"/>
  <c r="H35" i="5" s="1"/>
  <c r="AH17" i="5"/>
  <c r="AH59" i="5"/>
  <c r="AH58" i="5"/>
  <c r="AH56" i="5"/>
  <c r="AH54" i="5"/>
  <c r="H53" i="5"/>
  <c r="H57" i="5" s="1"/>
  <c r="AH39" i="5"/>
  <c r="H89" i="7"/>
  <c r="H75" i="7"/>
  <c r="H79" i="7" s="1"/>
  <c r="H104" i="5"/>
  <c r="H89" i="5"/>
  <c r="H75" i="5"/>
  <c r="H79" i="5" s="1"/>
  <c r="H92" i="7" l="1"/>
  <c r="H92" i="5"/>
  <c r="H97" i="5" s="1"/>
  <c r="K171" i="5" l="1"/>
  <c r="K172" i="5"/>
  <c r="K173" i="5"/>
  <c r="K174" i="5"/>
  <c r="K175" i="5"/>
  <c r="K176" i="5"/>
  <c r="K170" i="5"/>
  <c r="AH158" i="7" l="1"/>
  <c r="AF158" i="7"/>
  <c r="AD158" i="7"/>
  <c r="AJ177" i="7" l="1"/>
  <c r="AJ123" i="7"/>
  <c r="AJ125" i="7"/>
  <c r="AJ132" i="7"/>
  <c r="AJ133" i="7"/>
  <c r="AJ137" i="7"/>
  <c r="AJ146" i="7"/>
  <c r="AJ150" i="7"/>
  <c r="AJ121" i="7"/>
  <c r="AR123" i="7" l="1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BL132" i="7" l="1"/>
  <c r="BL144" i="7"/>
  <c r="BL146" i="7"/>
  <c r="BL150" i="7"/>
  <c r="BL137" i="7"/>
  <c r="BL123" i="7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H76" i="5"/>
  <c r="AH78" i="5"/>
  <c r="AH80" i="5"/>
  <c r="AH90" i="5"/>
  <c r="AH91" i="5"/>
  <c r="AH93" i="5"/>
  <c r="AH94" i="5"/>
  <c r="AH96" i="5"/>
  <c r="AH106" i="5"/>
  <c r="AH107" i="5"/>
  <c r="AH111" i="5"/>
  <c r="AH100" i="5"/>
  <c r="AH101" i="5"/>
  <c r="AH105" i="5"/>
  <c r="AH112" i="5"/>
  <c r="AH113" i="5"/>
  <c r="AH114" i="5"/>
  <c r="AH115" i="5"/>
  <c r="AH123" i="5"/>
  <c r="AH132" i="5"/>
  <c r="AH137" i="5"/>
  <c r="AH138" i="5"/>
  <c r="AH144" i="5"/>
  <c r="AH146" i="5"/>
  <c r="AH150" i="5"/>
  <c r="AH158" i="5"/>
  <c r="AH161" i="5"/>
  <c r="AH163" i="5"/>
  <c r="AH165" i="5"/>
  <c r="AH166" i="5"/>
  <c r="AH167" i="5"/>
  <c r="AH168" i="5"/>
  <c r="AH177" i="5"/>
  <c r="AH179" i="5"/>
  <c r="AH61" i="5"/>
  <c r="BH158" i="7" l="1"/>
  <c r="BJ158" i="7"/>
  <c r="BF158" i="7" l="1"/>
  <c r="BL158" i="7" s="1"/>
  <c r="AJ158" i="7"/>
  <c r="AL158" i="7" s="1"/>
  <c r="H162" i="5" l="1"/>
  <c r="H164" i="5" s="1"/>
  <c r="H180" i="5" l="1"/>
  <c r="AH98" i="5" l="1"/>
  <c r="AH99" i="5"/>
  <c r="AH169" i="5" l="1"/>
  <c r="AL169" i="7" l="1"/>
  <c r="AQ31" i="5" l="1"/>
  <c r="BA31" i="5"/>
  <c r="AW31" i="5"/>
  <c r="AS31" i="5"/>
  <c r="AU31" i="5"/>
  <c r="AO31" i="5"/>
  <c r="F48" i="5" l="1"/>
  <c r="L48" i="5" s="1"/>
  <c r="AB48" i="5" s="1"/>
  <c r="F48" i="7"/>
  <c r="L48" i="7" s="1"/>
  <c r="AD48" i="7" l="1"/>
  <c r="AB48" i="7"/>
  <c r="Z48" i="7"/>
  <c r="AF48" i="7"/>
  <c r="F48" i="50" s="1"/>
  <c r="L48" i="50" s="1"/>
  <c r="V48" i="7"/>
  <c r="T48" i="7"/>
  <c r="AH48" i="7"/>
  <c r="X48" i="7"/>
  <c r="R48" i="7"/>
  <c r="P48" i="7"/>
  <c r="AD48" i="5"/>
  <c r="Z48" i="5"/>
  <c r="X48" i="5"/>
  <c r="T48" i="5"/>
  <c r="R48" i="5"/>
  <c r="V48" i="5"/>
  <c r="P48" i="5"/>
  <c r="AF48" i="5" l="1"/>
  <c r="AH48" i="5" s="1"/>
  <c r="R48" i="50"/>
  <c r="P48" i="50"/>
  <c r="T48" i="50"/>
  <c r="AJ48" i="7"/>
  <c r="AL48" i="7" s="1"/>
  <c r="F40" i="5" l="1"/>
  <c r="F40" i="7"/>
  <c r="L40" i="7" s="1"/>
  <c r="L40" i="5" l="1"/>
  <c r="AB40" i="5" s="1"/>
  <c r="AD40" i="5" l="1"/>
  <c r="X40" i="5"/>
  <c r="Z40" i="5"/>
  <c r="T40" i="5"/>
  <c r="R40" i="5"/>
  <c r="P40" i="5"/>
  <c r="V40" i="5"/>
  <c r="AF40" i="5" l="1"/>
  <c r="AH40" i="5" s="1"/>
  <c r="F52" i="7" l="1"/>
  <c r="F52" i="5"/>
  <c r="L52" i="7" l="1"/>
  <c r="L52" i="5"/>
  <c r="AB52" i="5" s="1"/>
  <c r="T52" i="5" l="1"/>
  <c r="R52" i="5"/>
  <c r="P52" i="5"/>
  <c r="AD52" i="5"/>
  <c r="Z52" i="5"/>
  <c r="X52" i="5"/>
  <c r="V52" i="5"/>
  <c r="AF52" i="5" l="1"/>
  <c r="AH52" i="5" s="1"/>
  <c r="H104" i="7" l="1"/>
  <c r="F140" i="5" l="1"/>
  <c r="L140" i="5" s="1"/>
  <c r="AB140" i="5" s="1"/>
  <c r="F140" i="7"/>
  <c r="L140" i="7" s="1"/>
  <c r="AH140" i="7" l="1"/>
  <c r="R140" i="7"/>
  <c r="AF140" i="7"/>
  <c r="F140" i="50" s="1"/>
  <c r="P140" i="7"/>
  <c r="AD140" i="7"/>
  <c r="T140" i="7"/>
  <c r="X140" i="7"/>
  <c r="V140" i="7"/>
  <c r="AB140" i="7"/>
  <c r="Z140" i="7"/>
  <c r="AD140" i="5"/>
  <c r="Z140" i="5"/>
  <c r="X140" i="5"/>
  <c r="V140" i="5"/>
  <c r="T140" i="5"/>
  <c r="R140" i="5"/>
  <c r="P140" i="5"/>
  <c r="AO140" i="7"/>
  <c r="AP140" i="7" s="1"/>
  <c r="AK140" i="5"/>
  <c r="AL140" i="5" s="1"/>
  <c r="AZ140" i="5" s="1"/>
  <c r="AF140" i="5" l="1"/>
  <c r="AH140" i="5" s="1"/>
  <c r="L140" i="50"/>
  <c r="AN140" i="5"/>
  <c r="AT140" i="5"/>
  <c r="AV140" i="5"/>
  <c r="AP140" i="5"/>
  <c r="AX140" i="5"/>
  <c r="AR140" i="5"/>
  <c r="BB140" i="5"/>
  <c r="P140" i="50" l="1"/>
  <c r="T140" i="50"/>
  <c r="R140" i="50"/>
  <c r="BD140" i="5"/>
  <c r="F87" i="7" l="1"/>
  <c r="F87" i="5"/>
  <c r="F46" i="5" l="1"/>
  <c r="L46" i="5" s="1"/>
  <c r="AB46" i="5" s="1"/>
  <c r="F46" i="7"/>
  <c r="L46" i="7" s="1"/>
  <c r="F51" i="5"/>
  <c r="L51" i="5" s="1"/>
  <c r="AB51" i="5" s="1"/>
  <c r="F51" i="7"/>
  <c r="L51" i="7" s="1"/>
  <c r="F50" i="5" l="1"/>
  <c r="L50" i="5" s="1"/>
  <c r="AB50" i="5" s="1"/>
  <c r="F50" i="7"/>
  <c r="L50" i="7" s="1"/>
  <c r="F47" i="5"/>
  <c r="L47" i="5" s="1"/>
  <c r="AB47" i="5" s="1"/>
  <c r="F47" i="7"/>
  <c r="L47" i="7" s="1"/>
  <c r="F49" i="5"/>
  <c r="L49" i="5" s="1"/>
  <c r="AB49" i="5" s="1"/>
  <c r="F49" i="7"/>
  <c r="L49" i="7" s="1"/>
  <c r="AH51" i="7"/>
  <c r="R51" i="7"/>
  <c r="AF51" i="7"/>
  <c r="F51" i="50" s="1"/>
  <c r="L51" i="50" s="1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D51" i="5"/>
  <c r="V51" i="5"/>
  <c r="T51" i="5"/>
  <c r="X46" i="5"/>
  <c r="V46" i="5"/>
  <c r="T46" i="5"/>
  <c r="P46" i="5"/>
  <c r="Z46" i="5"/>
  <c r="AD46" i="5"/>
  <c r="R46" i="5"/>
  <c r="AF46" i="5" l="1"/>
  <c r="AH46" i="5" s="1"/>
  <c r="AF51" i="5"/>
  <c r="AH51" i="5" s="1"/>
  <c r="P46" i="50"/>
  <c r="T46" i="50"/>
  <c r="R46" i="50"/>
  <c r="T51" i="50"/>
  <c r="P51" i="50"/>
  <c r="R51" i="50"/>
  <c r="V50" i="7"/>
  <c r="T50" i="7"/>
  <c r="AH50" i="7"/>
  <c r="R50" i="7"/>
  <c r="AF50" i="7"/>
  <c r="F50" i="50" s="1"/>
  <c r="L50" i="50" s="1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F49" i="50" s="1"/>
  <c r="L49" i="50" s="1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D47" i="5"/>
  <c r="T47" i="5"/>
  <c r="AD49" i="5"/>
  <c r="Z49" i="5"/>
  <c r="V49" i="5"/>
  <c r="T49" i="5"/>
  <c r="P49" i="5"/>
  <c r="R49" i="5"/>
  <c r="X49" i="5"/>
  <c r="P50" i="5"/>
  <c r="AD50" i="5"/>
  <c r="X50" i="5"/>
  <c r="V50" i="5"/>
  <c r="Z50" i="5"/>
  <c r="T50" i="5"/>
  <c r="R50" i="5"/>
  <c r="AJ46" i="7"/>
  <c r="AL46" i="7" s="1"/>
  <c r="AF50" i="5" l="1"/>
  <c r="AH50" i="5" s="1"/>
  <c r="AF47" i="5"/>
  <c r="AH47" i="5" s="1"/>
  <c r="AF49" i="5"/>
  <c r="AH49" i="5" s="1"/>
  <c r="T47" i="50"/>
  <c r="P47" i="50"/>
  <c r="R47" i="50"/>
  <c r="P50" i="50"/>
  <c r="T50" i="50"/>
  <c r="R50" i="50"/>
  <c r="T49" i="50"/>
  <c r="R49" i="50"/>
  <c r="P49" i="50"/>
  <c r="F29" i="7"/>
  <c r="L29" i="7" s="1"/>
  <c r="F73" i="7"/>
  <c r="L73" i="7" s="1"/>
  <c r="AJ47" i="7"/>
  <c r="AL47" i="7" s="1"/>
  <c r="F29" i="5"/>
  <c r="L29" i="5" s="1"/>
  <c r="AB29" i="5" s="1"/>
  <c r="F73" i="5"/>
  <c r="L73" i="5" s="1"/>
  <c r="AB73" i="5" l="1"/>
  <c r="X29" i="7"/>
  <c r="T29" i="7"/>
  <c r="AH29" i="7"/>
  <c r="R29" i="7"/>
  <c r="AB29" i="7"/>
  <c r="Z29" i="7"/>
  <c r="V29" i="7"/>
  <c r="AD29" i="7"/>
  <c r="P29" i="7"/>
  <c r="AF29" i="7"/>
  <c r="F29" i="50" s="1"/>
  <c r="L29" i="50" s="1"/>
  <c r="V29" i="5"/>
  <c r="T29" i="5"/>
  <c r="R29" i="5"/>
  <c r="AD29" i="5"/>
  <c r="Z29" i="5"/>
  <c r="X29" i="5"/>
  <c r="P29" i="5"/>
  <c r="F71" i="5"/>
  <c r="L71" i="5" s="1"/>
  <c r="F27" i="5"/>
  <c r="L27" i="5" s="1"/>
  <c r="AB27" i="5" s="1"/>
  <c r="F26" i="7"/>
  <c r="L26" i="7" s="1"/>
  <c r="F70" i="7"/>
  <c r="L70" i="7" s="1"/>
  <c r="F69" i="7"/>
  <c r="L69" i="7" s="1"/>
  <c r="F25" i="7"/>
  <c r="L25" i="7" s="1"/>
  <c r="F68" i="7"/>
  <c r="L68" i="7" s="1"/>
  <c r="F24" i="7"/>
  <c r="L24" i="7" s="1"/>
  <c r="F69" i="5"/>
  <c r="L69" i="5" s="1"/>
  <c r="F25" i="5"/>
  <c r="L25" i="5" s="1"/>
  <c r="AB25" i="5" s="1"/>
  <c r="F27" i="7"/>
  <c r="L27" i="7" s="1"/>
  <c r="F71" i="7"/>
  <c r="L71" i="7" s="1"/>
  <c r="F68" i="5"/>
  <c r="L68" i="5" s="1"/>
  <c r="F24" i="5"/>
  <c r="L24" i="5" s="1"/>
  <c r="AB24" i="5" s="1"/>
  <c r="F26" i="5"/>
  <c r="L26" i="5" s="1"/>
  <c r="AB26" i="5" s="1"/>
  <c r="F70" i="5"/>
  <c r="L70" i="5" s="1"/>
  <c r="AF29" i="5" l="1"/>
  <c r="AB69" i="5"/>
  <c r="AB71" i="5"/>
  <c r="AB70" i="5"/>
  <c r="AB68" i="5"/>
  <c r="T29" i="50"/>
  <c r="T73" i="50" s="1"/>
  <c r="R29" i="50"/>
  <c r="R73" i="50" s="1"/>
  <c r="P29" i="50"/>
  <c r="P73" i="50" s="1"/>
  <c r="T26" i="7"/>
  <c r="AF26" i="7"/>
  <c r="F26" i="50" s="1"/>
  <c r="L26" i="50" s="1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F24" i="50" s="1"/>
  <c r="L24" i="50" s="1"/>
  <c r="AF27" i="7"/>
  <c r="F27" i="50" s="1"/>
  <c r="L27" i="50" s="1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F25" i="50" s="1"/>
  <c r="L25" i="50" s="1"/>
  <c r="AB25" i="7"/>
  <c r="V25" i="7"/>
  <c r="P25" i="7"/>
  <c r="AD25" i="5"/>
  <c r="V25" i="5"/>
  <c r="T25" i="5"/>
  <c r="Z25" i="5"/>
  <c r="X25" i="5"/>
  <c r="P25" i="5"/>
  <c r="R25" i="5"/>
  <c r="R27" i="5"/>
  <c r="P27" i="5"/>
  <c r="Z27" i="5"/>
  <c r="X27" i="5"/>
  <c r="AD27" i="5"/>
  <c r="V27" i="5"/>
  <c r="T27" i="5"/>
  <c r="P26" i="5"/>
  <c r="AD26" i="5"/>
  <c r="X26" i="5"/>
  <c r="V26" i="5"/>
  <c r="Z26" i="5"/>
  <c r="T26" i="5"/>
  <c r="R26" i="5"/>
  <c r="AD24" i="5"/>
  <c r="Z24" i="5"/>
  <c r="T24" i="5"/>
  <c r="R24" i="5"/>
  <c r="X24" i="5"/>
  <c r="P24" i="5"/>
  <c r="V24" i="5"/>
  <c r="X73" i="5"/>
  <c r="R73" i="5"/>
  <c r="V73" i="5"/>
  <c r="AD73" i="5"/>
  <c r="F28" i="7"/>
  <c r="L28" i="7" s="1"/>
  <c r="F72" i="7"/>
  <c r="L72" i="7" s="1"/>
  <c r="P73" i="5"/>
  <c r="Z73" i="5"/>
  <c r="F28" i="5"/>
  <c r="L28" i="5" s="1"/>
  <c r="AB28" i="5" s="1"/>
  <c r="F72" i="5"/>
  <c r="L72" i="5" s="1"/>
  <c r="T73" i="5"/>
  <c r="AF73" i="5" l="1"/>
  <c r="AH73" i="5" s="1"/>
  <c r="AF26" i="5"/>
  <c r="AF25" i="5"/>
  <c r="AF24" i="5"/>
  <c r="AZ24" i="5" s="1"/>
  <c r="AF27" i="5"/>
  <c r="AH29" i="5"/>
  <c r="AZ29" i="5"/>
  <c r="AB72" i="5"/>
  <c r="T25" i="50"/>
  <c r="T69" i="50" s="1"/>
  <c r="R25" i="50"/>
  <c r="R69" i="50" s="1"/>
  <c r="P25" i="50"/>
  <c r="P69" i="50" s="1"/>
  <c r="T27" i="50"/>
  <c r="T71" i="50" s="1"/>
  <c r="R27" i="50"/>
  <c r="R71" i="50" s="1"/>
  <c r="P27" i="50"/>
  <c r="P71" i="50" s="1"/>
  <c r="R24" i="50"/>
  <c r="R68" i="50" s="1"/>
  <c r="P24" i="50"/>
  <c r="P68" i="50" s="1"/>
  <c r="T24" i="50"/>
  <c r="T68" i="50" s="1"/>
  <c r="P26" i="50"/>
  <c r="P70" i="50" s="1"/>
  <c r="T26" i="50"/>
  <c r="T70" i="50" s="1"/>
  <c r="R26" i="50"/>
  <c r="R70" i="50" s="1"/>
  <c r="AB28" i="7"/>
  <c r="X28" i="7"/>
  <c r="V28" i="7"/>
  <c r="Z28" i="7"/>
  <c r="T28" i="7"/>
  <c r="P28" i="7"/>
  <c r="R28" i="7"/>
  <c r="AH28" i="7"/>
  <c r="AF28" i="7"/>
  <c r="F28" i="50" s="1"/>
  <c r="L28" i="50" s="1"/>
  <c r="AD28" i="7"/>
  <c r="T28" i="5"/>
  <c r="P28" i="5"/>
  <c r="R28" i="5"/>
  <c r="AD28" i="5"/>
  <c r="Z28" i="5"/>
  <c r="X28" i="5"/>
  <c r="V28" i="5"/>
  <c r="AR29" i="5"/>
  <c r="AX29" i="5"/>
  <c r="Z70" i="7"/>
  <c r="AH70" i="7"/>
  <c r="P69" i="5"/>
  <c r="T69" i="7"/>
  <c r="Z69" i="7"/>
  <c r="V68" i="5"/>
  <c r="V71" i="5"/>
  <c r="V68" i="7"/>
  <c r="AD70" i="7"/>
  <c r="Z69" i="5"/>
  <c r="AD70" i="5"/>
  <c r="R69" i="7"/>
  <c r="AD69" i="7"/>
  <c r="P68" i="5"/>
  <c r="R71" i="5"/>
  <c r="AD68" i="7"/>
  <c r="AT29" i="5"/>
  <c r="AF70" i="7"/>
  <c r="F70" i="50" s="1"/>
  <c r="L70" i="50" s="1"/>
  <c r="V69" i="5"/>
  <c r="T70" i="5"/>
  <c r="AH69" i="7"/>
  <c r="X68" i="5"/>
  <c r="AD71" i="5"/>
  <c r="X68" i="7"/>
  <c r="AB70" i="7"/>
  <c r="T69" i="5"/>
  <c r="V70" i="5"/>
  <c r="AF69" i="7"/>
  <c r="F69" i="50" s="1"/>
  <c r="L69" i="50" s="1"/>
  <c r="R68" i="5"/>
  <c r="T71" i="5"/>
  <c r="R68" i="7"/>
  <c r="X70" i="7"/>
  <c r="R69" i="5"/>
  <c r="P70" i="5"/>
  <c r="V69" i="7"/>
  <c r="Z68" i="5"/>
  <c r="X71" i="5"/>
  <c r="T68" i="7"/>
  <c r="AP29" i="5"/>
  <c r="V70" i="7"/>
  <c r="AD69" i="5"/>
  <c r="AN29" i="5"/>
  <c r="Z70" i="5"/>
  <c r="AJ25" i="7"/>
  <c r="AL25" i="7" s="1"/>
  <c r="P69" i="7"/>
  <c r="AD68" i="5"/>
  <c r="BB29" i="5"/>
  <c r="AB68" i="7"/>
  <c r="P68" i="7"/>
  <c r="AJ24" i="7"/>
  <c r="AL24" i="7" s="1"/>
  <c r="AV29" i="5"/>
  <c r="P70" i="7"/>
  <c r="AJ26" i="7"/>
  <c r="AL26" i="7" s="1"/>
  <c r="X69" i="5"/>
  <c r="R70" i="5"/>
  <c r="AB69" i="7"/>
  <c r="T68" i="5"/>
  <c r="Z71" i="5"/>
  <c r="AH68" i="7"/>
  <c r="AF68" i="7"/>
  <c r="F68" i="50" s="1"/>
  <c r="L68" i="50" s="1"/>
  <c r="T70" i="7"/>
  <c r="R70" i="7"/>
  <c r="X70" i="5"/>
  <c r="X69" i="7"/>
  <c r="P71" i="5"/>
  <c r="Z68" i="7"/>
  <c r="AF71" i="5" l="1"/>
  <c r="AH71" i="5" s="1"/>
  <c r="AF69" i="5"/>
  <c r="AH69" i="5" s="1"/>
  <c r="AF70" i="5"/>
  <c r="AH70" i="5" s="1"/>
  <c r="AF68" i="5"/>
  <c r="AH68" i="5" s="1"/>
  <c r="AF28" i="5"/>
  <c r="AH24" i="5"/>
  <c r="AH27" i="5"/>
  <c r="AZ27" i="5"/>
  <c r="AH25" i="5"/>
  <c r="AZ25" i="5"/>
  <c r="AH26" i="5"/>
  <c r="AZ26" i="5"/>
  <c r="R28" i="50"/>
  <c r="R72" i="50" s="1"/>
  <c r="P28" i="50"/>
  <c r="P72" i="50" s="1"/>
  <c r="T28" i="50"/>
  <c r="T72" i="50" s="1"/>
  <c r="BD25" i="7"/>
  <c r="AT26" i="7"/>
  <c r="AV26" i="7"/>
  <c r="AZ25" i="7"/>
  <c r="AR24" i="7"/>
  <c r="BH24" i="7"/>
  <c r="BD24" i="7"/>
  <c r="AR25" i="7"/>
  <c r="BB24" i="7"/>
  <c r="BJ24" i="7"/>
  <c r="AJ70" i="7"/>
  <c r="AL70" i="7" s="1"/>
  <c r="AT24" i="7"/>
  <c r="X72" i="5"/>
  <c r="BB25" i="7"/>
  <c r="BD29" i="5"/>
  <c r="AX26" i="7"/>
  <c r="AX25" i="7"/>
  <c r="AZ24" i="7"/>
  <c r="BF24" i="7"/>
  <c r="R72" i="5"/>
  <c r="AX27" i="5"/>
  <c r="AT25" i="7"/>
  <c r="T72" i="5"/>
  <c r="BF26" i="7"/>
  <c r="BJ26" i="7"/>
  <c r="AV24" i="7"/>
  <c r="AD72" i="5"/>
  <c r="AX24" i="7"/>
  <c r="AV25" i="7"/>
  <c r="AN27" i="5"/>
  <c r="AJ69" i="7"/>
  <c r="AL69" i="7" s="1"/>
  <c r="AP27" i="5"/>
  <c r="V72" i="5"/>
  <c r="AR26" i="7"/>
  <c r="AZ26" i="7"/>
  <c r="AR27" i="5"/>
  <c r="Z72" i="5"/>
  <c r="AV27" i="5"/>
  <c r="BD26" i="7"/>
  <c r="BB27" i="5"/>
  <c r="BJ25" i="7"/>
  <c r="P72" i="5"/>
  <c r="AT27" i="5"/>
  <c r="BB26" i="7"/>
  <c r="AJ68" i="7"/>
  <c r="AL68" i="7" s="1"/>
  <c r="BH25" i="7"/>
  <c r="BH26" i="7"/>
  <c r="BF25" i="7"/>
  <c r="AF72" i="5" l="1"/>
  <c r="AH72" i="5" s="1"/>
  <c r="AH28" i="5"/>
  <c r="AZ28" i="5"/>
  <c r="AX28" i="5"/>
  <c r="BL24" i="7"/>
  <c r="AN28" i="5"/>
  <c r="BL25" i="7"/>
  <c r="AV28" i="5"/>
  <c r="BB28" i="5"/>
  <c r="AP28" i="5"/>
  <c r="BD27" i="5"/>
  <c r="AR28" i="5"/>
  <c r="BL26" i="7"/>
  <c r="AT28" i="5"/>
  <c r="BD28" i="5" l="1"/>
  <c r="AV24" i="5" l="1"/>
  <c r="AR24" i="5"/>
  <c r="AX24" i="5"/>
  <c r="AP24" i="5"/>
  <c r="AN24" i="5"/>
  <c r="BB24" i="5"/>
  <c r="AT24" i="5"/>
  <c r="BD24" i="5" l="1"/>
  <c r="AX26" i="5" l="1"/>
  <c r="AP26" i="5"/>
  <c r="AV26" i="5"/>
  <c r="AN26" i="5"/>
  <c r="BB26" i="5"/>
  <c r="AR26" i="5"/>
  <c r="AT26" i="5"/>
  <c r="AV25" i="5"/>
  <c r="AN25" i="5"/>
  <c r="AX25" i="5"/>
  <c r="AT25" i="5"/>
  <c r="AR25" i="5"/>
  <c r="AP25" i="5"/>
  <c r="BB25" i="5"/>
  <c r="BD26" i="5" l="1"/>
  <c r="BD25" i="5"/>
  <c r="H53" i="7" l="1"/>
  <c r="H57" i="7" s="1"/>
  <c r="H31" i="7"/>
  <c r="H35" i="7" s="1"/>
  <c r="H159" i="7" l="1"/>
  <c r="H160" i="7"/>
  <c r="H151" i="7"/>
  <c r="H145" i="7"/>
  <c r="H162" i="7" l="1"/>
  <c r="F172" i="5"/>
  <c r="L172" i="5" s="1"/>
  <c r="AB172" i="5" s="1"/>
  <c r="F172" i="7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D172" i="5"/>
  <c r="Z172" i="5"/>
  <c r="X172" i="5"/>
  <c r="V172" i="5"/>
  <c r="T172" i="5"/>
  <c r="P172" i="50" l="1"/>
  <c r="R172" i="50"/>
  <c r="T172" i="50"/>
  <c r="AJ172" i="7"/>
  <c r="AL172" i="7" s="1"/>
  <c r="AF172" i="5"/>
  <c r="AH172" i="5" s="1"/>
  <c r="F174" i="5" l="1"/>
  <c r="L174" i="5" s="1"/>
  <c r="AB174" i="5" s="1"/>
  <c r="F174" i="7"/>
  <c r="L174" i="7" s="1"/>
  <c r="F171" i="5"/>
  <c r="L171" i="5" s="1"/>
  <c r="F171" i="7"/>
  <c r="L171" i="7" s="1"/>
  <c r="F173" i="5"/>
  <c r="L173" i="5" s="1"/>
  <c r="AB173" i="5" s="1"/>
  <c r="F173" i="7"/>
  <c r="L173" i="7" s="1"/>
  <c r="F175" i="5"/>
  <c r="L175" i="5" s="1"/>
  <c r="AB175" i="5" s="1"/>
  <c r="F175" i="7"/>
  <c r="L175" i="7" s="1"/>
  <c r="Z171" i="5" l="1"/>
  <c r="AB171" i="5"/>
  <c r="Z171" i="7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D174" i="5"/>
  <c r="P171" i="5"/>
  <c r="AD171" i="5"/>
  <c r="X171" i="5"/>
  <c r="V171" i="5"/>
  <c r="T171" i="5"/>
  <c r="R171" i="5"/>
  <c r="Z175" i="5"/>
  <c r="X175" i="5"/>
  <c r="V175" i="5"/>
  <c r="T175" i="5"/>
  <c r="R175" i="5"/>
  <c r="P175" i="5"/>
  <c r="AD175" i="5"/>
  <c r="T173" i="5"/>
  <c r="R173" i="5"/>
  <c r="P173" i="5"/>
  <c r="AD173" i="5"/>
  <c r="Z173" i="5"/>
  <c r="X173" i="5"/>
  <c r="V173" i="5"/>
  <c r="R175" i="50" l="1"/>
  <c r="T175" i="50"/>
  <c r="P175" i="50"/>
  <c r="R173" i="50"/>
  <c r="T173" i="50"/>
  <c r="P173" i="50"/>
  <c r="R171" i="50"/>
  <c r="T171" i="50"/>
  <c r="P171" i="50"/>
  <c r="P174" i="50"/>
  <c r="R174" i="50"/>
  <c r="T174" i="50"/>
  <c r="F170" i="7"/>
  <c r="AF171" i="5"/>
  <c r="AH171" i="5" s="1"/>
  <c r="AF173" i="5"/>
  <c r="AH173" i="5" s="1"/>
  <c r="AJ171" i="7"/>
  <c r="AL171" i="7" s="1"/>
  <c r="AJ174" i="7"/>
  <c r="AL174" i="7" s="1"/>
  <c r="AF175" i="5"/>
  <c r="AH175" i="5" s="1"/>
  <c r="AF174" i="5"/>
  <c r="AH174" i="5" s="1"/>
  <c r="F170" i="5"/>
  <c r="AJ175" i="7"/>
  <c r="AL175" i="7" s="1"/>
  <c r="AJ173" i="7"/>
  <c r="AL173" i="7" s="1"/>
  <c r="L170" i="5" l="1"/>
  <c r="AB170" i="5" s="1"/>
  <c r="L170" i="7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D170" i="5"/>
  <c r="Z170" i="5"/>
  <c r="X170" i="5"/>
  <c r="V170" i="5"/>
  <c r="T170" i="5"/>
  <c r="P170" i="5"/>
  <c r="R170" i="5"/>
  <c r="T170" i="50" l="1"/>
  <c r="R170" i="50"/>
  <c r="P170" i="50"/>
  <c r="AJ170" i="7"/>
  <c r="AL170" i="7" s="1"/>
  <c r="AF170" i="5"/>
  <c r="AH170" i="5" l="1"/>
  <c r="AK31" i="5" l="1"/>
  <c r="F45" i="5" l="1"/>
  <c r="L45" i="5" s="1"/>
  <c r="AB45" i="5" s="1"/>
  <c r="V45" i="5" l="1"/>
  <c r="T45" i="5"/>
  <c r="R45" i="5"/>
  <c r="AD45" i="5"/>
  <c r="Z45" i="5"/>
  <c r="X45" i="5"/>
  <c r="P45" i="5"/>
  <c r="F21" i="5"/>
  <c r="F41" i="5"/>
  <c r="F42" i="7"/>
  <c r="L42" i="7" s="1"/>
  <c r="F42" i="5"/>
  <c r="L42" i="5" s="1"/>
  <c r="AB42" i="5" s="1"/>
  <c r="F45" i="7"/>
  <c r="L45" i="7" s="1"/>
  <c r="F22" i="7"/>
  <c r="L22" i="7" s="1"/>
  <c r="F67" i="5"/>
  <c r="L67" i="5" s="1"/>
  <c r="F23" i="5"/>
  <c r="L23" i="5" s="1"/>
  <c r="AB23" i="5" s="1"/>
  <c r="F22" i="5"/>
  <c r="L22" i="5" s="1"/>
  <c r="AB22" i="5" s="1"/>
  <c r="AF45" i="5" l="1"/>
  <c r="AH45" i="5" s="1"/>
  <c r="AB67" i="5"/>
  <c r="Z45" i="7"/>
  <c r="X45" i="7"/>
  <c r="V45" i="7"/>
  <c r="AF45" i="7"/>
  <c r="F45" i="50" s="1"/>
  <c r="L45" i="50" s="1"/>
  <c r="AD45" i="7"/>
  <c r="T45" i="7"/>
  <c r="R45" i="7"/>
  <c r="P45" i="7"/>
  <c r="AH45" i="7"/>
  <c r="AB45" i="7"/>
  <c r="T22" i="7"/>
  <c r="J69" i="12" s="1"/>
  <c r="AF22" i="7"/>
  <c r="P22" i="7"/>
  <c r="F69" i="12" s="1"/>
  <c r="AD22" i="7"/>
  <c r="T69" i="12" s="1"/>
  <c r="AH22" i="7"/>
  <c r="X69" i="12" s="1"/>
  <c r="R22" i="7"/>
  <c r="H69" i="12" s="1"/>
  <c r="AB22" i="7"/>
  <c r="R69" i="12" s="1"/>
  <c r="Z22" i="7"/>
  <c r="P69" i="12" s="1"/>
  <c r="X22" i="7"/>
  <c r="N69" i="12" s="1"/>
  <c r="V22" i="7"/>
  <c r="L69" i="12" s="1"/>
  <c r="Z23" i="5"/>
  <c r="X23" i="5"/>
  <c r="R23" i="5"/>
  <c r="P23" i="5"/>
  <c r="V23" i="5"/>
  <c r="AD23" i="5"/>
  <c r="T23" i="5"/>
  <c r="X22" i="5"/>
  <c r="V22" i="5"/>
  <c r="P22" i="5"/>
  <c r="T22" i="5"/>
  <c r="R22" i="5"/>
  <c r="AD22" i="5"/>
  <c r="Z22" i="5"/>
  <c r="P42" i="5"/>
  <c r="AD42" i="5"/>
  <c r="X42" i="5"/>
  <c r="V42" i="5"/>
  <c r="Z42" i="5"/>
  <c r="T42" i="5"/>
  <c r="R42" i="5"/>
  <c r="F18" i="5"/>
  <c r="F21" i="7"/>
  <c r="L21" i="7" s="1"/>
  <c r="F20" i="5"/>
  <c r="L20" i="5" s="1"/>
  <c r="AB20" i="5" s="1"/>
  <c r="F64" i="5"/>
  <c r="L64" i="5" s="1"/>
  <c r="F19" i="7"/>
  <c r="F63" i="7"/>
  <c r="L63" i="7" s="1"/>
  <c r="L21" i="5"/>
  <c r="AB21" i="5" s="1"/>
  <c r="F67" i="7"/>
  <c r="L67" i="7" s="1"/>
  <c r="F23" i="7"/>
  <c r="L23" i="7" s="1"/>
  <c r="L41" i="5"/>
  <c r="AB41" i="5" s="1"/>
  <c r="F19" i="5"/>
  <c r="L19" i="5" s="1"/>
  <c r="AB19" i="5" s="1"/>
  <c r="F63" i="5"/>
  <c r="L63" i="5" s="1"/>
  <c r="F41" i="7"/>
  <c r="F22" i="50" l="1"/>
  <c r="L22" i="50" s="1"/>
  <c r="P22" i="50" s="1"/>
  <c r="V69" i="12"/>
  <c r="AF42" i="5"/>
  <c r="AH42" i="5" s="1"/>
  <c r="AF23" i="5"/>
  <c r="AF22" i="5"/>
  <c r="AB64" i="5"/>
  <c r="AB63" i="5"/>
  <c r="T45" i="50"/>
  <c r="R45" i="50"/>
  <c r="P45" i="50"/>
  <c r="X21" i="7"/>
  <c r="N48" i="12" s="1"/>
  <c r="T21" i="7"/>
  <c r="J48" i="12" s="1"/>
  <c r="AH21" i="7"/>
  <c r="X48" i="12" s="1"/>
  <c r="R21" i="7"/>
  <c r="H48" i="12" s="1"/>
  <c r="AF21" i="7"/>
  <c r="AD21" i="7"/>
  <c r="T48" i="12" s="1"/>
  <c r="AB21" i="7"/>
  <c r="R48" i="12" s="1"/>
  <c r="Z21" i="7"/>
  <c r="P48" i="12" s="1"/>
  <c r="V21" i="7"/>
  <c r="L48" i="12" s="1"/>
  <c r="P21" i="7"/>
  <c r="F48" i="12" s="1"/>
  <c r="AF23" i="7"/>
  <c r="F23" i="50" s="1"/>
  <c r="L23" i="50" s="1"/>
  <c r="P23" i="7"/>
  <c r="AB23" i="7"/>
  <c r="Z23" i="7"/>
  <c r="T23" i="7"/>
  <c r="R23" i="7"/>
  <c r="AH23" i="7"/>
  <c r="AD23" i="7"/>
  <c r="X23" i="7"/>
  <c r="V23" i="7"/>
  <c r="V21" i="5"/>
  <c r="T21" i="5"/>
  <c r="AD21" i="5"/>
  <c r="R21" i="5"/>
  <c r="P21" i="5"/>
  <c r="Z21" i="5"/>
  <c r="X21" i="5"/>
  <c r="T20" i="5"/>
  <c r="R20" i="5"/>
  <c r="AD20" i="5"/>
  <c r="Z20" i="5"/>
  <c r="V20" i="5"/>
  <c r="X20" i="5"/>
  <c r="P20" i="5"/>
  <c r="AD41" i="5"/>
  <c r="Z41" i="5"/>
  <c r="V41" i="5"/>
  <c r="T41" i="5"/>
  <c r="P41" i="5"/>
  <c r="X41" i="5"/>
  <c r="R41" i="5"/>
  <c r="R19" i="5"/>
  <c r="P19" i="5"/>
  <c r="Z19" i="5"/>
  <c r="X19" i="5"/>
  <c r="AD19" i="5"/>
  <c r="V19" i="5"/>
  <c r="T19" i="5"/>
  <c r="F18" i="7"/>
  <c r="F64" i="7"/>
  <c r="L64" i="7" s="1"/>
  <c r="F20" i="7"/>
  <c r="AJ22" i="7"/>
  <c r="AL22" i="7" s="1"/>
  <c r="L19" i="7"/>
  <c r="L18" i="5"/>
  <c r="AB18" i="5" s="1"/>
  <c r="L41" i="7"/>
  <c r="F62" i="5"/>
  <c r="R22" i="50" l="1"/>
  <c r="T22" i="50"/>
  <c r="F21" i="50"/>
  <c r="L21" i="50" s="1"/>
  <c r="V48" i="12"/>
  <c r="AF41" i="5"/>
  <c r="AF19" i="5"/>
  <c r="AF20" i="5"/>
  <c r="AF21" i="5"/>
  <c r="AH22" i="5"/>
  <c r="AZ22" i="5"/>
  <c r="AB62" i="5"/>
  <c r="T23" i="50"/>
  <c r="T67" i="50" s="1"/>
  <c r="P23" i="50"/>
  <c r="P67" i="50" s="1"/>
  <c r="R23" i="50"/>
  <c r="R67" i="50" s="1"/>
  <c r="P18" i="5"/>
  <c r="X18" i="5"/>
  <c r="V18" i="5"/>
  <c r="AD18" i="5"/>
  <c r="Z18" i="5"/>
  <c r="T18" i="5"/>
  <c r="R18" i="5"/>
  <c r="BB22" i="7"/>
  <c r="BJ22" i="7"/>
  <c r="AZ22" i="7"/>
  <c r="BH22" i="7"/>
  <c r="BD22" i="7"/>
  <c r="AV22" i="7"/>
  <c r="X63" i="5"/>
  <c r="L62" i="5"/>
  <c r="AT22" i="5"/>
  <c r="Z64" i="5"/>
  <c r="T63" i="5"/>
  <c r="BB22" i="5"/>
  <c r="AD63" i="5"/>
  <c r="V64" i="5"/>
  <c r="AX22" i="5"/>
  <c r="L20" i="7"/>
  <c r="F62" i="7"/>
  <c r="P64" i="5"/>
  <c r="AD64" i="5"/>
  <c r="P63" i="5"/>
  <c r="AR22" i="5"/>
  <c r="BF22" i="7"/>
  <c r="AR22" i="7"/>
  <c r="AV22" i="5"/>
  <c r="L18" i="7"/>
  <c r="Z63" i="5"/>
  <c r="R64" i="5"/>
  <c r="T64" i="5"/>
  <c r="AP22" i="5"/>
  <c r="AT22" i="7"/>
  <c r="R63" i="5"/>
  <c r="AX22" i="7"/>
  <c r="AN22" i="5"/>
  <c r="X64" i="5"/>
  <c r="V63" i="5"/>
  <c r="P21" i="50" l="1"/>
  <c r="R21" i="50"/>
  <c r="T21" i="50"/>
  <c r="AF63" i="5"/>
  <c r="AH63" i="5" s="1"/>
  <c r="AF64" i="5"/>
  <c r="AH64" i="5" s="1"/>
  <c r="AF18" i="5"/>
  <c r="AV21" i="5"/>
  <c r="AZ21" i="5"/>
  <c r="AH19" i="5"/>
  <c r="AZ19" i="5"/>
  <c r="AH20" i="5"/>
  <c r="AZ20" i="5"/>
  <c r="AX19" i="5"/>
  <c r="AT19" i="5"/>
  <c r="AR20" i="5"/>
  <c r="AV20" i="5"/>
  <c r="AP19" i="5"/>
  <c r="AP20" i="5"/>
  <c r="BB20" i="5"/>
  <c r="AT21" i="5"/>
  <c r="AP21" i="5"/>
  <c r="BD22" i="5"/>
  <c r="AN20" i="5"/>
  <c r="BB21" i="5"/>
  <c r="AH21" i="5"/>
  <c r="AD62" i="5"/>
  <c r="AR21" i="5"/>
  <c r="AV19" i="5"/>
  <c r="P62" i="5"/>
  <c r="AN19" i="5"/>
  <c r="L62" i="7"/>
  <c r="T62" i="5"/>
  <c r="AR19" i="5"/>
  <c r="AX20" i="5"/>
  <c r="BL22" i="7"/>
  <c r="Z62" i="5"/>
  <c r="AX21" i="5"/>
  <c r="AH41" i="5"/>
  <c r="V62" i="5"/>
  <c r="BB19" i="5"/>
  <c r="X62" i="5"/>
  <c r="AT20" i="5"/>
  <c r="AN21" i="5"/>
  <c r="R62" i="5"/>
  <c r="AF62" i="5" l="1"/>
  <c r="BB18" i="5"/>
  <c r="AZ18" i="5"/>
  <c r="BD20" i="5"/>
  <c r="AV18" i="5"/>
  <c r="BD21" i="5"/>
  <c r="BD19" i="5"/>
  <c r="AX18" i="5"/>
  <c r="AP18" i="5"/>
  <c r="AR18" i="5"/>
  <c r="AH18" i="5"/>
  <c r="AT18" i="5"/>
  <c r="AN18" i="5"/>
  <c r="AH62" i="5" l="1"/>
  <c r="BD18" i="5"/>
  <c r="F44" i="5" l="1"/>
  <c r="F44" i="7" l="1"/>
  <c r="F66" i="5"/>
  <c r="L44" i="5"/>
  <c r="AB44" i="5" s="1"/>
  <c r="AB66" i="5" l="1"/>
  <c r="T44" i="5"/>
  <c r="P44" i="5"/>
  <c r="R44" i="5"/>
  <c r="AD44" i="5"/>
  <c r="Z44" i="5"/>
  <c r="X44" i="5"/>
  <c r="V44" i="5"/>
  <c r="L66" i="5"/>
  <c r="F66" i="7"/>
  <c r="L44" i="7"/>
  <c r="AF44" i="5" l="1"/>
  <c r="AD44" i="7"/>
  <c r="AB44" i="7"/>
  <c r="Z44" i="7"/>
  <c r="AH44" i="7"/>
  <c r="X44" i="7"/>
  <c r="V44" i="7"/>
  <c r="AF44" i="7"/>
  <c r="F44" i="50" s="1"/>
  <c r="L44" i="50" s="1"/>
  <c r="T44" i="7"/>
  <c r="R44" i="7"/>
  <c r="P44" i="7"/>
  <c r="V66" i="5"/>
  <c r="AD66" i="5"/>
  <c r="T66" i="5"/>
  <c r="L66" i="7"/>
  <c r="R66" i="5"/>
  <c r="P66" i="5"/>
  <c r="Z66" i="5"/>
  <c r="X66" i="5"/>
  <c r="AF66" i="5" l="1"/>
  <c r="R44" i="50"/>
  <c r="R66" i="50" s="1"/>
  <c r="P44" i="50"/>
  <c r="P66" i="50" s="1"/>
  <c r="T44" i="50"/>
  <c r="T66" i="50" s="1"/>
  <c r="R66" i="7"/>
  <c r="AF66" i="7"/>
  <c r="F66" i="50" s="1"/>
  <c r="L66" i="50" s="1"/>
  <c r="AJ44" i="7"/>
  <c r="AL44" i="7" s="1"/>
  <c r="P66" i="7"/>
  <c r="AH44" i="5"/>
  <c r="V66" i="7"/>
  <c r="X66" i="7"/>
  <c r="T66" i="7"/>
  <c r="AB66" i="7"/>
  <c r="AD66" i="7"/>
  <c r="AH66" i="7"/>
  <c r="Z66" i="7"/>
  <c r="AJ66" i="7" l="1"/>
  <c r="AL66" i="7" s="1"/>
  <c r="AH66" i="5"/>
  <c r="P52" i="7" l="1"/>
  <c r="V52" i="7"/>
  <c r="AH52" i="7"/>
  <c r="Z52" i="7"/>
  <c r="AB52" i="7"/>
  <c r="AF52" i="7"/>
  <c r="F52" i="50" s="1"/>
  <c r="L52" i="50" s="1"/>
  <c r="AD52" i="7"/>
  <c r="X52" i="7"/>
  <c r="T52" i="7"/>
  <c r="R52" i="7"/>
  <c r="R52" i="50" l="1"/>
  <c r="P52" i="50"/>
  <c r="T52" i="50"/>
  <c r="AJ52" i="7"/>
  <c r="AL52" i="7" s="1"/>
  <c r="AO31" i="7" l="1"/>
  <c r="F30" i="7" l="1"/>
  <c r="F30" i="5"/>
  <c r="F74" i="5" l="1"/>
  <c r="L30" i="5"/>
  <c r="AB30" i="5" s="1"/>
  <c r="F31" i="5"/>
  <c r="L30" i="7"/>
  <c r="F31" i="7"/>
  <c r="F74" i="7"/>
  <c r="AB74" i="5" l="1"/>
  <c r="AB31" i="5"/>
  <c r="T30" i="7"/>
  <c r="AF30" i="7"/>
  <c r="F30" i="50" s="1"/>
  <c r="L30" i="50" s="1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D30" i="5"/>
  <c r="L31" i="5"/>
  <c r="L74" i="7"/>
  <c r="L74" i="5"/>
  <c r="L31" i="7"/>
  <c r="AF30" i="5" l="1"/>
  <c r="P30" i="50"/>
  <c r="P74" i="50" s="1"/>
  <c r="T30" i="50"/>
  <c r="T74" i="50" s="1"/>
  <c r="R30" i="50"/>
  <c r="R74" i="50" s="1"/>
  <c r="AD74" i="7"/>
  <c r="AH74" i="7"/>
  <c r="T74" i="5"/>
  <c r="AB74" i="7"/>
  <c r="R74" i="5"/>
  <c r="Z74" i="5"/>
  <c r="V74" i="7"/>
  <c r="P74" i="5"/>
  <c r="AF74" i="7"/>
  <c r="F74" i="50" s="1"/>
  <c r="L74" i="50" s="1"/>
  <c r="X74" i="7"/>
  <c r="AD74" i="5"/>
  <c r="AJ30" i="7"/>
  <c r="AL30" i="7" s="1"/>
  <c r="P74" i="7"/>
  <c r="T74" i="7"/>
  <c r="X74" i="5"/>
  <c r="Z74" i="7"/>
  <c r="R74" i="7"/>
  <c r="V74" i="5"/>
  <c r="AF74" i="5" l="1"/>
  <c r="AX30" i="5"/>
  <c r="AZ30" i="5"/>
  <c r="AV30" i="5"/>
  <c r="AN30" i="5"/>
  <c r="BB30" i="5"/>
  <c r="AT30" i="5"/>
  <c r="AR30" i="5"/>
  <c r="AT30" i="7"/>
  <c r="AZ30" i="7"/>
  <c r="AP30" i="5"/>
  <c r="BJ30" i="7"/>
  <c r="BD30" i="7"/>
  <c r="BF30" i="7"/>
  <c r="BB30" i="7"/>
  <c r="AV30" i="7"/>
  <c r="BH30" i="7"/>
  <c r="AR30" i="7"/>
  <c r="AJ74" i="7"/>
  <c r="AL74" i="7" s="1"/>
  <c r="AX30" i="7"/>
  <c r="AH30" i="5"/>
  <c r="BD30" i="5" l="1"/>
  <c r="AH74" i="5"/>
  <c r="BL30" i="7"/>
  <c r="F102" i="7" l="1"/>
  <c r="F102" i="5"/>
  <c r="L102" i="5" l="1"/>
  <c r="AB102" i="5" s="1"/>
  <c r="L102" i="7"/>
  <c r="Z102" i="5" l="1"/>
  <c r="X102" i="5"/>
  <c r="V102" i="5"/>
  <c r="R102" i="5"/>
  <c r="P102" i="5"/>
  <c r="AD102" i="5"/>
  <c r="T102" i="5"/>
  <c r="AF102" i="5" l="1"/>
  <c r="AH102" i="5" s="1"/>
  <c r="F152" i="5" l="1"/>
  <c r="L152" i="5" s="1"/>
  <c r="AB152" i="5" s="1"/>
  <c r="F152" i="7"/>
  <c r="L152" i="7" s="1"/>
  <c r="F142" i="5"/>
  <c r="L142" i="5" s="1"/>
  <c r="AB142" i="5" s="1"/>
  <c r="F142" i="7"/>
  <c r="L142" i="7" s="1"/>
  <c r="F155" i="5"/>
  <c r="L155" i="5" s="1"/>
  <c r="AB155" i="5" s="1"/>
  <c r="F155" i="7"/>
  <c r="L155" i="7" s="1"/>
  <c r="F131" i="5"/>
  <c r="L131" i="5" s="1"/>
  <c r="AB131" i="5" s="1"/>
  <c r="F131" i="7"/>
  <c r="L131" i="7" s="1"/>
  <c r="F127" i="7" l="1"/>
  <c r="L127" i="7" s="1"/>
  <c r="F127" i="5"/>
  <c r="L127" i="5" s="1"/>
  <c r="AB127" i="5" s="1"/>
  <c r="F143" i="5"/>
  <c r="L143" i="5" s="1"/>
  <c r="AB143" i="5" s="1"/>
  <c r="F143" i="7"/>
  <c r="L143" i="7" s="1"/>
  <c r="F154" i="5"/>
  <c r="L154" i="5" s="1"/>
  <c r="AB154" i="5" s="1"/>
  <c r="F154" i="7"/>
  <c r="L154" i="7" s="1"/>
  <c r="F139" i="5"/>
  <c r="L139" i="5" s="1"/>
  <c r="AB139" i="5" s="1"/>
  <c r="F139" i="7"/>
  <c r="L139" i="7" s="1"/>
  <c r="F153" i="5"/>
  <c r="L153" i="5" s="1"/>
  <c r="AB153" i="5" s="1"/>
  <c r="F153" i="7"/>
  <c r="L153" i="7" s="1"/>
  <c r="F141" i="5"/>
  <c r="L141" i="5" s="1"/>
  <c r="AB141" i="5" s="1"/>
  <c r="F141" i="7"/>
  <c r="L141" i="7" s="1"/>
  <c r="F156" i="5"/>
  <c r="L156" i="5" s="1"/>
  <c r="AB156" i="5" s="1"/>
  <c r="F156" i="7"/>
  <c r="L156" i="7" s="1"/>
  <c r="AD152" i="7"/>
  <c r="AB152" i="7"/>
  <c r="Z152" i="7"/>
  <c r="V152" i="7"/>
  <c r="T152" i="7"/>
  <c r="R152" i="7"/>
  <c r="P152" i="7"/>
  <c r="AF152" i="7"/>
  <c r="F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T131" i="7"/>
  <c r="Z142" i="7"/>
  <c r="X142" i="7"/>
  <c r="V142" i="7"/>
  <c r="AD142" i="7"/>
  <c r="T142" i="7"/>
  <c r="R142" i="7"/>
  <c r="AB142" i="7"/>
  <c r="P142" i="7"/>
  <c r="AH142" i="7"/>
  <c r="AF142" i="7"/>
  <c r="F142" i="50" s="1"/>
  <c r="AH155" i="7"/>
  <c r="R155" i="7"/>
  <c r="AF155" i="7"/>
  <c r="F155" i="50" s="1"/>
  <c r="P155" i="7"/>
  <c r="AD155" i="7"/>
  <c r="AB155" i="7"/>
  <c r="Z155" i="7"/>
  <c r="X155" i="7"/>
  <c r="V155" i="7"/>
  <c r="T155" i="7"/>
  <c r="T155" i="5"/>
  <c r="R155" i="5"/>
  <c r="P155" i="5"/>
  <c r="AD155" i="5"/>
  <c r="Z155" i="5"/>
  <c r="V155" i="5"/>
  <c r="X155" i="5"/>
  <c r="AD131" i="5"/>
  <c r="Z131" i="5"/>
  <c r="V131" i="5"/>
  <c r="T131" i="5"/>
  <c r="R131" i="5"/>
  <c r="P131" i="5"/>
  <c r="X131" i="5"/>
  <c r="AD152" i="5"/>
  <c r="Z152" i="5"/>
  <c r="X152" i="5"/>
  <c r="V152" i="5"/>
  <c r="T152" i="5"/>
  <c r="R152" i="5"/>
  <c r="P152" i="5"/>
  <c r="P142" i="5"/>
  <c r="AD142" i="5"/>
  <c r="Z142" i="5"/>
  <c r="X142" i="5"/>
  <c r="V142" i="5"/>
  <c r="T142" i="5"/>
  <c r="R142" i="5"/>
  <c r="AK155" i="5"/>
  <c r="AL155" i="5" s="1"/>
  <c r="AZ155" i="5" s="1"/>
  <c r="AO155" i="7"/>
  <c r="AP155" i="7" s="1"/>
  <c r="AF152" i="5" l="1"/>
  <c r="AH152" i="5" s="1"/>
  <c r="AF155" i="5"/>
  <c r="AH155" i="5" s="1"/>
  <c r="AF142" i="5"/>
  <c r="AH142" i="5" s="1"/>
  <c r="AF131" i="5"/>
  <c r="AH131" i="5" s="1"/>
  <c r="L155" i="50"/>
  <c r="L152" i="50"/>
  <c r="L142" i="50"/>
  <c r="L131" i="50"/>
  <c r="F126" i="5"/>
  <c r="L126" i="5" s="1"/>
  <c r="AB126" i="5" s="1"/>
  <c r="F126" i="7"/>
  <c r="L126" i="7" s="1"/>
  <c r="F129" i="7"/>
  <c r="L129" i="7" s="1"/>
  <c r="F129" i="5"/>
  <c r="L129" i="5" s="1"/>
  <c r="AB129" i="5" s="1"/>
  <c r="F128" i="5"/>
  <c r="L128" i="5" s="1"/>
  <c r="AB128" i="5" s="1"/>
  <c r="F128" i="7"/>
  <c r="L128" i="7" s="1"/>
  <c r="AO138" i="7"/>
  <c r="F130" i="7"/>
  <c r="L130" i="7" s="1"/>
  <c r="F130" i="5"/>
  <c r="L130" i="5" s="1"/>
  <c r="AB130" i="5" s="1"/>
  <c r="V139" i="7"/>
  <c r="T139" i="7"/>
  <c r="AH139" i="7"/>
  <c r="R139" i="7"/>
  <c r="AD139" i="7"/>
  <c r="AB139" i="7"/>
  <c r="AF139" i="7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X156" i="7"/>
  <c r="V156" i="7"/>
  <c r="Z153" i="7"/>
  <c r="X153" i="7"/>
  <c r="V153" i="7"/>
  <c r="AD153" i="7"/>
  <c r="AB153" i="7"/>
  <c r="T153" i="7"/>
  <c r="R153" i="7"/>
  <c r="P153" i="7"/>
  <c r="AH153" i="7"/>
  <c r="AF153" i="7"/>
  <c r="F153" i="50" s="1"/>
  <c r="Z127" i="7"/>
  <c r="X127" i="7"/>
  <c r="V127" i="7"/>
  <c r="AF127" i="7"/>
  <c r="F127" i="50" s="1"/>
  <c r="AD127" i="7"/>
  <c r="R127" i="7"/>
  <c r="P127" i="7"/>
  <c r="AH127" i="7"/>
  <c r="AB127" i="7"/>
  <c r="T127" i="7"/>
  <c r="V154" i="7"/>
  <c r="T154" i="7"/>
  <c r="AH154" i="7"/>
  <c r="R154" i="7"/>
  <c r="AF154" i="7"/>
  <c r="F154" i="50" s="1"/>
  <c r="AD154" i="7"/>
  <c r="AB154" i="7"/>
  <c r="Z154" i="7"/>
  <c r="X154" i="7"/>
  <c r="P154" i="7"/>
  <c r="R143" i="5"/>
  <c r="P143" i="5"/>
  <c r="AD143" i="5"/>
  <c r="Z143" i="5"/>
  <c r="X143" i="5"/>
  <c r="V143" i="5"/>
  <c r="T143" i="5"/>
  <c r="Z139" i="5"/>
  <c r="X139" i="5"/>
  <c r="V139" i="5"/>
  <c r="T139" i="5"/>
  <c r="P139" i="5"/>
  <c r="AD139" i="5"/>
  <c r="R139" i="5"/>
  <c r="V127" i="5"/>
  <c r="T127" i="5"/>
  <c r="R127" i="5"/>
  <c r="AD127" i="5"/>
  <c r="X127" i="5"/>
  <c r="Z127" i="5"/>
  <c r="P127" i="5"/>
  <c r="R154" i="5"/>
  <c r="P154" i="5"/>
  <c r="AD154" i="5"/>
  <c r="Z154" i="5"/>
  <c r="X154" i="5"/>
  <c r="V154" i="5"/>
  <c r="T154" i="5"/>
  <c r="AD141" i="5"/>
  <c r="Z141" i="5"/>
  <c r="X141" i="5"/>
  <c r="V141" i="5"/>
  <c r="T141" i="5"/>
  <c r="R141" i="5"/>
  <c r="P141" i="5"/>
  <c r="V156" i="5"/>
  <c r="T156" i="5"/>
  <c r="R156" i="5"/>
  <c r="P156" i="5"/>
  <c r="AD156" i="5"/>
  <c r="Z156" i="5"/>
  <c r="X156" i="5"/>
  <c r="P153" i="5"/>
  <c r="AD153" i="5"/>
  <c r="Z153" i="5"/>
  <c r="X153" i="5"/>
  <c r="V153" i="5"/>
  <c r="T153" i="5"/>
  <c r="R153" i="5"/>
  <c r="AT155" i="5"/>
  <c r="BB155" i="5"/>
  <c r="AV155" i="5"/>
  <c r="AP155" i="5"/>
  <c r="AN155" i="5"/>
  <c r="AX155" i="5"/>
  <c r="AR155" i="5"/>
  <c r="F151" i="7"/>
  <c r="L151" i="7" s="1"/>
  <c r="AJ131" i="7"/>
  <c r="AL131" i="7" s="1"/>
  <c r="F147" i="7"/>
  <c r="L147" i="7" s="1"/>
  <c r="F151" i="5"/>
  <c r="L151" i="5" s="1"/>
  <c r="AB151" i="5" s="1"/>
  <c r="F147" i="5"/>
  <c r="L147" i="5" s="1"/>
  <c r="AB147" i="5" s="1"/>
  <c r="AJ155" i="7"/>
  <c r="AL155" i="7" s="1"/>
  <c r="AJ152" i="7"/>
  <c r="AL152" i="7" s="1"/>
  <c r="AV155" i="7"/>
  <c r="BH155" i="7"/>
  <c r="Z155" i="50" s="1"/>
  <c r="AA155" i="50" s="1"/>
  <c r="BB155" i="7"/>
  <c r="AT155" i="7"/>
  <c r="BD155" i="7"/>
  <c r="BJ155" i="7"/>
  <c r="AZ155" i="7"/>
  <c r="AR155" i="7"/>
  <c r="BF155" i="7"/>
  <c r="AX155" i="7"/>
  <c r="F139" i="50" l="1"/>
  <c r="L139" i="50" s="1"/>
  <c r="AF156" i="5"/>
  <c r="AH156" i="5" s="1"/>
  <c r="AF154" i="5"/>
  <c r="AH154" i="5" s="1"/>
  <c r="AF153" i="5"/>
  <c r="AH153" i="5" s="1"/>
  <c r="AF139" i="5"/>
  <c r="AH139" i="5" s="1"/>
  <c r="AF143" i="5"/>
  <c r="AH143" i="5" s="1"/>
  <c r="AF141" i="5"/>
  <c r="AH141" i="5" s="1"/>
  <c r="AF127" i="5"/>
  <c r="AH127" i="5" s="1"/>
  <c r="R131" i="50"/>
  <c r="P131" i="50"/>
  <c r="T131" i="50"/>
  <c r="T142" i="50"/>
  <c r="R142" i="50"/>
  <c r="P142" i="50"/>
  <c r="T152" i="50"/>
  <c r="R152" i="50"/>
  <c r="P152" i="50"/>
  <c r="P155" i="50"/>
  <c r="AC155" i="50" s="1"/>
  <c r="T155" i="50"/>
  <c r="AG155" i="50" s="1"/>
  <c r="R155" i="50"/>
  <c r="AE155" i="50" s="1"/>
  <c r="L156" i="50"/>
  <c r="L154" i="50"/>
  <c r="L153" i="50"/>
  <c r="L127" i="50"/>
  <c r="AH129" i="7"/>
  <c r="R129" i="7"/>
  <c r="AF129" i="7"/>
  <c r="F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F147" i="50" s="1"/>
  <c r="V128" i="7"/>
  <c r="T128" i="7"/>
  <c r="AH128" i="7"/>
  <c r="R128" i="7"/>
  <c r="P128" i="7"/>
  <c r="AF128" i="7"/>
  <c r="F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T126" i="7"/>
  <c r="R126" i="7"/>
  <c r="P126" i="7"/>
  <c r="AD130" i="7"/>
  <c r="AB130" i="7"/>
  <c r="Z130" i="7"/>
  <c r="AF130" i="7"/>
  <c r="F130" i="50" s="1"/>
  <c r="V130" i="7"/>
  <c r="T130" i="7"/>
  <c r="AH130" i="7"/>
  <c r="X130" i="7"/>
  <c r="R130" i="7"/>
  <c r="P130" i="7"/>
  <c r="AH151" i="7"/>
  <c r="R151" i="7"/>
  <c r="AF151" i="7"/>
  <c r="F151" i="50" s="1"/>
  <c r="P151" i="7"/>
  <c r="AD151" i="7"/>
  <c r="T151" i="7"/>
  <c r="AB151" i="7"/>
  <c r="Z151" i="7"/>
  <c r="X151" i="7"/>
  <c r="V151" i="7"/>
  <c r="AD130" i="5"/>
  <c r="Z130" i="5"/>
  <c r="X130" i="5"/>
  <c r="T130" i="5"/>
  <c r="R130" i="5"/>
  <c r="P130" i="5"/>
  <c r="V130" i="5"/>
  <c r="V147" i="5"/>
  <c r="T147" i="5"/>
  <c r="R147" i="5"/>
  <c r="P147" i="5"/>
  <c r="AD147" i="5"/>
  <c r="Z147" i="5"/>
  <c r="X147" i="5"/>
  <c r="X128" i="5"/>
  <c r="V128" i="5"/>
  <c r="T128" i="5"/>
  <c r="P128" i="5"/>
  <c r="AD128" i="5"/>
  <c r="Z128" i="5"/>
  <c r="R128" i="5"/>
  <c r="AD151" i="5"/>
  <c r="Z151" i="5"/>
  <c r="X151" i="5"/>
  <c r="V151" i="5"/>
  <c r="T151" i="5"/>
  <c r="R151" i="5"/>
  <c r="P151" i="5"/>
  <c r="T126" i="5"/>
  <c r="R126" i="5"/>
  <c r="P126" i="5"/>
  <c r="AD126" i="5"/>
  <c r="Z126" i="5"/>
  <c r="V126" i="5"/>
  <c r="X126" i="5"/>
  <c r="Z129" i="5"/>
  <c r="X129" i="5"/>
  <c r="V129" i="5"/>
  <c r="R129" i="5"/>
  <c r="P129" i="5"/>
  <c r="T129" i="5"/>
  <c r="AD129" i="5"/>
  <c r="AO126" i="7"/>
  <c r="AP126" i="7" s="1"/>
  <c r="AO128" i="7"/>
  <c r="AP128" i="7" s="1"/>
  <c r="AK126" i="5"/>
  <c r="AL126" i="5" s="1"/>
  <c r="AZ126" i="5" s="1"/>
  <c r="AK128" i="5"/>
  <c r="AL128" i="5" s="1"/>
  <c r="AZ128" i="5" s="1"/>
  <c r="AK129" i="5"/>
  <c r="AL129" i="5" s="1"/>
  <c r="AZ129" i="5" s="1"/>
  <c r="AJ156" i="7"/>
  <c r="AL156" i="7" s="1"/>
  <c r="AJ154" i="7"/>
  <c r="AL154" i="7" s="1"/>
  <c r="F124" i="7"/>
  <c r="L124" i="7" s="1"/>
  <c r="F124" i="5"/>
  <c r="L124" i="5" s="1"/>
  <c r="AB124" i="5" s="1"/>
  <c r="F138" i="7"/>
  <c r="L138" i="7" s="1"/>
  <c r="AO129" i="7"/>
  <c r="AP129" i="7" s="1"/>
  <c r="AO130" i="7"/>
  <c r="AP130" i="7" s="1"/>
  <c r="BL155" i="7"/>
  <c r="AJ153" i="7"/>
  <c r="AL153" i="7" s="1"/>
  <c r="BD155" i="5"/>
  <c r="AJ127" i="7"/>
  <c r="AL127" i="7" s="1"/>
  <c r="AK138" i="5"/>
  <c r="AL138" i="5" s="1"/>
  <c r="AZ138" i="5" s="1"/>
  <c r="AK130" i="5"/>
  <c r="AL130" i="5" s="1"/>
  <c r="AZ130" i="5" s="1"/>
  <c r="AF147" i="5" l="1"/>
  <c r="AH147" i="5" s="1"/>
  <c r="AF151" i="5"/>
  <c r="AH151" i="5" s="1"/>
  <c r="AF129" i="5"/>
  <c r="AH129" i="5" s="1"/>
  <c r="AF126" i="5"/>
  <c r="AH126" i="5" s="1"/>
  <c r="AF130" i="5"/>
  <c r="AH130" i="5" s="1"/>
  <c r="AF128" i="5"/>
  <c r="AH128" i="5" s="1"/>
  <c r="R127" i="50"/>
  <c r="P127" i="50"/>
  <c r="T127" i="50"/>
  <c r="T153" i="50"/>
  <c r="R153" i="50"/>
  <c r="P153" i="50"/>
  <c r="T156" i="50"/>
  <c r="R156" i="50"/>
  <c r="P156" i="50"/>
  <c r="R139" i="50"/>
  <c r="P139" i="50"/>
  <c r="T139" i="50"/>
  <c r="R154" i="50"/>
  <c r="P154" i="50"/>
  <c r="T154" i="50"/>
  <c r="L147" i="50"/>
  <c r="L126" i="50"/>
  <c r="L129" i="50"/>
  <c r="L128" i="50"/>
  <c r="L130" i="50"/>
  <c r="V124" i="7"/>
  <c r="T124" i="7"/>
  <c r="AH124" i="7"/>
  <c r="R124" i="7"/>
  <c r="AD124" i="7"/>
  <c r="AB124" i="7"/>
  <c r="AF124" i="7"/>
  <c r="Z124" i="7"/>
  <c r="P124" i="7"/>
  <c r="X124" i="7"/>
  <c r="P124" i="5"/>
  <c r="AD124" i="5"/>
  <c r="X124" i="5"/>
  <c r="V124" i="5"/>
  <c r="Z124" i="5"/>
  <c r="R124" i="5"/>
  <c r="T124" i="5"/>
  <c r="AN126" i="5"/>
  <c r="AN129" i="5"/>
  <c r="AR126" i="7"/>
  <c r="AZ126" i="7"/>
  <c r="AP128" i="5"/>
  <c r="AT126" i="7"/>
  <c r="BH126" i="7"/>
  <c r="Z126" i="50" s="1"/>
  <c r="AA126" i="50" s="1"/>
  <c r="AR128" i="5"/>
  <c r="AT128" i="5"/>
  <c r="AV128" i="5"/>
  <c r="AV126" i="7"/>
  <c r="AX128" i="5"/>
  <c r="AX126" i="7"/>
  <c r="BB128" i="5"/>
  <c r="BD126" i="7"/>
  <c r="BF126" i="7"/>
  <c r="AN128" i="5"/>
  <c r="BH128" i="7"/>
  <c r="Z128" i="50" s="1"/>
  <c r="AA128" i="50" s="1"/>
  <c r="BB129" i="5"/>
  <c r="AJ129" i="7"/>
  <c r="AL129" i="7" s="1"/>
  <c r="AP126" i="5"/>
  <c r="BB128" i="7"/>
  <c r="AX129" i="5"/>
  <c r="AT130" i="5"/>
  <c r="AN130" i="5"/>
  <c r="AR130" i="5"/>
  <c r="BB130" i="5"/>
  <c r="AP130" i="5"/>
  <c r="AV130" i="5"/>
  <c r="AX130" i="5"/>
  <c r="AT126" i="5"/>
  <c r="AV129" i="7"/>
  <c r="BH129" i="7"/>
  <c r="Z129" i="50" s="1"/>
  <c r="AA129" i="50" s="1"/>
  <c r="AT129" i="7"/>
  <c r="BD129" i="7"/>
  <c r="AX129" i="7"/>
  <c r="AR129" i="7"/>
  <c r="BJ129" i="7"/>
  <c r="BB129" i="7"/>
  <c r="BF129" i="7"/>
  <c r="AZ129" i="7"/>
  <c r="BF128" i="7"/>
  <c r="AP129" i="5"/>
  <c r="AR130" i="7"/>
  <c r="AJ130" i="7"/>
  <c r="AL130" i="7" s="1"/>
  <c r="BD128" i="7"/>
  <c r="AR129" i="5"/>
  <c r="BB126" i="5"/>
  <c r="AZ128" i="7"/>
  <c r="BB126" i="7"/>
  <c r="AP138" i="7"/>
  <c r="AR126" i="5"/>
  <c r="AR128" i="7"/>
  <c r="AJ128" i="7"/>
  <c r="AL128" i="7" s="1"/>
  <c r="AX130" i="7"/>
  <c r="BB130" i="7"/>
  <c r="BF130" i="7"/>
  <c r="AV130" i="7"/>
  <c r="AT130" i="7"/>
  <c r="BJ130" i="7"/>
  <c r="BH130" i="7"/>
  <c r="Z130" i="50" s="1"/>
  <c r="AA130" i="50" s="1"/>
  <c r="BD130" i="7"/>
  <c r="AZ130" i="7"/>
  <c r="AJ147" i="7"/>
  <c r="AL147" i="7" s="1"/>
  <c r="BJ128" i="7"/>
  <c r="AX128" i="7"/>
  <c r="AJ126" i="7"/>
  <c r="AL126" i="7" s="1"/>
  <c r="AV129" i="5"/>
  <c r="AX126" i="5"/>
  <c r="AJ151" i="7"/>
  <c r="AL151" i="7" s="1"/>
  <c r="AV128" i="7"/>
  <c r="BJ126" i="7"/>
  <c r="AT129" i="5"/>
  <c r="BB138" i="5"/>
  <c r="AP138" i="5"/>
  <c r="AX138" i="5"/>
  <c r="AT138" i="5"/>
  <c r="AR138" i="5"/>
  <c r="AN138" i="5"/>
  <c r="AV138" i="5"/>
  <c r="AV126" i="5"/>
  <c r="AT128" i="7"/>
  <c r="F124" i="50" l="1"/>
  <c r="L124" i="50" s="1"/>
  <c r="AF124" i="5"/>
  <c r="AH124" i="5" s="1"/>
  <c r="T126" i="50"/>
  <c r="AG126" i="50" s="1"/>
  <c r="R126" i="50"/>
  <c r="AE126" i="50" s="1"/>
  <c r="P126" i="50"/>
  <c r="AC126" i="50" s="1"/>
  <c r="T147" i="50"/>
  <c r="R147" i="50"/>
  <c r="P147" i="50"/>
  <c r="T128" i="50"/>
  <c r="AG128" i="50" s="1"/>
  <c r="R128" i="50"/>
  <c r="AE128" i="50" s="1"/>
  <c r="P128" i="50"/>
  <c r="AC128" i="50" s="1"/>
  <c r="T129" i="50"/>
  <c r="AG129" i="50" s="1"/>
  <c r="P129" i="50"/>
  <c r="AC129" i="50" s="1"/>
  <c r="R129" i="50"/>
  <c r="AE129" i="50" s="1"/>
  <c r="T130" i="50"/>
  <c r="AG130" i="50" s="1"/>
  <c r="R130" i="50"/>
  <c r="AE130" i="50" s="1"/>
  <c r="P130" i="50"/>
  <c r="AC130" i="50" s="1"/>
  <c r="BD128" i="5"/>
  <c r="BL126" i="7"/>
  <c r="BD126" i="5"/>
  <c r="BD129" i="5"/>
  <c r="BL129" i="7"/>
  <c r="AJ124" i="7"/>
  <c r="AL124" i="7" s="1"/>
  <c r="BD130" i="5"/>
  <c r="BL130" i="7"/>
  <c r="AK156" i="5"/>
  <c r="AL156" i="5" s="1"/>
  <c r="AZ156" i="5" s="1"/>
  <c r="AO156" i="7"/>
  <c r="AP156" i="7" s="1"/>
  <c r="BL128" i="7"/>
  <c r="BD138" i="5"/>
  <c r="T124" i="50" l="1"/>
  <c r="P124" i="50"/>
  <c r="R124" i="50"/>
  <c r="AO153" i="7"/>
  <c r="AP153" i="7" s="1"/>
  <c r="AK153" i="5"/>
  <c r="AL153" i="5" s="1"/>
  <c r="AZ153" i="5" s="1"/>
  <c r="AK142" i="5"/>
  <c r="AL142" i="5" s="1"/>
  <c r="AZ142" i="5" s="1"/>
  <c r="AO142" i="7"/>
  <c r="AP142" i="7" s="1"/>
  <c r="AK139" i="5"/>
  <c r="AL139" i="5" s="1"/>
  <c r="AZ139" i="5" s="1"/>
  <c r="AO139" i="7"/>
  <c r="AP139" i="7" s="1"/>
  <c r="AK143" i="5"/>
  <c r="AL143" i="5" s="1"/>
  <c r="AZ143" i="5" s="1"/>
  <c r="AO143" i="7"/>
  <c r="AP143" i="7" s="1"/>
  <c r="AO127" i="7"/>
  <c r="AP127" i="7" s="1"/>
  <c r="AK127" i="5"/>
  <c r="AL127" i="5" s="1"/>
  <c r="AZ127" i="5" s="1"/>
  <c r="AK131" i="5"/>
  <c r="AL131" i="5" s="1"/>
  <c r="AZ131" i="5" s="1"/>
  <c r="AO131" i="7"/>
  <c r="AP131" i="7" s="1"/>
  <c r="AK147" i="5"/>
  <c r="AL147" i="5" s="1"/>
  <c r="AZ147" i="5" s="1"/>
  <c r="AO147" i="7"/>
  <c r="AP147" i="7" s="1"/>
  <c r="AK141" i="5"/>
  <c r="AL141" i="5" s="1"/>
  <c r="AZ141" i="5" s="1"/>
  <c r="AO141" i="7"/>
  <c r="AP141" i="7" s="1"/>
  <c r="AO152" i="7"/>
  <c r="AP152" i="7" s="1"/>
  <c r="AK152" i="5"/>
  <c r="AL152" i="5" s="1"/>
  <c r="AZ152" i="5" s="1"/>
  <c r="AK154" i="5"/>
  <c r="AL154" i="5" s="1"/>
  <c r="AZ154" i="5" s="1"/>
  <c r="AO154" i="7"/>
  <c r="AP154" i="7" s="1"/>
  <c r="BF156" i="7"/>
  <c r="AV156" i="7"/>
  <c r="BH156" i="7"/>
  <c r="Z156" i="50" s="1"/>
  <c r="AA156" i="50" s="1"/>
  <c r="AR156" i="7"/>
  <c r="AT156" i="7"/>
  <c r="BB156" i="7"/>
  <c r="BD156" i="7"/>
  <c r="AX156" i="7"/>
  <c r="AZ156" i="7"/>
  <c r="BJ156" i="7"/>
  <c r="AR156" i="5"/>
  <c r="AN156" i="5"/>
  <c r="AT156" i="5"/>
  <c r="BB156" i="5"/>
  <c r="AX156" i="5"/>
  <c r="AV156" i="5"/>
  <c r="AP156" i="5"/>
  <c r="AC156" i="50" l="1"/>
  <c r="AE156" i="50"/>
  <c r="AG156" i="50"/>
  <c r="BF152" i="7"/>
  <c r="BJ152" i="7"/>
  <c r="AV152" i="7"/>
  <c r="AX152" i="7"/>
  <c r="AT152" i="7"/>
  <c r="AR152" i="7"/>
  <c r="BB152" i="7"/>
  <c r="BH152" i="7"/>
  <c r="Z152" i="50" s="1"/>
  <c r="AA152" i="50" s="1"/>
  <c r="AG152" i="50" s="1"/>
  <c r="AZ152" i="7"/>
  <c r="BD152" i="7"/>
  <c r="AR147" i="5"/>
  <c r="AV147" i="5"/>
  <c r="BB147" i="5"/>
  <c r="AX147" i="5"/>
  <c r="AP147" i="5"/>
  <c r="AT147" i="5"/>
  <c r="AN147" i="5"/>
  <c r="AN143" i="5"/>
  <c r="AP143" i="5"/>
  <c r="AR143" i="5"/>
  <c r="BB143" i="5"/>
  <c r="AT143" i="5"/>
  <c r="AV143" i="5"/>
  <c r="AX143" i="5"/>
  <c r="AT142" i="5"/>
  <c r="AP142" i="5"/>
  <c r="AX142" i="5"/>
  <c r="BB142" i="5"/>
  <c r="AN142" i="5"/>
  <c r="AV142" i="5"/>
  <c r="AR142" i="5"/>
  <c r="AT141" i="5"/>
  <c r="BB141" i="5"/>
  <c r="AR141" i="5"/>
  <c r="AX141" i="5"/>
  <c r="AN141" i="5"/>
  <c r="AP141" i="5"/>
  <c r="AV141" i="5"/>
  <c r="AP127" i="5"/>
  <c r="AV127" i="5"/>
  <c r="BB127" i="5"/>
  <c r="AR127" i="5"/>
  <c r="AT127" i="5"/>
  <c r="AX127" i="5"/>
  <c r="AN127" i="5"/>
  <c r="AN153" i="5"/>
  <c r="AP153" i="5"/>
  <c r="AX153" i="5"/>
  <c r="AR153" i="5"/>
  <c r="AV153" i="5"/>
  <c r="BB153" i="5"/>
  <c r="AT153" i="5"/>
  <c r="BL156" i="7"/>
  <c r="AR147" i="7"/>
  <c r="BB147" i="7"/>
  <c r="AT147" i="7"/>
  <c r="BF147" i="7"/>
  <c r="AX147" i="7"/>
  <c r="AZ147" i="7"/>
  <c r="BD147" i="7"/>
  <c r="BJ147" i="7"/>
  <c r="AV147" i="7"/>
  <c r="BH147" i="7"/>
  <c r="Z147" i="50" s="1"/>
  <c r="AA147" i="50" s="1"/>
  <c r="AT131" i="7"/>
  <c r="AX131" i="7"/>
  <c r="AV131" i="7"/>
  <c r="BH131" i="7"/>
  <c r="Z131" i="50" s="1"/>
  <c r="AA131" i="50" s="1"/>
  <c r="BD131" i="7"/>
  <c r="AR131" i="7"/>
  <c r="AZ131" i="7"/>
  <c r="BB131" i="7"/>
  <c r="BJ131" i="7"/>
  <c r="BF131" i="7"/>
  <c r="BF127" i="7"/>
  <c r="BH127" i="7"/>
  <c r="Z127" i="50" s="1"/>
  <c r="AA127" i="50" s="1"/>
  <c r="AV127" i="7"/>
  <c r="AX127" i="7"/>
  <c r="BJ127" i="7"/>
  <c r="BB127" i="7"/>
  <c r="AT127" i="7"/>
  <c r="BD127" i="7"/>
  <c r="AZ127" i="7"/>
  <c r="AR127" i="7"/>
  <c r="BF153" i="7"/>
  <c r="BD153" i="7"/>
  <c r="AR153" i="7"/>
  <c r="BH153" i="7"/>
  <c r="Z153" i="50" s="1"/>
  <c r="AA153" i="50" s="1"/>
  <c r="BJ153" i="7"/>
  <c r="AX153" i="7"/>
  <c r="BB153" i="7"/>
  <c r="AT153" i="7"/>
  <c r="AV153" i="7"/>
  <c r="AZ153" i="7"/>
  <c r="BD156" i="5"/>
  <c r="AT154" i="7"/>
  <c r="BH154" i="7"/>
  <c r="Z154" i="50" s="1"/>
  <c r="AA154" i="50" s="1"/>
  <c r="AR154" i="7"/>
  <c r="BD154" i="7"/>
  <c r="BF154" i="7"/>
  <c r="BB154" i="7"/>
  <c r="AX154" i="7"/>
  <c r="BJ154" i="7"/>
  <c r="AV154" i="7"/>
  <c r="AZ154" i="7"/>
  <c r="AV154" i="5"/>
  <c r="AT154" i="5"/>
  <c r="AP154" i="5"/>
  <c r="AX154" i="5"/>
  <c r="AN154" i="5"/>
  <c r="BB154" i="5"/>
  <c r="AR154" i="5"/>
  <c r="AV152" i="5"/>
  <c r="AT152" i="5"/>
  <c r="AP152" i="5"/>
  <c r="BB152" i="5"/>
  <c r="AX152" i="5"/>
  <c r="AN152" i="5"/>
  <c r="AR152" i="5"/>
  <c r="AP131" i="5"/>
  <c r="AT131" i="5"/>
  <c r="AX131" i="5"/>
  <c r="AN131" i="5"/>
  <c r="AR131" i="5"/>
  <c r="AV131" i="5"/>
  <c r="BB131" i="5"/>
  <c r="AT139" i="5"/>
  <c r="AP139" i="5"/>
  <c r="AV139" i="5"/>
  <c r="AN139" i="5"/>
  <c r="AR139" i="5"/>
  <c r="BB139" i="5"/>
  <c r="AX139" i="5"/>
  <c r="AC152" i="50" l="1"/>
  <c r="AE152" i="50"/>
  <c r="AE154" i="50"/>
  <c r="AC154" i="50"/>
  <c r="AG154" i="50"/>
  <c r="AC153" i="50"/>
  <c r="AG153" i="50"/>
  <c r="AE153" i="50"/>
  <c r="AE147" i="50"/>
  <c r="AC147" i="50"/>
  <c r="AG147" i="50"/>
  <c r="AC131" i="50"/>
  <c r="AE131" i="50"/>
  <c r="AG131" i="50"/>
  <c r="AE127" i="50"/>
  <c r="AG127" i="50"/>
  <c r="AC127" i="50"/>
  <c r="BD152" i="5"/>
  <c r="BD154" i="5"/>
  <c r="BL154" i="7"/>
  <c r="BL147" i="7"/>
  <c r="BD147" i="5"/>
  <c r="BD131" i="5"/>
  <c r="AK124" i="5"/>
  <c r="AL124" i="5" s="1"/>
  <c r="AZ124" i="5" s="1"/>
  <c r="AO124" i="7"/>
  <c r="AP124" i="7" s="1"/>
  <c r="BL131" i="7"/>
  <c r="BD143" i="5"/>
  <c r="BD139" i="5"/>
  <c r="BL127" i="7"/>
  <c r="BD153" i="5"/>
  <c r="BD127" i="5"/>
  <c r="BL153" i="7"/>
  <c r="BD142" i="5"/>
  <c r="BL152" i="7"/>
  <c r="BD141" i="5"/>
  <c r="BF124" i="7" l="1"/>
  <c r="BH124" i="7"/>
  <c r="Z124" i="50" s="1"/>
  <c r="AA124" i="50" s="1"/>
  <c r="BJ124" i="7"/>
  <c r="BB124" i="7"/>
  <c r="AR124" i="7"/>
  <c r="AZ124" i="7"/>
  <c r="AX124" i="7"/>
  <c r="AT124" i="7"/>
  <c r="AV124" i="7"/>
  <c r="BD124" i="7"/>
  <c r="AR124" i="5"/>
  <c r="AV124" i="5"/>
  <c r="AN124" i="5"/>
  <c r="AT124" i="5"/>
  <c r="AX124" i="5"/>
  <c r="AP124" i="5"/>
  <c r="BB124" i="5"/>
  <c r="AG124" i="50" l="1"/>
  <c r="AE124" i="50"/>
  <c r="AC124" i="50"/>
  <c r="BL124" i="7"/>
  <c r="BD124" i="5"/>
  <c r="F157" i="5" l="1"/>
  <c r="L157" i="5" s="1"/>
  <c r="AB157" i="5" s="1"/>
  <c r="AK157" i="5"/>
  <c r="F157" i="7"/>
  <c r="L157" i="7" s="1"/>
  <c r="AO157" i="7"/>
  <c r="Z157" i="7" l="1"/>
  <c r="X157" i="7"/>
  <c r="V157" i="7"/>
  <c r="AB157" i="7"/>
  <c r="T157" i="7"/>
  <c r="R157" i="7"/>
  <c r="P157" i="7"/>
  <c r="AH157" i="7"/>
  <c r="AF157" i="7"/>
  <c r="F157" i="50" s="1"/>
  <c r="AD157" i="7"/>
  <c r="X157" i="5"/>
  <c r="V157" i="5"/>
  <c r="T157" i="5"/>
  <c r="R157" i="5"/>
  <c r="P157" i="5"/>
  <c r="Z157" i="5"/>
  <c r="AD157" i="5"/>
  <c r="AP157" i="7"/>
  <c r="AL157" i="5"/>
  <c r="AZ157" i="5" s="1"/>
  <c r="AF157" i="5" l="1"/>
  <c r="AH157" i="5" s="1"/>
  <c r="L157" i="50"/>
  <c r="AP157" i="5"/>
  <c r="AX157" i="7"/>
  <c r="AZ157" i="7"/>
  <c r="BJ157" i="7"/>
  <c r="AN157" i="5"/>
  <c r="AR157" i="7"/>
  <c r="AR157" i="5"/>
  <c r="BH157" i="7"/>
  <c r="Z157" i="50" s="1"/>
  <c r="AA157" i="50" s="1"/>
  <c r="BB157" i="5"/>
  <c r="AT157" i="7"/>
  <c r="AX157" i="5"/>
  <c r="AV157" i="5"/>
  <c r="AV157" i="7"/>
  <c r="AJ157" i="7"/>
  <c r="AL157" i="7" s="1"/>
  <c r="BF157" i="7"/>
  <c r="AT157" i="5"/>
  <c r="BB157" i="7"/>
  <c r="BD157" i="7"/>
  <c r="T157" i="50" l="1"/>
  <c r="R157" i="50"/>
  <c r="P157" i="50"/>
  <c r="BD157" i="5"/>
  <c r="BL157" i="7"/>
  <c r="AG157" i="50" l="1"/>
  <c r="J24" i="51"/>
  <c r="AE157" i="50"/>
  <c r="H24" i="51"/>
  <c r="AC157" i="50"/>
  <c r="F24" i="51"/>
  <c r="F145" i="7"/>
  <c r="L145" i="7" s="1"/>
  <c r="F145" i="5"/>
  <c r="L145" i="5" s="1"/>
  <c r="H178" i="7" l="1"/>
  <c r="F176" i="7" l="1"/>
  <c r="F176" i="5"/>
  <c r="L176" i="5" l="1"/>
  <c r="AB176" i="5" s="1"/>
  <c r="AB178" i="5" s="1"/>
  <c r="F178" i="5"/>
  <c r="L176" i="7"/>
  <c r="F178" i="7"/>
  <c r="L178" i="7" l="1"/>
  <c r="AD176" i="5"/>
  <c r="Z176" i="5"/>
  <c r="X176" i="5"/>
  <c r="V176" i="5"/>
  <c r="T176" i="5"/>
  <c r="R176" i="5"/>
  <c r="P176" i="5"/>
  <c r="L178" i="5"/>
  <c r="X178" i="5" l="1"/>
  <c r="T178" i="5"/>
  <c r="AD178" i="5"/>
  <c r="V178" i="5"/>
  <c r="AF176" i="5"/>
  <c r="P178" i="5"/>
  <c r="R178" i="5"/>
  <c r="Z178" i="5"/>
  <c r="AH176" i="5" l="1"/>
  <c r="AF178" i="5"/>
  <c r="AH178" i="5" s="1"/>
  <c r="F120" i="5" l="1"/>
  <c r="L120" i="5" s="1"/>
  <c r="AB120" i="5" s="1"/>
  <c r="F120" i="7"/>
  <c r="L120" i="7" s="1"/>
  <c r="AH120" i="7" l="1"/>
  <c r="R120" i="7"/>
  <c r="AF120" i="7"/>
  <c r="F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D120" i="5"/>
  <c r="AK120" i="5"/>
  <c r="AL120" i="5" s="1"/>
  <c r="AZ120" i="5" s="1"/>
  <c r="AO120" i="7"/>
  <c r="AP120" i="7" s="1"/>
  <c r="AF120" i="5" l="1"/>
  <c r="AH120" i="5" s="1"/>
  <c r="L120" i="50"/>
  <c r="AN120" i="5"/>
  <c r="AT120" i="5"/>
  <c r="AV120" i="5"/>
  <c r="AP120" i="5"/>
  <c r="AR120" i="5"/>
  <c r="BB120" i="5"/>
  <c r="AX120" i="5"/>
  <c r="BF120" i="7"/>
  <c r="AX120" i="7"/>
  <c r="AV120" i="7"/>
  <c r="BB120" i="7"/>
  <c r="BH120" i="7"/>
  <c r="Z120" i="50" s="1"/>
  <c r="AA120" i="50" s="1"/>
  <c r="BJ120" i="7"/>
  <c r="AZ120" i="7"/>
  <c r="BD120" i="7"/>
  <c r="AT120" i="7"/>
  <c r="AR120" i="7"/>
  <c r="AJ120" i="7"/>
  <c r="AL120" i="7" s="1"/>
  <c r="T120" i="50" l="1"/>
  <c r="AG120" i="50" s="1"/>
  <c r="P120" i="50"/>
  <c r="AC120" i="50" s="1"/>
  <c r="R120" i="50"/>
  <c r="AE120" i="50" s="1"/>
  <c r="BD120" i="5"/>
  <c r="BL120" i="7"/>
  <c r="F117" i="7" l="1"/>
  <c r="L117" i="7" s="1"/>
  <c r="AO117" i="7"/>
  <c r="F117" i="5"/>
  <c r="L117" i="5" s="1"/>
  <c r="AB117" i="5" s="1"/>
  <c r="AK117" i="5"/>
  <c r="AD117" i="7" l="1"/>
  <c r="AB117" i="7"/>
  <c r="Z117" i="7"/>
  <c r="P117" i="7"/>
  <c r="AH117" i="7"/>
  <c r="AF117" i="7"/>
  <c r="F117" i="50" s="1"/>
  <c r="R117" i="7"/>
  <c r="X117" i="7"/>
  <c r="V117" i="7"/>
  <c r="T117" i="7"/>
  <c r="T117" i="5"/>
  <c r="R117" i="5"/>
  <c r="P117" i="5"/>
  <c r="AD117" i="5"/>
  <c r="H38" i="52" s="1"/>
  <c r="H39" i="52" s="1"/>
  <c r="Z117" i="5"/>
  <c r="X117" i="5"/>
  <c r="V117" i="5"/>
  <c r="AP117" i="7"/>
  <c r="AL117" i="5"/>
  <c r="AZ117" i="5" s="1"/>
  <c r="AF117" i="5" l="1"/>
  <c r="AH117" i="5" s="1"/>
  <c r="H38" i="60"/>
  <c r="L117" i="50"/>
  <c r="BF117" i="7"/>
  <c r="BD117" i="7"/>
  <c r="AT117" i="7"/>
  <c r="AV117" i="7"/>
  <c r="AR117" i="5"/>
  <c r="AT117" i="5"/>
  <c r="AN117" i="5"/>
  <c r="AV117" i="5"/>
  <c r="AP117" i="5"/>
  <c r="AX117" i="5"/>
  <c r="AX117" i="7"/>
  <c r="AJ117" i="7"/>
  <c r="AL117" i="7" s="1"/>
  <c r="BH117" i="7"/>
  <c r="Z117" i="50" s="1"/>
  <c r="AA117" i="50" s="1"/>
  <c r="AZ117" i="7"/>
  <c r="BB117" i="7"/>
  <c r="BJ117" i="7"/>
  <c r="BB117" i="5"/>
  <c r="AR117" i="7"/>
  <c r="H38" i="61" l="1"/>
  <c r="H39" i="61" s="1"/>
  <c r="T117" i="50"/>
  <c r="AG117" i="50" s="1"/>
  <c r="P117" i="50"/>
  <c r="AC117" i="50" s="1"/>
  <c r="R117" i="50"/>
  <c r="AE117" i="50" s="1"/>
  <c r="F119" i="5"/>
  <c r="L119" i="5" s="1"/>
  <c r="AB119" i="5" s="1"/>
  <c r="F119" i="7"/>
  <c r="L119" i="7" s="1"/>
  <c r="BL117" i="7"/>
  <c r="BD117" i="5"/>
  <c r="V119" i="7" l="1"/>
  <c r="T119" i="7"/>
  <c r="AH119" i="7"/>
  <c r="R119" i="7"/>
  <c r="Z119" i="7"/>
  <c r="P119" i="7"/>
  <c r="AF119" i="7"/>
  <c r="F119" i="50" s="1"/>
  <c r="AD119" i="7"/>
  <c r="AB119" i="7"/>
  <c r="X119" i="7"/>
  <c r="X119" i="5"/>
  <c r="V119" i="5"/>
  <c r="T119" i="5"/>
  <c r="P119" i="5"/>
  <c r="R119" i="5"/>
  <c r="AD119" i="5"/>
  <c r="Z119" i="5"/>
  <c r="AK119" i="5"/>
  <c r="AL119" i="5" s="1"/>
  <c r="AZ119" i="5" s="1"/>
  <c r="AO119" i="7"/>
  <c r="AP119" i="7" s="1"/>
  <c r="AF119" i="5" l="1"/>
  <c r="L119" i="50"/>
  <c r="AJ119" i="7"/>
  <c r="BF119" i="7"/>
  <c r="BJ119" i="7"/>
  <c r="AZ119" i="7"/>
  <c r="AT119" i="7"/>
  <c r="BB119" i="7"/>
  <c r="AR119" i="7"/>
  <c r="AV119" i="7"/>
  <c r="BD119" i="7"/>
  <c r="AX119" i="7"/>
  <c r="BH119" i="7"/>
  <c r="Z119" i="50" s="1"/>
  <c r="AA119" i="50" s="1"/>
  <c r="AV119" i="5"/>
  <c r="AR119" i="5"/>
  <c r="BB119" i="5"/>
  <c r="AP119" i="5"/>
  <c r="AX119" i="5"/>
  <c r="AT119" i="5"/>
  <c r="AN119" i="5"/>
  <c r="T119" i="50" l="1"/>
  <c r="AG119" i="50" s="1"/>
  <c r="R119" i="50"/>
  <c r="AE119" i="50" s="1"/>
  <c r="P119" i="50"/>
  <c r="AC119" i="50" s="1"/>
  <c r="BL119" i="7"/>
  <c r="BD119" i="5"/>
  <c r="H97" i="7" l="1"/>
  <c r="H164" i="7" s="1"/>
  <c r="H180" i="7" s="1"/>
  <c r="P31" i="5" l="1"/>
  <c r="R31" i="5"/>
  <c r="T31" i="5"/>
  <c r="V31" i="5"/>
  <c r="X31" i="5"/>
  <c r="Z31" i="5"/>
  <c r="AD31" i="5"/>
  <c r="P67" i="5"/>
  <c r="R67" i="5"/>
  <c r="T67" i="5"/>
  <c r="V67" i="5"/>
  <c r="X67" i="5"/>
  <c r="Z67" i="5"/>
  <c r="AD67" i="5"/>
  <c r="AF67" i="5" l="1"/>
  <c r="AT23" i="5"/>
  <c r="AT31" i="5" s="1"/>
  <c r="AZ23" i="5"/>
  <c r="AZ31" i="5" s="1"/>
  <c r="AF31" i="5"/>
  <c r="AH31" i="5" s="1"/>
  <c r="BB23" i="5"/>
  <c r="BB31" i="5" s="1"/>
  <c r="AX23" i="5"/>
  <c r="AX31" i="5" s="1"/>
  <c r="AV23" i="5"/>
  <c r="AV31" i="5" s="1"/>
  <c r="AR23" i="5"/>
  <c r="AR31" i="5" s="1"/>
  <c r="AP23" i="5"/>
  <c r="AP31" i="5" s="1"/>
  <c r="AN23" i="5"/>
  <c r="AN31" i="5" s="1"/>
  <c r="AH23" i="5"/>
  <c r="AH67" i="5" l="1"/>
  <c r="BD23" i="5"/>
  <c r="BD31" i="5" s="1"/>
  <c r="AH31" i="78" l="1"/>
  <c r="AJ21" i="7"/>
  <c r="AV21" i="7" s="1"/>
  <c r="AJ23" i="7"/>
  <c r="AR23" i="7" s="1"/>
  <c r="AJ27" i="7"/>
  <c r="AR27" i="7" s="1"/>
  <c r="AJ28" i="7"/>
  <c r="AX28" i="7" s="1"/>
  <c r="AJ29" i="7"/>
  <c r="AZ29" i="7" s="1"/>
  <c r="AJ45" i="7"/>
  <c r="AL45" i="7" s="1"/>
  <c r="AJ49" i="7"/>
  <c r="AL49" i="7" s="1"/>
  <c r="AJ50" i="7"/>
  <c r="AL50" i="7" s="1"/>
  <c r="AJ51" i="7"/>
  <c r="AL51" i="7" s="1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J139" i="7"/>
  <c r="AL139" i="7" s="1"/>
  <c r="AR139" i="7"/>
  <c r="AT139" i="7"/>
  <c r="AV139" i="7"/>
  <c r="AX139" i="7"/>
  <c r="AZ139" i="7"/>
  <c r="BB139" i="7"/>
  <c r="BD139" i="7"/>
  <c r="BF139" i="7"/>
  <c r="BH139" i="7"/>
  <c r="Z139" i="50" s="1"/>
  <c r="AA139" i="50" s="1"/>
  <c r="BJ139" i="7"/>
  <c r="AJ140" i="7"/>
  <c r="AL140" i="7" s="1"/>
  <c r="AR140" i="7"/>
  <c r="AT140" i="7"/>
  <c r="AV140" i="7"/>
  <c r="AX140" i="7"/>
  <c r="AZ140" i="7"/>
  <c r="BB140" i="7"/>
  <c r="BD140" i="7"/>
  <c r="BF140" i="7"/>
  <c r="BH140" i="7"/>
  <c r="Z140" i="50" s="1"/>
  <c r="AA140" i="50" s="1"/>
  <c r="BJ140" i="7"/>
  <c r="AJ142" i="7"/>
  <c r="AL142" i="7" s="1"/>
  <c r="AR142" i="7"/>
  <c r="AT142" i="7"/>
  <c r="AV142" i="7"/>
  <c r="AX142" i="7"/>
  <c r="AZ142" i="7"/>
  <c r="BB142" i="7"/>
  <c r="BD142" i="7"/>
  <c r="BF142" i="7"/>
  <c r="BH142" i="7"/>
  <c r="Z142" i="50" s="1"/>
  <c r="AA142" i="50" s="1"/>
  <c r="BJ142" i="7"/>
  <c r="AC142" i="50" l="1"/>
  <c r="AG142" i="50"/>
  <c r="AE142" i="50"/>
  <c r="AE139" i="50"/>
  <c r="AC139" i="50"/>
  <c r="AG139" i="50"/>
  <c r="AC140" i="50"/>
  <c r="AE140" i="50"/>
  <c r="AG140" i="50"/>
  <c r="BJ21" i="7"/>
  <c r="BH21" i="7"/>
  <c r="BF21" i="7"/>
  <c r="BH29" i="7"/>
  <c r="BF29" i="7"/>
  <c r="BD29" i="7"/>
  <c r="BB29" i="7"/>
  <c r="AL29" i="7"/>
  <c r="AL21" i="7"/>
  <c r="BH28" i="7"/>
  <c r="BD21" i="7"/>
  <c r="BJ29" i="7"/>
  <c r="AJ67" i="7"/>
  <c r="AL67" i="7" s="1"/>
  <c r="BL142" i="7"/>
  <c r="BJ28" i="7"/>
  <c r="BF23" i="7"/>
  <c r="BF27" i="7"/>
  <c r="AJ71" i="7"/>
  <c r="AL71" i="7" s="1"/>
  <c r="AX29" i="7"/>
  <c r="BD27" i="7"/>
  <c r="AV29" i="7"/>
  <c r="BB27" i="7"/>
  <c r="BL140" i="7"/>
  <c r="BH23" i="7"/>
  <c r="AL23" i="7"/>
  <c r="BL139" i="7"/>
  <c r="AJ72" i="7"/>
  <c r="AL72" i="7" s="1"/>
  <c r="BF28" i="7"/>
  <c r="BD23" i="7"/>
  <c r="AJ73" i="7"/>
  <c r="AL73" i="7" s="1"/>
  <c r="BD28" i="7"/>
  <c r="BB23" i="7"/>
  <c r="AT29" i="7"/>
  <c r="BB28" i="7"/>
  <c r="AV27" i="7"/>
  <c r="AZ23" i="7"/>
  <c r="AR29" i="7"/>
  <c r="AV28" i="7"/>
  <c r="AL27" i="7"/>
  <c r="AX23" i="7"/>
  <c r="AR28" i="7"/>
  <c r="AV23" i="7"/>
  <c r="AL28" i="7"/>
  <c r="BJ23" i="7"/>
  <c r="AT23" i="7"/>
  <c r="AT21" i="7"/>
  <c r="AT28" i="7"/>
  <c r="AR21" i="7"/>
  <c r="AZ27" i="7"/>
  <c r="AX27" i="7"/>
  <c r="BB21" i="7"/>
  <c r="AZ21" i="7"/>
  <c r="AZ28" i="7"/>
  <c r="BJ27" i="7"/>
  <c r="AT27" i="7"/>
  <c r="AX21" i="7"/>
  <c r="BH27" i="7"/>
  <c r="BL29" i="7" l="1"/>
  <c r="BL23" i="7"/>
  <c r="BL27" i="7"/>
  <c r="BL21" i="7"/>
  <c r="BL28" i="7"/>
  <c r="AL83" i="7" l="1"/>
  <c r="L87" i="7" l="1"/>
  <c r="Z87" i="7" s="1"/>
  <c r="L87" i="5"/>
  <c r="AB87" i="5" s="1"/>
  <c r="V87" i="7" l="1"/>
  <c r="R87" i="7"/>
  <c r="P87" i="7"/>
  <c r="T87" i="7"/>
  <c r="X87" i="7"/>
  <c r="AH87" i="7"/>
  <c r="AF87" i="7"/>
  <c r="F87" i="50" s="1"/>
  <c r="L87" i="50" s="1"/>
  <c r="AD87" i="7"/>
  <c r="AB87" i="7"/>
  <c r="T87" i="50" l="1"/>
  <c r="R87" i="50"/>
  <c r="P87" i="50"/>
  <c r="AJ87" i="7"/>
  <c r="AL87" i="7" s="1"/>
  <c r="AH82" i="5" l="1"/>
  <c r="P87" i="5" l="1"/>
  <c r="R87" i="5"/>
  <c r="T87" i="5"/>
  <c r="V87" i="5"/>
  <c r="X87" i="5"/>
  <c r="Z87" i="5"/>
  <c r="AD87" i="5"/>
  <c r="AF87" i="5" l="1"/>
  <c r="AH87" i="5" s="1"/>
  <c r="AL81" i="7" l="1"/>
  <c r="AL82" i="7"/>
  <c r="L41" i="13" l="1"/>
  <c r="L19" i="13"/>
  <c r="P41" i="13" l="1"/>
  <c r="X41" i="13"/>
  <c r="Z41" i="13"/>
  <c r="T41" i="13"/>
  <c r="V41" i="13"/>
  <c r="R41" i="13"/>
  <c r="Z19" i="13"/>
  <c r="X19" i="13"/>
  <c r="V19" i="13"/>
  <c r="T19" i="13"/>
  <c r="R19" i="13"/>
  <c r="P19" i="13"/>
  <c r="AD124" i="4"/>
  <c r="AK124" i="4" s="1"/>
  <c r="L171" i="4"/>
  <c r="L173" i="4"/>
  <c r="L176" i="4"/>
  <c r="L117" i="13"/>
  <c r="L20" i="13"/>
  <c r="L156" i="13"/>
  <c r="L129" i="13"/>
  <c r="L126" i="13"/>
  <c r="L124" i="13"/>
  <c r="L153" i="13"/>
  <c r="L63" i="13"/>
  <c r="P63" i="13" l="1"/>
  <c r="X63" i="13"/>
  <c r="T171" i="4"/>
  <c r="V171" i="4"/>
  <c r="T176" i="4"/>
  <c r="V176" i="4"/>
  <c r="T173" i="4"/>
  <c r="V173" i="4"/>
  <c r="P176" i="4"/>
  <c r="R176" i="4"/>
  <c r="P171" i="4"/>
  <c r="R171" i="4"/>
  <c r="P173" i="4"/>
  <c r="R173" i="4"/>
  <c r="T156" i="13"/>
  <c r="R156" i="13"/>
  <c r="P156" i="13"/>
  <c r="X156" i="13"/>
  <c r="V156" i="13"/>
  <c r="Z156" i="13"/>
  <c r="X153" i="13"/>
  <c r="V153" i="13"/>
  <c r="T153" i="13"/>
  <c r="R153" i="13"/>
  <c r="Z153" i="13"/>
  <c r="P153" i="13"/>
  <c r="Z63" i="13"/>
  <c r="X124" i="13"/>
  <c r="Z124" i="13"/>
  <c r="T124" i="13"/>
  <c r="R124" i="13"/>
  <c r="P124" i="13"/>
  <c r="V124" i="13"/>
  <c r="R129" i="13"/>
  <c r="P129" i="13"/>
  <c r="X129" i="13"/>
  <c r="T129" i="13"/>
  <c r="Z129" i="13"/>
  <c r="V129" i="13"/>
  <c r="V126" i="13"/>
  <c r="R126" i="13"/>
  <c r="P126" i="13"/>
  <c r="T126" i="13"/>
  <c r="Z126" i="13"/>
  <c r="X126" i="13"/>
  <c r="T117" i="13"/>
  <c r="R117" i="13"/>
  <c r="P117" i="13"/>
  <c r="V117" i="13"/>
  <c r="Z117" i="13"/>
  <c r="X117" i="13"/>
  <c r="T63" i="13"/>
  <c r="R63" i="13"/>
  <c r="V63" i="13"/>
  <c r="AD147" i="4"/>
  <c r="AK147" i="4" s="1"/>
  <c r="P20" i="13"/>
  <c r="Z20" i="13"/>
  <c r="V20" i="13"/>
  <c r="T20" i="13"/>
  <c r="R20" i="13"/>
  <c r="X20" i="13"/>
  <c r="AD140" i="4"/>
  <c r="AK140" i="4" s="1"/>
  <c r="L130" i="4"/>
  <c r="L126" i="4"/>
  <c r="L175" i="4"/>
  <c r="L143" i="4"/>
  <c r="L26" i="4"/>
  <c r="L24" i="4"/>
  <c r="L156" i="4"/>
  <c r="L20" i="4"/>
  <c r="F71" i="4"/>
  <c r="L27" i="4"/>
  <c r="F70" i="4"/>
  <c r="L41" i="4"/>
  <c r="L47" i="4"/>
  <c r="L154" i="4"/>
  <c r="L30" i="4"/>
  <c r="L28" i="4"/>
  <c r="L139" i="4"/>
  <c r="L51" i="4"/>
  <c r="F178" i="4"/>
  <c r="L170" i="4"/>
  <c r="L141" i="4"/>
  <c r="L117" i="4"/>
  <c r="L131" i="4"/>
  <c r="F69" i="4"/>
  <c r="L25" i="4"/>
  <c r="L45" i="4"/>
  <c r="L157" i="4"/>
  <c r="L147" i="4"/>
  <c r="L174" i="4"/>
  <c r="AD139" i="4"/>
  <c r="L172" i="4"/>
  <c r="L119" i="4"/>
  <c r="L44" i="4"/>
  <c r="AD117" i="4"/>
  <c r="AD141" i="4"/>
  <c r="L129" i="4"/>
  <c r="L153" i="4"/>
  <c r="L152" i="4"/>
  <c r="AD143" i="4"/>
  <c r="L140" i="4"/>
  <c r="L49" i="4"/>
  <c r="L139" i="13"/>
  <c r="L47" i="13"/>
  <c r="L170" i="13"/>
  <c r="L154" i="13"/>
  <c r="L29" i="13"/>
  <c r="L140" i="13"/>
  <c r="L152" i="13"/>
  <c r="L171" i="13"/>
  <c r="L174" i="13"/>
  <c r="L147" i="13"/>
  <c r="L157" i="13"/>
  <c r="L27" i="13"/>
  <c r="L155" i="13"/>
  <c r="L24" i="13"/>
  <c r="L141" i="13"/>
  <c r="L175" i="13"/>
  <c r="L26" i="13"/>
  <c r="AB19" i="13"/>
  <c r="L49" i="13"/>
  <c r="L28" i="13"/>
  <c r="L66" i="13"/>
  <c r="L25" i="13"/>
  <c r="L176" i="13"/>
  <c r="AB41" i="13"/>
  <c r="L128" i="13"/>
  <c r="L143" i="13"/>
  <c r="L51" i="13"/>
  <c r="L130" i="13"/>
  <c r="L131" i="13"/>
  <c r="L173" i="13"/>
  <c r="L42" i="13"/>
  <c r="AD129" i="4"/>
  <c r="AD154" i="4"/>
  <c r="F68" i="4"/>
  <c r="AD126" i="4"/>
  <c r="AD156" i="4"/>
  <c r="AD153" i="4"/>
  <c r="AD152" i="4"/>
  <c r="AD131" i="4"/>
  <c r="AD130" i="4"/>
  <c r="AD157" i="4"/>
  <c r="T172" i="4" l="1"/>
  <c r="V172" i="4"/>
  <c r="T175" i="4"/>
  <c r="V175" i="4"/>
  <c r="T174" i="4"/>
  <c r="V174" i="4"/>
  <c r="T170" i="4"/>
  <c r="V170" i="4"/>
  <c r="T152" i="4"/>
  <c r="AJ152" i="4" s="1"/>
  <c r="V152" i="4"/>
  <c r="AL152" i="4" s="1"/>
  <c r="T157" i="4"/>
  <c r="AJ157" i="4" s="1"/>
  <c r="V157" i="4"/>
  <c r="AL157" i="4" s="1"/>
  <c r="T154" i="4"/>
  <c r="V154" i="4"/>
  <c r="T153" i="4"/>
  <c r="AJ153" i="4" s="1"/>
  <c r="V153" i="4"/>
  <c r="AL153" i="4" s="1"/>
  <c r="T156" i="4"/>
  <c r="AJ156" i="4" s="1"/>
  <c r="V156" i="4"/>
  <c r="AL156" i="4" s="1"/>
  <c r="T147" i="4"/>
  <c r="AJ147" i="4" s="1"/>
  <c r="V147" i="4"/>
  <c r="AL147" i="4" s="1"/>
  <c r="T139" i="4"/>
  <c r="AJ139" i="4" s="1"/>
  <c r="V139" i="4"/>
  <c r="AL139" i="4" s="1"/>
  <c r="T143" i="4"/>
  <c r="AJ143" i="4" s="1"/>
  <c r="V143" i="4"/>
  <c r="AL143" i="4" s="1"/>
  <c r="T140" i="4"/>
  <c r="AJ140" i="4" s="1"/>
  <c r="V140" i="4"/>
  <c r="AL140" i="4" s="1"/>
  <c r="T141" i="4"/>
  <c r="AJ141" i="4" s="1"/>
  <c r="V141" i="4"/>
  <c r="AL141" i="4" s="1"/>
  <c r="T131" i="4"/>
  <c r="AJ131" i="4" s="1"/>
  <c r="V131" i="4"/>
  <c r="AL131" i="4" s="1"/>
  <c r="T126" i="4"/>
  <c r="AJ126" i="4" s="1"/>
  <c r="V126" i="4"/>
  <c r="T130" i="4"/>
  <c r="AJ130" i="4" s="1"/>
  <c r="V130" i="4"/>
  <c r="AL130" i="4" s="1"/>
  <c r="T129" i="4"/>
  <c r="AJ129" i="4" s="1"/>
  <c r="V129" i="4"/>
  <c r="AL129" i="4" s="1"/>
  <c r="T119" i="4"/>
  <c r="V119" i="4"/>
  <c r="T117" i="4"/>
  <c r="V117" i="4"/>
  <c r="T49" i="4"/>
  <c r="V49" i="4"/>
  <c r="T44" i="4"/>
  <c r="V44" i="4"/>
  <c r="T41" i="4"/>
  <c r="V41" i="4"/>
  <c r="T45" i="4"/>
  <c r="V45" i="4"/>
  <c r="T47" i="4"/>
  <c r="V47" i="4"/>
  <c r="T51" i="4"/>
  <c r="V51" i="4"/>
  <c r="T28" i="4"/>
  <c r="V28" i="4"/>
  <c r="T27" i="4"/>
  <c r="V27" i="4"/>
  <c r="T30" i="4"/>
  <c r="V30" i="4"/>
  <c r="T20" i="4"/>
  <c r="V20" i="4"/>
  <c r="T24" i="4"/>
  <c r="V24" i="4"/>
  <c r="T25" i="4"/>
  <c r="V25" i="4"/>
  <c r="T26" i="4"/>
  <c r="V26" i="4"/>
  <c r="P172" i="4"/>
  <c r="R172" i="4"/>
  <c r="P175" i="4"/>
  <c r="R175" i="4"/>
  <c r="P170" i="4"/>
  <c r="R170" i="4"/>
  <c r="P174" i="4"/>
  <c r="R174" i="4"/>
  <c r="P157" i="4"/>
  <c r="R157" i="4"/>
  <c r="AH157" i="4" s="1"/>
  <c r="P154" i="4"/>
  <c r="R154" i="4"/>
  <c r="P156" i="4"/>
  <c r="AF156" i="4" s="1"/>
  <c r="R156" i="4"/>
  <c r="AH156" i="4" s="1"/>
  <c r="P152" i="4"/>
  <c r="R152" i="4"/>
  <c r="AH152" i="4" s="1"/>
  <c r="P153" i="4"/>
  <c r="AF153" i="4" s="1"/>
  <c r="R153" i="4"/>
  <c r="AH153" i="4" s="1"/>
  <c r="P147" i="4"/>
  <c r="R147" i="4"/>
  <c r="AH147" i="4" s="1"/>
  <c r="P140" i="4"/>
  <c r="R140" i="4"/>
  <c r="AH140" i="4" s="1"/>
  <c r="P139" i="4"/>
  <c r="AF139" i="4" s="1"/>
  <c r="R139" i="4"/>
  <c r="AH139" i="4" s="1"/>
  <c r="P141" i="4"/>
  <c r="AF141" i="4" s="1"/>
  <c r="R141" i="4"/>
  <c r="AH141" i="4" s="1"/>
  <c r="P143" i="4"/>
  <c r="R143" i="4"/>
  <c r="AH143" i="4" s="1"/>
  <c r="P126" i="4"/>
  <c r="R126" i="4"/>
  <c r="AH126" i="4" s="1"/>
  <c r="P130" i="4"/>
  <c r="R130" i="4"/>
  <c r="AH130" i="4" s="1"/>
  <c r="P129" i="4"/>
  <c r="R129" i="4"/>
  <c r="AH129" i="4" s="1"/>
  <c r="P131" i="4"/>
  <c r="R131" i="4"/>
  <c r="AH131" i="4" s="1"/>
  <c r="P119" i="4"/>
  <c r="R119" i="4"/>
  <c r="P117" i="4"/>
  <c r="R117" i="4"/>
  <c r="P41" i="4"/>
  <c r="R41" i="4"/>
  <c r="P49" i="4"/>
  <c r="R49" i="4"/>
  <c r="P44" i="4"/>
  <c r="R44" i="4"/>
  <c r="P45" i="4"/>
  <c r="R45" i="4"/>
  <c r="P47" i="4"/>
  <c r="R47" i="4"/>
  <c r="P51" i="4"/>
  <c r="R51" i="4"/>
  <c r="P20" i="4"/>
  <c r="R20" i="4"/>
  <c r="P25" i="4"/>
  <c r="R25" i="4"/>
  <c r="P24" i="4"/>
  <c r="R24" i="4"/>
  <c r="P28" i="4"/>
  <c r="R28" i="4"/>
  <c r="P26" i="4"/>
  <c r="R26" i="4"/>
  <c r="P30" i="4"/>
  <c r="R30" i="4"/>
  <c r="P27" i="4"/>
  <c r="R27" i="4"/>
  <c r="Z173" i="13"/>
  <c r="X173" i="13"/>
  <c r="V173" i="13"/>
  <c r="T173" i="13"/>
  <c r="P173" i="13"/>
  <c r="R173" i="13"/>
  <c r="V176" i="13"/>
  <c r="T176" i="13"/>
  <c r="R176" i="13"/>
  <c r="P176" i="13"/>
  <c r="Z176" i="13"/>
  <c r="X176" i="13"/>
  <c r="R175" i="13"/>
  <c r="P175" i="13"/>
  <c r="V175" i="13"/>
  <c r="T175" i="13"/>
  <c r="Z175" i="13"/>
  <c r="X175" i="13"/>
  <c r="Z174" i="13"/>
  <c r="X174" i="13"/>
  <c r="T174" i="13"/>
  <c r="P174" i="13"/>
  <c r="V174" i="13"/>
  <c r="R174" i="13"/>
  <c r="R171" i="13"/>
  <c r="P171" i="13"/>
  <c r="T171" i="13"/>
  <c r="Z171" i="13"/>
  <c r="X171" i="13"/>
  <c r="V171" i="13"/>
  <c r="X170" i="13"/>
  <c r="T170" i="13"/>
  <c r="R170" i="13"/>
  <c r="Z170" i="13"/>
  <c r="V170" i="13"/>
  <c r="P170" i="13"/>
  <c r="X157" i="13"/>
  <c r="V157" i="13"/>
  <c r="T157" i="13"/>
  <c r="R157" i="13"/>
  <c r="P157" i="13"/>
  <c r="Z157" i="13"/>
  <c r="Z154" i="13"/>
  <c r="X154" i="13"/>
  <c r="V154" i="13"/>
  <c r="T154" i="13"/>
  <c r="R154" i="13"/>
  <c r="P154" i="13"/>
  <c r="P155" i="13"/>
  <c r="Z155" i="13"/>
  <c r="X155" i="13"/>
  <c r="V155" i="13"/>
  <c r="T155" i="13"/>
  <c r="R155" i="13"/>
  <c r="T152" i="13"/>
  <c r="R152" i="13"/>
  <c r="P152" i="13"/>
  <c r="Z152" i="13"/>
  <c r="X152" i="13"/>
  <c r="V152" i="13"/>
  <c r="Z147" i="13"/>
  <c r="X147" i="13"/>
  <c r="R147" i="13"/>
  <c r="V147" i="13"/>
  <c r="T147" i="13"/>
  <c r="P147" i="13"/>
  <c r="R141" i="13"/>
  <c r="Z141" i="13"/>
  <c r="X141" i="13"/>
  <c r="P141" i="13"/>
  <c r="V141" i="13"/>
  <c r="T141" i="13"/>
  <c r="Z140" i="13"/>
  <c r="X140" i="13"/>
  <c r="V140" i="13"/>
  <c r="T140" i="13"/>
  <c r="R140" i="13"/>
  <c r="P140" i="13"/>
  <c r="V139" i="13"/>
  <c r="T139" i="13"/>
  <c r="R139" i="13"/>
  <c r="P139" i="13"/>
  <c r="Z139" i="13"/>
  <c r="X139" i="13"/>
  <c r="V143" i="13"/>
  <c r="T143" i="13"/>
  <c r="R143" i="13"/>
  <c r="P143" i="13"/>
  <c r="Z143" i="13"/>
  <c r="X143" i="13"/>
  <c r="AD142" i="4"/>
  <c r="AK142" i="4" s="1"/>
  <c r="Z131" i="13"/>
  <c r="X131" i="13"/>
  <c r="V131" i="13"/>
  <c r="T131" i="13"/>
  <c r="P131" i="13"/>
  <c r="R131" i="13"/>
  <c r="V130" i="13"/>
  <c r="T130" i="13"/>
  <c r="R130" i="13"/>
  <c r="P130" i="13"/>
  <c r="Z130" i="13"/>
  <c r="X130" i="13"/>
  <c r="Z128" i="13"/>
  <c r="X128" i="13"/>
  <c r="V128" i="13"/>
  <c r="T128" i="13"/>
  <c r="P128" i="13"/>
  <c r="R128" i="13"/>
  <c r="V51" i="13"/>
  <c r="T51" i="13"/>
  <c r="X51" i="13"/>
  <c r="R51" i="13"/>
  <c r="P51" i="13"/>
  <c r="Z51" i="13"/>
  <c r="R42" i="13"/>
  <c r="R64" i="13" s="1"/>
  <c r="V42" i="13"/>
  <c r="V64" i="13" s="1"/>
  <c r="P42" i="13"/>
  <c r="P64" i="13" s="1"/>
  <c r="T42" i="13"/>
  <c r="T64" i="13" s="1"/>
  <c r="X42" i="13"/>
  <c r="X64" i="13" s="1"/>
  <c r="Z42" i="13"/>
  <c r="Z64" i="13" s="1"/>
  <c r="V47" i="13"/>
  <c r="X47" i="13"/>
  <c r="T47" i="13"/>
  <c r="R47" i="13"/>
  <c r="Z47" i="13"/>
  <c r="P47" i="13"/>
  <c r="Z49" i="13"/>
  <c r="X49" i="13"/>
  <c r="T49" i="13"/>
  <c r="R49" i="13"/>
  <c r="P49" i="13"/>
  <c r="V49" i="13"/>
  <c r="X26" i="13"/>
  <c r="V26" i="13"/>
  <c r="T26" i="13"/>
  <c r="R26" i="13"/>
  <c r="P26" i="13"/>
  <c r="Z26" i="13"/>
  <c r="T29" i="13"/>
  <c r="R29" i="13"/>
  <c r="P29" i="13"/>
  <c r="X29" i="13"/>
  <c r="Z29" i="13"/>
  <c r="V29" i="13"/>
  <c r="T25" i="13"/>
  <c r="R25" i="13"/>
  <c r="P25" i="13"/>
  <c r="Z25" i="13"/>
  <c r="V25" i="13"/>
  <c r="X25" i="13"/>
  <c r="P24" i="13"/>
  <c r="Z24" i="13"/>
  <c r="X24" i="13"/>
  <c r="V24" i="13"/>
  <c r="T24" i="13"/>
  <c r="R24" i="13"/>
  <c r="P28" i="13"/>
  <c r="Z28" i="13"/>
  <c r="V28" i="13"/>
  <c r="R28" i="13"/>
  <c r="X28" i="13"/>
  <c r="T28" i="13"/>
  <c r="Z27" i="13"/>
  <c r="X27" i="13"/>
  <c r="V27" i="13"/>
  <c r="P27" i="13"/>
  <c r="T27" i="13"/>
  <c r="R27" i="13"/>
  <c r="AD119" i="4"/>
  <c r="AD155" i="4"/>
  <c r="AD128" i="4"/>
  <c r="AK128" i="4" s="1"/>
  <c r="L68" i="4"/>
  <c r="L70" i="4"/>
  <c r="L50" i="4"/>
  <c r="AK153" i="4"/>
  <c r="L29" i="4"/>
  <c r="F73" i="4"/>
  <c r="F67" i="4"/>
  <c r="L23" i="4"/>
  <c r="AK130" i="4"/>
  <c r="AK152" i="4"/>
  <c r="L21" i="4"/>
  <c r="L42" i="4"/>
  <c r="AK131" i="4"/>
  <c r="AK154" i="4"/>
  <c r="AK129" i="4"/>
  <c r="L52" i="4"/>
  <c r="L178" i="4"/>
  <c r="X171" i="4"/>
  <c r="Z171" i="4" s="1"/>
  <c r="L127" i="4"/>
  <c r="AK139" i="4"/>
  <c r="F63" i="4"/>
  <c r="L19" i="4"/>
  <c r="L128" i="4"/>
  <c r="L46" i="4"/>
  <c r="F66" i="4"/>
  <c r="L22" i="4"/>
  <c r="F72" i="4"/>
  <c r="L142" i="4"/>
  <c r="AK156" i="4"/>
  <c r="X173" i="4"/>
  <c r="Z173" i="4" s="1"/>
  <c r="L69" i="4"/>
  <c r="F74" i="4"/>
  <c r="L155" i="4"/>
  <c r="L71" i="4"/>
  <c r="L138" i="4"/>
  <c r="L87" i="4"/>
  <c r="AK126" i="4"/>
  <c r="AK143" i="4"/>
  <c r="L102" i="4"/>
  <c r="L48" i="4"/>
  <c r="AK157" i="4"/>
  <c r="L120" i="4"/>
  <c r="AK141" i="4"/>
  <c r="X176" i="4"/>
  <c r="Z176" i="4" s="1"/>
  <c r="F64" i="4"/>
  <c r="AB129" i="13"/>
  <c r="AD129" i="13" s="1"/>
  <c r="L45" i="13"/>
  <c r="L23" i="13"/>
  <c r="L46" i="13"/>
  <c r="L102" i="13"/>
  <c r="L69" i="13"/>
  <c r="AB153" i="13"/>
  <c r="AD153" i="13" s="1"/>
  <c r="L64" i="13"/>
  <c r="L50" i="13"/>
  <c r="L151" i="13"/>
  <c r="L22" i="13"/>
  <c r="L142" i="13"/>
  <c r="L52" i="13"/>
  <c r="L120" i="13"/>
  <c r="L87" i="13"/>
  <c r="L71" i="13"/>
  <c r="L21" i="13"/>
  <c r="L172" i="13"/>
  <c r="L44" i="13"/>
  <c r="AB20" i="13"/>
  <c r="AD20" i="13" s="1"/>
  <c r="AB126" i="13"/>
  <c r="AD126" i="13" s="1"/>
  <c r="AB124" i="13"/>
  <c r="AD124" i="13" s="1"/>
  <c r="L48" i="13"/>
  <c r="F178" i="13"/>
  <c r="L138" i="13"/>
  <c r="AD138" i="13"/>
  <c r="L119" i="13"/>
  <c r="L40" i="13"/>
  <c r="AB156" i="13"/>
  <c r="AD156" i="13" s="1"/>
  <c r="AB117" i="13"/>
  <c r="AD117" i="13" s="1"/>
  <c r="AB63" i="13"/>
  <c r="L73" i="13"/>
  <c r="L30" i="13"/>
  <c r="F31" i="13"/>
  <c r="L18" i="13"/>
  <c r="AD127" i="4"/>
  <c r="AD120" i="4"/>
  <c r="AD138" i="4"/>
  <c r="AH154" i="4" l="1"/>
  <c r="AF154" i="4"/>
  <c r="AL154" i="4"/>
  <c r="AJ154" i="4"/>
  <c r="T155" i="4"/>
  <c r="AJ155" i="4" s="1"/>
  <c r="V155" i="4"/>
  <c r="AL155" i="4" s="1"/>
  <c r="T138" i="4"/>
  <c r="AJ138" i="4" s="1"/>
  <c r="V138" i="4"/>
  <c r="AL138" i="4" s="1"/>
  <c r="T142" i="4"/>
  <c r="AJ142" i="4" s="1"/>
  <c r="V142" i="4"/>
  <c r="AL142" i="4" s="1"/>
  <c r="T128" i="4"/>
  <c r="AJ128" i="4" s="1"/>
  <c r="V128" i="4"/>
  <c r="AL128" i="4" s="1"/>
  <c r="T127" i="4"/>
  <c r="AJ127" i="4" s="1"/>
  <c r="V127" i="4"/>
  <c r="T87" i="4"/>
  <c r="V87" i="4"/>
  <c r="T50" i="4"/>
  <c r="T72" i="4" s="1"/>
  <c r="V50" i="4"/>
  <c r="V72" i="4" s="1"/>
  <c r="T48" i="4"/>
  <c r="T70" i="4" s="1"/>
  <c r="V48" i="4"/>
  <c r="V70" i="4" s="1"/>
  <c r="T46" i="4"/>
  <c r="T68" i="4" s="1"/>
  <c r="V46" i="4"/>
  <c r="V68" i="4" s="1"/>
  <c r="T42" i="4"/>
  <c r="T64" i="4" s="1"/>
  <c r="V42" i="4"/>
  <c r="V64" i="4" s="1"/>
  <c r="T52" i="4"/>
  <c r="T74" i="4" s="1"/>
  <c r="V52" i="4"/>
  <c r="V74" i="4" s="1"/>
  <c r="T22" i="4"/>
  <c r="V22" i="4"/>
  <c r="T21" i="4"/>
  <c r="V21" i="4"/>
  <c r="T23" i="4"/>
  <c r="V23" i="4"/>
  <c r="T29" i="4"/>
  <c r="V29" i="4"/>
  <c r="T19" i="4"/>
  <c r="V19" i="4"/>
  <c r="P155" i="4"/>
  <c r="AF155" i="4" s="1"/>
  <c r="R155" i="4"/>
  <c r="AH155" i="4" s="1"/>
  <c r="P142" i="4"/>
  <c r="R142" i="4"/>
  <c r="AH142" i="4" s="1"/>
  <c r="P138" i="4"/>
  <c r="AF138" i="4" s="1"/>
  <c r="R138" i="4"/>
  <c r="AH138" i="4" s="1"/>
  <c r="P128" i="4"/>
  <c r="R128" i="4"/>
  <c r="AH128" i="4" s="1"/>
  <c r="P127" i="4"/>
  <c r="R127" i="4"/>
  <c r="AH127" i="4" s="1"/>
  <c r="P87" i="4"/>
  <c r="R87" i="4"/>
  <c r="AC89" i="4" s="1"/>
  <c r="AC91" i="4" s="1"/>
  <c r="P52" i="4"/>
  <c r="P74" i="4" s="1"/>
  <c r="R52" i="4"/>
  <c r="R74" i="4" s="1"/>
  <c r="P50" i="4"/>
  <c r="P72" i="4" s="1"/>
  <c r="R50" i="4"/>
  <c r="R72" i="4" s="1"/>
  <c r="P48" i="4"/>
  <c r="P70" i="4" s="1"/>
  <c r="R48" i="4"/>
  <c r="R70" i="4" s="1"/>
  <c r="P42" i="4"/>
  <c r="P64" i="4" s="1"/>
  <c r="R42" i="4"/>
  <c r="R64" i="4" s="1"/>
  <c r="P46" i="4"/>
  <c r="R46" i="4"/>
  <c r="R68" i="4" s="1"/>
  <c r="P22" i="4"/>
  <c r="R22" i="4"/>
  <c r="P21" i="4"/>
  <c r="R21" i="4"/>
  <c r="P23" i="4"/>
  <c r="R23" i="4"/>
  <c r="P29" i="4"/>
  <c r="R29" i="4"/>
  <c r="P19" i="4"/>
  <c r="R19" i="4"/>
  <c r="L178" i="13"/>
  <c r="P151" i="13"/>
  <c r="Z151" i="13"/>
  <c r="X151" i="13"/>
  <c r="V151" i="13"/>
  <c r="T151" i="13"/>
  <c r="R151" i="13"/>
  <c r="V71" i="13"/>
  <c r="R142" i="13"/>
  <c r="P142" i="13"/>
  <c r="T142" i="13"/>
  <c r="Z142" i="13"/>
  <c r="X142" i="13"/>
  <c r="V142" i="13"/>
  <c r="R138" i="13"/>
  <c r="P138" i="13"/>
  <c r="T138" i="13"/>
  <c r="V138" i="13"/>
  <c r="Z138" i="13"/>
  <c r="X138" i="13"/>
  <c r="Z119" i="13"/>
  <c r="X119" i="13"/>
  <c r="V119" i="13"/>
  <c r="T119" i="13"/>
  <c r="P119" i="13"/>
  <c r="R119" i="13"/>
  <c r="R69" i="13"/>
  <c r="P120" i="13"/>
  <c r="Z120" i="13"/>
  <c r="X120" i="13"/>
  <c r="T120" i="13"/>
  <c r="R120" i="13"/>
  <c r="V120" i="13"/>
  <c r="V73" i="13"/>
  <c r="P71" i="13"/>
  <c r="V102" i="13"/>
  <c r="P102" i="13"/>
  <c r="Z102" i="13"/>
  <c r="X102" i="13"/>
  <c r="T102" i="13"/>
  <c r="R102" i="13"/>
  <c r="T71" i="13"/>
  <c r="V87" i="13"/>
  <c r="X87" i="13"/>
  <c r="T87" i="13"/>
  <c r="P87" i="13"/>
  <c r="Z87" i="13"/>
  <c r="R87" i="13"/>
  <c r="X73" i="13"/>
  <c r="V69" i="13"/>
  <c r="P73" i="13"/>
  <c r="R71" i="13"/>
  <c r="X69" i="13"/>
  <c r="Z71" i="13"/>
  <c r="X71" i="13"/>
  <c r="Z69" i="13"/>
  <c r="R73" i="13"/>
  <c r="P69" i="13"/>
  <c r="T73" i="13"/>
  <c r="T69" i="13"/>
  <c r="Z73" i="13"/>
  <c r="R46" i="13"/>
  <c r="R68" i="13" s="1"/>
  <c r="P46" i="13"/>
  <c r="P68" i="13" s="1"/>
  <c r="V46" i="13"/>
  <c r="V68" i="13" s="1"/>
  <c r="X46" i="13"/>
  <c r="X68" i="13" s="1"/>
  <c r="Z46" i="13"/>
  <c r="Z68" i="13" s="1"/>
  <c r="T46" i="13"/>
  <c r="T68" i="13" s="1"/>
  <c r="Z44" i="13"/>
  <c r="P44" i="13"/>
  <c r="X44" i="13"/>
  <c r="V44" i="13"/>
  <c r="T44" i="13"/>
  <c r="R44" i="13"/>
  <c r="Z52" i="13"/>
  <c r="X52" i="13"/>
  <c r="V52" i="13"/>
  <c r="T52" i="13"/>
  <c r="R52" i="13"/>
  <c r="P52" i="13"/>
  <c r="R45" i="13"/>
  <c r="P45" i="13"/>
  <c r="Z45" i="13"/>
  <c r="X45" i="13"/>
  <c r="V45" i="13"/>
  <c r="T45" i="13"/>
  <c r="Z48" i="13"/>
  <c r="Z70" i="13" s="1"/>
  <c r="X48" i="13"/>
  <c r="X70" i="13" s="1"/>
  <c r="P48" i="13"/>
  <c r="P70" i="13" s="1"/>
  <c r="V48" i="13"/>
  <c r="V70" i="13" s="1"/>
  <c r="T48" i="13"/>
  <c r="T70" i="13" s="1"/>
  <c r="R48" i="13"/>
  <c r="R70" i="13" s="1"/>
  <c r="R50" i="13"/>
  <c r="R72" i="13" s="1"/>
  <c r="X50" i="13"/>
  <c r="X72" i="13" s="1"/>
  <c r="V50" i="13"/>
  <c r="V72" i="13" s="1"/>
  <c r="P50" i="13"/>
  <c r="P72" i="13" s="1"/>
  <c r="T50" i="13"/>
  <c r="T72" i="13" s="1"/>
  <c r="Z50" i="13"/>
  <c r="Z72" i="13" s="1"/>
  <c r="Z40" i="13"/>
  <c r="X40" i="13"/>
  <c r="P40" i="13"/>
  <c r="V40" i="13"/>
  <c r="T40" i="13"/>
  <c r="R40" i="13"/>
  <c r="Z23" i="13"/>
  <c r="X23" i="13"/>
  <c r="V23" i="13"/>
  <c r="R23" i="13"/>
  <c r="P23" i="13"/>
  <c r="T23" i="13"/>
  <c r="X22" i="13"/>
  <c r="V22" i="13"/>
  <c r="T22" i="13"/>
  <c r="R22" i="13"/>
  <c r="Z22" i="13"/>
  <c r="P22" i="13"/>
  <c r="T21" i="13"/>
  <c r="R21" i="13"/>
  <c r="P21" i="13"/>
  <c r="Z21" i="13"/>
  <c r="X21" i="13"/>
  <c r="V21" i="13"/>
  <c r="X30" i="13"/>
  <c r="T30" i="13"/>
  <c r="V30" i="13"/>
  <c r="R30" i="13"/>
  <c r="Z30" i="13"/>
  <c r="P30" i="13"/>
  <c r="X18" i="13"/>
  <c r="Z18" i="13"/>
  <c r="T18" i="13"/>
  <c r="V18" i="13"/>
  <c r="P18" i="13"/>
  <c r="R18" i="13"/>
  <c r="X157" i="4"/>
  <c r="Z157" i="4" s="1"/>
  <c r="X143" i="4"/>
  <c r="Z143" i="4" s="1"/>
  <c r="X174" i="4"/>
  <c r="Z174" i="4" s="1"/>
  <c r="X141" i="4"/>
  <c r="Z141" i="4" s="1"/>
  <c r="AF157" i="4"/>
  <c r="AN157" i="4" s="1"/>
  <c r="X156" i="4"/>
  <c r="Z156" i="4" s="1"/>
  <c r="X45" i="4"/>
  <c r="Z45" i="4" s="1"/>
  <c r="AN153" i="4"/>
  <c r="X126" i="4"/>
  <c r="Z126" i="4" s="1"/>
  <c r="AF143" i="4"/>
  <c r="AN143" i="4" s="1"/>
  <c r="T69" i="4"/>
  <c r="L66" i="4"/>
  <c r="X24" i="4"/>
  <c r="Z24" i="4" s="1"/>
  <c r="R178" i="4"/>
  <c r="AN141" i="4"/>
  <c r="X51" i="4"/>
  <c r="Z51" i="4" s="1"/>
  <c r="AL126" i="4"/>
  <c r="L151" i="4"/>
  <c r="V69" i="4"/>
  <c r="X28" i="4"/>
  <c r="Z28" i="4" s="1"/>
  <c r="X44" i="4"/>
  <c r="Z44" i="4" s="1"/>
  <c r="X172" i="4"/>
  <c r="Z172" i="4" s="1"/>
  <c r="X175" i="4"/>
  <c r="Z175" i="4" s="1"/>
  <c r="L67" i="4"/>
  <c r="X139" i="4"/>
  <c r="Z139" i="4" s="1"/>
  <c r="X131" i="4"/>
  <c r="Z131" i="4" s="1"/>
  <c r="X41" i="4"/>
  <c r="Z41" i="4" s="1"/>
  <c r="X130" i="4"/>
  <c r="Z130" i="4" s="1"/>
  <c r="X47" i="4"/>
  <c r="Z47" i="4" s="1"/>
  <c r="X129" i="4"/>
  <c r="Z129" i="4" s="1"/>
  <c r="X49" i="4"/>
  <c r="Z49" i="4" s="1"/>
  <c r="F62" i="4"/>
  <c r="F31" i="4"/>
  <c r="L18" i="4"/>
  <c r="P18" i="4" s="1"/>
  <c r="AK127" i="4"/>
  <c r="X147" i="4"/>
  <c r="Z147" i="4" s="1"/>
  <c r="AF147" i="4"/>
  <c r="AN147" i="4" s="1"/>
  <c r="X140" i="4"/>
  <c r="Z140" i="4" s="1"/>
  <c r="AF140" i="4"/>
  <c r="AN140" i="4" s="1"/>
  <c r="AF130" i="4"/>
  <c r="AN130" i="4" s="1"/>
  <c r="L40" i="4"/>
  <c r="L64" i="4"/>
  <c r="P71" i="4"/>
  <c r="X27" i="4"/>
  <c r="Z27" i="4" s="1"/>
  <c r="X30" i="4"/>
  <c r="Z30" i="4" s="1"/>
  <c r="L63" i="4"/>
  <c r="X152" i="4"/>
  <c r="Z152" i="4" s="1"/>
  <c r="AF126" i="4"/>
  <c r="L74" i="4"/>
  <c r="X119" i="4"/>
  <c r="AN156" i="4"/>
  <c r="V71" i="4"/>
  <c r="L72" i="4"/>
  <c r="AN139" i="4"/>
  <c r="T178" i="4"/>
  <c r="AF131" i="4"/>
  <c r="AN131" i="4" s="1"/>
  <c r="AF152" i="4"/>
  <c r="AN152" i="4" s="1"/>
  <c r="X20" i="4"/>
  <c r="Z20" i="4" s="1"/>
  <c r="AK155" i="4"/>
  <c r="R71" i="4"/>
  <c r="R69" i="4"/>
  <c r="X154" i="4"/>
  <c r="Z154" i="4" s="1"/>
  <c r="P178" i="4"/>
  <c r="X170" i="4"/>
  <c r="L73" i="4"/>
  <c r="AK138" i="4"/>
  <c r="X117" i="4"/>
  <c r="Z117" i="4" s="1"/>
  <c r="T71" i="4"/>
  <c r="P69" i="4"/>
  <c r="X25" i="4"/>
  <c r="Z25" i="4" s="1"/>
  <c r="X26" i="4"/>
  <c r="Z26" i="4" s="1"/>
  <c r="V178" i="4"/>
  <c r="X153" i="4"/>
  <c r="Z153" i="4" s="1"/>
  <c r="AF129" i="4"/>
  <c r="AN129" i="4" s="1"/>
  <c r="AB143" i="13"/>
  <c r="AD143" i="13" s="1"/>
  <c r="AB175" i="13"/>
  <c r="AD175" i="13" s="1"/>
  <c r="AB173" i="13"/>
  <c r="AD173" i="13" s="1"/>
  <c r="AB141" i="13"/>
  <c r="AD141" i="13" s="1"/>
  <c r="AB171" i="13"/>
  <c r="AD171" i="13" s="1"/>
  <c r="AB29" i="13"/>
  <c r="AD29" i="13" s="1"/>
  <c r="AB140" i="13"/>
  <c r="AD140" i="13" s="1"/>
  <c r="AB147" i="13"/>
  <c r="AD147" i="13" s="1"/>
  <c r="L67" i="13"/>
  <c r="AB131" i="13"/>
  <c r="AD131" i="13" s="1"/>
  <c r="L70" i="13"/>
  <c r="AB170" i="13"/>
  <c r="AB49" i="13"/>
  <c r="AD49" i="13" s="1"/>
  <c r="AB174" i="13"/>
  <c r="AD174" i="13" s="1"/>
  <c r="AB28" i="13"/>
  <c r="AD28" i="13" s="1"/>
  <c r="AB42" i="13"/>
  <c r="AD42" i="13" s="1"/>
  <c r="L74" i="13"/>
  <c r="AB27" i="13"/>
  <c r="AD27" i="13" s="1"/>
  <c r="AB24" i="13"/>
  <c r="AD24" i="13" s="1"/>
  <c r="L31" i="13"/>
  <c r="AB51" i="13"/>
  <c r="AD51" i="13" s="1"/>
  <c r="L72" i="13"/>
  <c r="L68" i="13"/>
  <c r="AB47" i="13"/>
  <c r="AD47" i="13" s="1"/>
  <c r="L127" i="13"/>
  <c r="AB155" i="13"/>
  <c r="AD155" i="13" s="1"/>
  <c r="AB139" i="13"/>
  <c r="AD139" i="13" s="1"/>
  <c r="AB154" i="13"/>
  <c r="AD154" i="13" s="1"/>
  <c r="AB128" i="13"/>
  <c r="AD128" i="13" s="1"/>
  <c r="AB176" i="13"/>
  <c r="AD176" i="13" s="1"/>
  <c r="L62" i="13"/>
  <c r="AB157" i="13"/>
  <c r="AD157" i="13" s="1"/>
  <c r="AB25" i="13"/>
  <c r="AD25" i="13" s="1"/>
  <c r="AB130" i="13"/>
  <c r="AD130" i="13" s="1"/>
  <c r="AB152" i="13"/>
  <c r="AD152" i="13" s="1"/>
  <c r="AB26" i="13"/>
  <c r="AD26" i="13" s="1"/>
  <c r="AN154" i="4" l="1"/>
  <c r="P62" i="13"/>
  <c r="T151" i="4"/>
  <c r="V151" i="4"/>
  <c r="T40" i="4"/>
  <c r="V40" i="4"/>
  <c r="T18" i="4"/>
  <c r="V18" i="4"/>
  <c r="P151" i="4"/>
  <c r="R151" i="4"/>
  <c r="P40" i="4"/>
  <c r="R40" i="4"/>
  <c r="R18" i="4"/>
  <c r="Z62" i="13"/>
  <c r="T66" i="13"/>
  <c r="V74" i="13"/>
  <c r="Z127" i="13"/>
  <c r="X127" i="13"/>
  <c r="R127" i="13"/>
  <c r="V127" i="13"/>
  <c r="T127" i="13"/>
  <c r="P127" i="13"/>
  <c r="T67" i="13"/>
  <c r="R66" i="13"/>
  <c r="R74" i="13"/>
  <c r="P74" i="13"/>
  <c r="V66" i="13"/>
  <c r="X66" i="13"/>
  <c r="P67" i="13"/>
  <c r="T74" i="13"/>
  <c r="P66" i="13"/>
  <c r="R67" i="13"/>
  <c r="Z74" i="13"/>
  <c r="X74" i="13"/>
  <c r="Z66" i="13"/>
  <c r="V67" i="13"/>
  <c r="X67" i="13"/>
  <c r="Z67" i="13"/>
  <c r="V62" i="13"/>
  <c r="X62" i="13"/>
  <c r="R62" i="13"/>
  <c r="T62" i="13"/>
  <c r="AJ24" i="4"/>
  <c r="AH24" i="4"/>
  <c r="AL24" i="4"/>
  <c r="AL28" i="4"/>
  <c r="AF26" i="4"/>
  <c r="AH28" i="4"/>
  <c r="AJ28" i="4"/>
  <c r="AF20" i="4"/>
  <c r="X72" i="4"/>
  <c r="Z72" i="4" s="1"/>
  <c r="AH20" i="4"/>
  <c r="AH27" i="4"/>
  <c r="AL20" i="4"/>
  <c r="AL27" i="4"/>
  <c r="AF25" i="4"/>
  <c r="AF30" i="4"/>
  <c r="AN126" i="4"/>
  <c r="X74" i="4"/>
  <c r="Z74" i="4" s="1"/>
  <c r="AJ27" i="4"/>
  <c r="AH25" i="4"/>
  <c r="AF27" i="4"/>
  <c r="X87" i="4"/>
  <c r="Z87" i="4" s="1"/>
  <c r="V66" i="4"/>
  <c r="X64" i="4"/>
  <c r="Z64" i="4" s="1"/>
  <c r="AJ30" i="4"/>
  <c r="X29" i="4"/>
  <c r="Z29" i="4" s="1"/>
  <c r="P73" i="4"/>
  <c r="X127" i="4"/>
  <c r="Z127" i="4" s="1"/>
  <c r="T66" i="4"/>
  <c r="AN155" i="4"/>
  <c r="L31" i="4"/>
  <c r="AH26" i="4"/>
  <c r="R73" i="4"/>
  <c r="P66" i="4"/>
  <c r="X22" i="4"/>
  <c r="Z22" i="4" s="1"/>
  <c r="R63" i="4"/>
  <c r="V67" i="4"/>
  <c r="L145" i="4"/>
  <c r="AN138" i="4"/>
  <c r="X21" i="4"/>
  <c r="Z21" i="4" s="1"/>
  <c r="P63" i="4"/>
  <c r="X19" i="4"/>
  <c r="Z19" i="4" s="1"/>
  <c r="AF127" i="4"/>
  <c r="L62" i="4"/>
  <c r="AL25" i="4"/>
  <c r="T67" i="4"/>
  <c r="AJ25" i="4"/>
  <c r="X178" i="4"/>
  <c r="Z178" i="4" s="1"/>
  <c r="Z170" i="4"/>
  <c r="X46" i="4"/>
  <c r="Z46" i="4" s="1"/>
  <c r="X138" i="4"/>
  <c r="Z138" i="4" s="1"/>
  <c r="X71" i="4"/>
  <c r="Z71" i="4" s="1"/>
  <c r="T63" i="4"/>
  <c r="AH30" i="4"/>
  <c r="AJ26" i="4"/>
  <c r="X23" i="4"/>
  <c r="Z23" i="4" s="1"/>
  <c r="P67" i="4"/>
  <c r="AF24" i="4"/>
  <c r="X69" i="4"/>
  <c r="Z69" i="4" s="1"/>
  <c r="AJ20" i="4"/>
  <c r="V63" i="4"/>
  <c r="R67" i="4"/>
  <c r="X70" i="4"/>
  <c r="Z70" i="4" s="1"/>
  <c r="X128" i="4"/>
  <c r="Z128" i="4" s="1"/>
  <c r="AF128" i="4"/>
  <c r="AN128" i="4" s="1"/>
  <c r="AF28" i="4"/>
  <c r="AL30" i="4"/>
  <c r="X48" i="4"/>
  <c r="Z48" i="4" s="1"/>
  <c r="T73" i="4"/>
  <c r="P68" i="4"/>
  <c r="X68" i="4" s="1"/>
  <c r="Z68" i="4" s="1"/>
  <c r="X42" i="4"/>
  <c r="Z42" i="4" s="1"/>
  <c r="R66" i="4"/>
  <c r="X155" i="4"/>
  <c r="Z155" i="4" s="1"/>
  <c r="X50" i="4"/>
  <c r="Z50" i="4" s="1"/>
  <c r="AL127" i="4"/>
  <c r="V73" i="4"/>
  <c r="X52" i="4"/>
  <c r="Z52" i="4" s="1"/>
  <c r="AL26" i="4"/>
  <c r="X142" i="4"/>
  <c r="Z142" i="4" s="1"/>
  <c r="AF142" i="4"/>
  <c r="AN142" i="4" s="1"/>
  <c r="T31" i="13"/>
  <c r="AB46" i="13"/>
  <c r="AD46" i="13" s="1"/>
  <c r="AD170" i="13"/>
  <c r="L145" i="13"/>
  <c r="AB119" i="13"/>
  <c r="R31" i="13"/>
  <c r="AB45" i="13"/>
  <c r="AD45" i="13" s="1"/>
  <c r="AB102" i="13"/>
  <c r="AB44" i="13"/>
  <c r="AD44" i="13" s="1"/>
  <c r="V31" i="13"/>
  <c r="AB30" i="13"/>
  <c r="AD30" i="13" s="1"/>
  <c r="AB21" i="13"/>
  <c r="AD21" i="13" s="1"/>
  <c r="X31" i="13"/>
  <c r="AB71" i="13"/>
  <c r="AD71" i="13" s="1"/>
  <c r="AB69" i="13"/>
  <c r="AD69" i="13" s="1"/>
  <c r="AB120" i="13"/>
  <c r="AD120" i="13" s="1"/>
  <c r="AB87" i="13"/>
  <c r="AD87" i="13" s="1"/>
  <c r="AB142" i="13"/>
  <c r="AD142" i="13" s="1"/>
  <c r="AB64" i="13"/>
  <c r="AD64" i="13" s="1"/>
  <c r="AB50" i="13"/>
  <c r="AD50" i="13" s="1"/>
  <c r="AB48" i="13"/>
  <c r="AD48" i="13" s="1"/>
  <c r="AB52" i="13"/>
  <c r="AD52" i="13" s="1"/>
  <c r="Z31" i="13"/>
  <c r="AB151" i="13"/>
  <c r="AD151" i="13" s="1"/>
  <c r="AB40" i="13"/>
  <c r="P31" i="13"/>
  <c r="AB18" i="13"/>
  <c r="AB23" i="13"/>
  <c r="AD23" i="13" s="1"/>
  <c r="AB22" i="13"/>
  <c r="AD22" i="13" s="1"/>
  <c r="AB73" i="13"/>
  <c r="AD73" i="13" s="1"/>
  <c r="Z145" i="13" l="1"/>
  <c r="V145" i="13"/>
  <c r="T145" i="13"/>
  <c r="R145" i="13"/>
  <c r="P145" i="13"/>
  <c r="X145" i="13"/>
  <c r="AB66" i="13"/>
  <c r="AD66" i="13" s="1"/>
  <c r="AH21" i="4"/>
  <c r="AN24" i="4"/>
  <c r="AN28" i="4"/>
  <c r="AH19" i="4"/>
  <c r="AN25" i="4"/>
  <c r="AN20" i="4"/>
  <c r="AF29" i="4"/>
  <c r="AH29" i="4"/>
  <c r="AL29" i="4"/>
  <c r="AH23" i="4"/>
  <c r="AN27" i="4"/>
  <c r="X67" i="4"/>
  <c r="Z67" i="4" s="1"/>
  <c r="AF23" i="4"/>
  <c r="AF19" i="4"/>
  <c r="AJ23" i="4"/>
  <c r="AJ29" i="4"/>
  <c r="AN26" i="4"/>
  <c r="AN30" i="4"/>
  <c r="AF21" i="4"/>
  <c r="AL19" i="4"/>
  <c r="AJ19" i="4"/>
  <c r="AH22" i="4"/>
  <c r="X63" i="4"/>
  <c r="Z63" i="4" s="1"/>
  <c r="AJ22" i="4"/>
  <c r="R31" i="4"/>
  <c r="R62" i="4"/>
  <c r="T31" i="4"/>
  <c r="T62" i="4"/>
  <c r="X18" i="4"/>
  <c r="P62" i="4"/>
  <c r="P31" i="4"/>
  <c r="V31" i="4"/>
  <c r="V62" i="4"/>
  <c r="AL21" i="4"/>
  <c r="AN127" i="4"/>
  <c r="X40" i="4"/>
  <c r="AJ21" i="4"/>
  <c r="AF22" i="4"/>
  <c r="X151" i="4"/>
  <c r="Z151" i="4" s="1"/>
  <c r="X73" i="4"/>
  <c r="Z73" i="4" s="1"/>
  <c r="X66" i="4"/>
  <c r="Z66" i="4" s="1"/>
  <c r="AL22" i="4"/>
  <c r="AL23" i="4"/>
  <c r="AB70" i="13"/>
  <c r="AD70" i="13" s="1"/>
  <c r="AB74" i="13"/>
  <c r="AD74" i="13" s="1"/>
  <c r="AB67" i="13"/>
  <c r="AD67" i="13" s="1"/>
  <c r="AB127" i="13"/>
  <c r="AD127" i="13" s="1"/>
  <c r="AB72" i="13"/>
  <c r="AD72" i="13" s="1"/>
  <c r="AD102" i="13"/>
  <c r="AB62" i="13"/>
  <c r="AB31" i="13"/>
  <c r="AD18" i="13"/>
  <c r="AD119" i="13"/>
  <c r="AD40" i="13"/>
  <c r="AB68" i="13"/>
  <c r="AD68" i="13" s="1"/>
  <c r="AN29" i="4" l="1"/>
  <c r="AN19" i="4"/>
  <c r="AN21" i="4"/>
  <c r="AN23" i="4"/>
  <c r="X31" i="4"/>
  <c r="Z18" i="4"/>
  <c r="AN22" i="4"/>
  <c r="AL18" i="4"/>
  <c r="AL31" i="4" s="1"/>
  <c r="L53" i="10" s="1"/>
  <c r="AJ18" i="4"/>
  <c r="AJ31" i="4" s="1"/>
  <c r="J53" i="10" s="1"/>
  <c r="Z40" i="4"/>
  <c r="X62" i="4"/>
  <c r="AH18" i="4"/>
  <c r="AH31" i="4" s="1"/>
  <c r="H53" i="10" s="1"/>
  <c r="AF18" i="4"/>
  <c r="AB145" i="13"/>
  <c r="AD145" i="13" s="1"/>
  <c r="AD62" i="13"/>
  <c r="AD31" i="13"/>
  <c r="Z31" i="4" l="1"/>
  <c r="AF31" i="4"/>
  <c r="F53" i="10" s="1"/>
  <c r="AN18" i="4"/>
  <c r="AN31" i="4" s="1"/>
  <c r="Z62" i="4"/>
  <c r="D53" i="10" l="1"/>
  <c r="F54" i="10" s="1"/>
  <c r="H54" i="10" l="1"/>
  <c r="J54" i="10"/>
  <c r="L54" i="10"/>
  <c r="H39" i="60"/>
  <c r="H59" i="60" s="1"/>
  <c r="D54" i="10" l="1"/>
  <c r="D24" i="51" l="1"/>
  <c r="H25" i="51" l="1"/>
  <c r="J25" i="51"/>
  <c r="F25" i="51"/>
  <c r="D25" i="51" l="1"/>
  <c r="R21" i="67"/>
  <c r="R28" i="67"/>
  <c r="R39" i="67"/>
  <c r="R42" i="67" s="1"/>
  <c r="AH31" i="79"/>
  <c r="AH31" i="76"/>
  <c r="R28" i="66" l="1"/>
  <c r="L160" i="1" l="1"/>
  <c r="AD160" i="1" l="1"/>
  <c r="L159" i="1"/>
  <c r="H162" i="1"/>
  <c r="H164" i="1" s="1"/>
  <c r="H180" i="1" s="1"/>
  <c r="L148" i="1" l="1"/>
  <c r="AD148" i="1"/>
  <c r="L149" i="1"/>
  <c r="AD149" i="1"/>
  <c r="T149" i="1" l="1"/>
  <c r="F149" i="5" s="1"/>
  <c r="L149" i="5" s="1"/>
  <c r="AB149" i="5" s="1"/>
  <c r="V149" i="1"/>
  <c r="F149" i="7" s="1"/>
  <c r="L149" i="7" s="1"/>
  <c r="P149" i="1"/>
  <c r="R149" i="1"/>
  <c r="F149" i="4" s="1"/>
  <c r="L149" i="4" s="1"/>
  <c r="T148" i="1"/>
  <c r="F148" i="5" s="1"/>
  <c r="L148" i="5" s="1"/>
  <c r="AB148" i="5" s="1"/>
  <c r="R148" i="1"/>
  <c r="F148" i="4" s="1"/>
  <c r="L148" i="4" s="1"/>
  <c r="P148" i="1"/>
  <c r="V148" i="1"/>
  <c r="F148" i="7" s="1"/>
  <c r="AL148" i="1" l="1"/>
  <c r="AO148" i="7" s="1"/>
  <c r="AP148" i="7" s="1"/>
  <c r="AH149" i="1"/>
  <c r="AC149" i="4" s="1"/>
  <c r="AD149" i="4" s="1"/>
  <c r="AK149" i="4" s="1"/>
  <c r="AJ148" i="1"/>
  <c r="AK148" i="5" s="1"/>
  <c r="AL148" i="5" s="1"/>
  <c r="AZ148" i="5" s="1"/>
  <c r="AH148" i="1"/>
  <c r="AC148" i="4" s="1"/>
  <c r="AD148" i="4" s="1"/>
  <c r="AK148" i="4" s="1"/>
  <c r="F149" i="13"/>
  <c r="L149" i="13" s="1"/>
  <c r="X149" i="1"/>
  <c r="Z149" i="1" s="1"/>
  <c r="V149" i="7"/>
  <c r="X149" i="7"/>
  <c r="AF149" i="7"/>
  <c r="F149" i="50" s="1"/>
  <c r="Z149" i="7"/>
  <c r="T149" i="7"/>
  <c r="P149" i="7"/>
  <c r="AH149" i="7"/>
  <c r="AB149" i="7"/>
  <c r="R149" i="7"/>
  <c r="AD149" i="7"/>
  <c r="AD149" i="5"/>
  <c r="X149" i="5"/>
  <c r="T149" i="5"/>
  <c r="Z149" i="5"/>
  <c r="P149" i="5"/>
  <c r="V149" i="5"/>
  <c r="R149" i="5"/>
  <c r="L148" i="7"/>
  <c r="AJ149" i="1"/>
  <c r="AK149" i="5" s="1"/>
  <c r="AL149" i="5" s="1"/>
  <c r="AZ149" i="5" s="1"/>
  <c r="F148" i="13"/>
  <c r="L148" i="13" s="1"/>
  <c r="X148" i="1"/>
  <c r="Z148" i="1" s="1"/>
  <c r="AF149" i="1"/>
  <c r="P148" i="4"/>
  <c r="R148" i="4"/>
  <c r="T148" i="4"/>
  <c r="V148" i="4"/>
  <c r="AL149" i="1"/>
  <c r="AO149" i="7" s="1"/>
  <c r="AP149" i="7" s="1"/>
  <c r="X148" i="5"/>
  <c r="T148" i="5"/>
  <c r="V148" i="5"/>
  <c r="R148" i="5"/>
  <c r="P148" i="5"/>
  <c r="AD148" i="5"/>
  <c r="Z148" i="5"/>
  <c r="AF148" i="1"/>
  <c r="T149" i="4"/>
  <c r="P149" i="4"/>
  <c r="V149" i="4"/>
  <c r="R149" i="4"/>
  <c r="AF149" i="5" l="1"/>
  <c r="AH149" i="5" s="1"/>
  <c r="AF148" i="5"/>
  <c r="AH148" i="5" s="1"/>
  <c r="AJ149" i="4"/>
  <c r="AL149" i="4"/>
  <c r="AH149" i="4"/>
  <c r="AN148" i="1"/>
  <c r="AJ148" i="4"/>
  <c r="BB148" i="5"/>
  <c r="AH148" i="4"/>
  <c r="AX148" i="5"/>
  <c r="AP148" i="5"/>
  <c r="AT148" i="5"/>
  <c r="AV148" i="5"/>
  <c r="AR148" i="5"/>
  <c r="AL148" i="4"/>
  <c r="AJ149" i="7"/>
  <c r="AL149" i="7" s="1"/>
  <c r="X148" i="4"/>
  <c r="Z148" i="4" s="1"/>
  <c r="AR149" i="7"/>
  <c r="BD149" i="7"/>
  <c r="BF149" i="7"/>
  <c r="BB149" i="7"/>
  <c r="BH149" i="7"/>
  <c r="Z149" i="50" s="1"/>
  <c r="AX149" i="7"/>
  <c r="AZ149" i="7"/>
  <c r="BJ149" i="7"/>
  <c r="AV149" i="7"/>
  <c r="AT149" i="7"/>
  <c r="AN149" i="1"/>
  <c r="R148" i="13"/>
  <c r="P148" i="13"/>
  <c r="T148" i="13"/>
  <c r="Z148" i="13"/>
  <c r="X148" i="13"/>
  <c r="V148" i="13"/>
  <c r="AF148" i="4"/>
  <c r="AF149" i="4"/>
  <c r="X149" i="4"/>
  <c r="Z149" i="4" s="1"/>
  <c r="R148" i="7"/>
  <c r="AT148" i="7" s="1"/>
  <c r="Z148" i="7"/>
  <c r="BB148" i="7" s="1"/>
  <c r="P148" i="7"/>
  <c r="AB148" i="7"/>
  <c r="BD148" i="7" s="1"/>
  <c r="X148" i="7"/>
  <c r="AH148" i="7"/>
  <c r="BJ148" i="7" s="1"/>
  <c r="V148" i="7"/>
  <c r="AD148" i="7"/>
  <c r="BF148" i="7" s="1"/>
  <c r="T148" i="7"/>
  <c r="AV148" i="7" s="1"/>
  <c r="AF148" i="7"/>
  <c r="V149" i="13"/>
  <c r="T149" i="13"/>
  <c r="R149" i="13"/>
  <c r="P149" i="13"/>
  <c r="Z149" i="13"/>
  <c r="X149" i="13"/>
  <c r="AN148" i="5"/>
  <c r="AN149" i="5"/>
  <c r="AR149" i="5"/>
  <c r="AT149" i="5"/>
  <c r="BB149" i="5"/>
  <c r="AV149" i="5"/>
  <c r="AP149" i="5"/>
  <c r="AX149" i="5"/>
  <c r="BH148" i="7" l="1"/>
  <c r="Z148" i="50" s="1"/>
  <c r="F148" i="50"/>
  <c r="D20" i="76"/>
  <c r="AZ148" i="7"/>
  <c r="AN149" i="4"/>
  <c r="BD148" i="5"/>
  <c r="AN148" i="4"/>
  <c r="AR148" i="7"/>
  <c r="AJ148" i="7"/>
  <c r="AL148" i="7" s="1"/>
  <c r="AB148" i="13"/>
  <c r="AD148" i="13" s="1"/>
  <c r="AB149" i="13"/>
  <c r="AD149" i="13" s="1"/>
  <c r="BL149" i="7"/>
  <c r="BD149" i="5"/>
  <c r="D46" i="52"/>
  <c r="AX148" i="7"/>
  <c r="BL148" i="7" l="1"/>
  <c r="J20" i="76"/>
  <c r="F46" i="52"/>
  <c r="L46" i="52" l="1"/>
  <c r="AA20" i="76"/>
  <c r="AF20" i="76"/>
  <c r="U20" i="76"/>
  <c r="N20" i="76"/>
  <c r="S20" i="76"/>
  <c r="X20" i="76"/>
  <c r="AC20" i="76"/>
  <c r="Z20" i="76"/>
  <c r="T20" i="76"/>
  <c r="O20" i="76"/>
  <c r="Y20" i="76"/>
  <c r="AE20" i="76"/>
  <c r="AD20" i="76"/>
  <c r="P20" i="76"/>
  <c r="AB20" i="76"/>
  <c r="AG20" i="76"/>
  <c r="W20" i="76"/>
  <c r="V20" i="76"/>
  <c r="D16" i="14" l="1"/>
  <c r="AD116" i="1" l="1"/>
  <c r="F162" i="1"/>
  <c r="F164" i="1" s="1"/>
  <c r="F180" i="1" s="1"/>
  <c r="L116" i="1"/>
  <c r="D17" i="14" l="1"/>
  <c r="V116" i="1"/>
  <c r="T116" i="1"/>
  <c r="R116" i="1"/>
  <c r="F116" i="4" s="1"/>
  <c r="P116" i="1"/>
  <c r="AF116" i="1" s="1"/>
  <c r="L162" i="1"/>
  <c r="L164" i="1" s="1"/>
  <c r="L180" i="1" s="1"/>
  <c r="AH116" i="1" l="1"/>
  <c r="AC116" i="4" s="1"/>
  <c r="AD116" i="4" s="1"/>
  <c r="AJ116" i="1"/>
  <c r="AK116" i="5" s="1"/>
  <c r="F116" i="5"/>
  <c r="L116" i="5" s="1"/>
  <c r="AB116" i="5" s="1"/>
  <c r="AL116" i="1"/>
  <c r="AO116" i="7" s="1"/>
  <c r="F116" i="7"/>
  <c r="L116" i="7" s="1"/>
  <c r="X116" i="1"/>
  <c r="Z116" i="1" s="1"/>
  <c r="F116" i="13"/>
  <c r="L116" i="4"/>
  <c r="AP116" i="7" l="1"/>
  <c r="X116" i="5"/>
  <c r="Z116" i="5"/>
  <c r="T116" i="5"/>
  <c r="V116" i="5"/>
  <c r="R116" i="5"/>
  <c r="P116" i="5"/>
  <c r="AD116" i="5"/>
  <c r="L116" i="13"/>
  <c r="P116" i="13" s="1"/>
  <c r="AL116" i="5"/>
  <c r="Z116" i="7"/>
  <c r="V116" i="7"/>
  <c r="P116" i="7"/>
  <c r="X116" i="7"/>
  <c r="T116" i="7"/>
  <c r="AB116" i="7"/>
  <c r="AH116" i="7"/>
  <c r="AD116" i="7"/>
  <c r="R116" i="7"/>
  <c r="AF116" i="7"/>
  <c r="F116" i="50" s="1"/>
  <c r="L116" i="50" s="1"/>
  <c r="P116" i="4"/>
  <c r="R116" i="4"/>
  <c r="T116" i="4"/>
  <c r="V116" i="4"/>
  <c r="AN116" i="1"/>
  <c r="AF116" i="5" l="1"/>
  <c r="AH116" i="5" s="1"/>
  <c r="AX116" i="5"/>
  <c r="AZ116" i="5"/>
  <c r="BF116" i="7"/>
  <c r="BD116" i="7"/>
  <c r="AV116" i="7"/>
  <c r="BB116" i="7"/>
  <c r="AZ116" i="7"/>
  <c r="X116" i="4"/>
  <c r="Z116" i="4" s="1"/>
  <c r="AX116" i="7"/>
  <c r="AJ116" i="7"/>
  <c r="AL116" i="7" s="1"/>
  <c r="BH116" i="7"/>
  <c r="Z116" i="50" s="1"/>
  <c r="AA116" i="50" s="1"/>
  <c r="AP116" i="5"/>
  <c r="AN116" i="5"/>
  <c r="AV116" i="5"/>
  <c r="AR116" i="5"/>
  <c r="BB116" i="5"/>
  <c r="AT116" i="5"/>
  <c r="Z116" i="13"/>
  <c r="T116" i="13"/>
  <c r="V116" i="13"/>
  <c r="X116" i="13"/>
  <c r="R116" i="13"/>
  <c r="AR116" i="7"/>
  <c r="AT116" i="7"/>
  <c r="T116" i="50"/>
  <c r="P116" i="50"/>
  <c r="R116" i="50"/>
  <c r="BJ116" i="7"/>
  <c r="AG116" i="50" l="1"/>
  <c r="AC116" i="50"/>
  <c r="AE116" i="50"/>
  <c r="BL116" i="7"/>
  <c r="AB116" i="13"/>
  <c r="AD116" i="13" s="1"/>
  <c r="BD116" i="5"/>
  <c r="D115" i="2" l="1"/>
  <c r="F116" i="2" l="1"/>
  <c r="J116" i="2"/>
  <c r="L116" i="2"/>
  <c r="H116" i="2"/>
  <c r="P118" i="1"/>
  <c r="R118" i="1" l="1"/>
  <c r="F118" i="4" s="1"/>
  <c r="L118" i="4" s="1"/>
  <c r="V118" i="4" s="1"/>
  <c r="R121" i="1"/>
  <c r="R136" i="1"/>
  <c r="R133" i="1"/>
  <c r="R135" i="1"/>
  <c r="R134" i="1"/>
  <c r="V118" i="1"/>
  <c r="F118" i="7" s="1"/>
  <c r="L118" i="7" s="1"/>
  <c r="AF118" i="7" s="1"/>
  <c r="F118" i="50" s="1"/>
  <c r="L118" i="50" s="1"/>
  <c r="V121" i="1"/>
  <c r="AL121" i="1" s="1"/>
  <c r="AO121" i="7" s="1"/>
  <c r="AP121" i="7" s="1"/>
  <c r="V135" i="1"/>
  <c r="V136" i="1"/>
  <c r="V134" i="1"/>
  <c r="V133" i="1"/>
  <c r="T118" i="1"/>
  <c r="F118" i="5" s="1"/>
  <c r="L118" i="5" s="1"/>
  <c r="AB118" i="5" s="1"/>
  <c r="T136" i="1"/>
  <c r="T134" i="1"/>
  <c r="T121" i="1"/>
  <c r="T135" i="1"/>
  <c r="T133" i="1"/>
  <c r="P136" i="1"/>
  <c r="P135" i="1"/>
  <c r="P121" i="1"/>
  <c r="P134" i="1"/>
  <c r="P133" i="1"/>
  <c r="D116" i="2"/>
  <c r="F118" i="13"/>
  <c r="L118" i="13" s="1"/>
  <c r="AF118" i="1"/>
  <c r="T118" i="4" l="1"/>
  <c r="R118" i="4"/>
  <c r="AH118" i="1"/>
  <c r="AC118" i="4" s="1"/>
  <c r="AD118" i="4" s="1"/>
  <c r="P118" i="4"/>
  <c r="AJ118" i="1"/>
  <c r="AK118" i="5" s="1"/>
  <c r="AL118" i="5" s="1"/>
  <c r="AZ118" i="5" s="1"/>
  <c r="AD118" i="5"/>
  <c r="P118" i="5"/>
  <c r="R118" i="5"/>
  <c r="X118" i="5"/>
  <c r="V118" i="5"/>
  <c r="T118" i="5"/>
  <c r="Z118" i="5"/>
  <c r="P118" i="50"/>
  <c r="V118" i="7"/>
  <c r="AJ134" i="1"/>
  <c r="AK134" i="5" s="1"/>
  <c r="F134" i="5"/>
  <c r="L134" i="5" s="1"/>
  <c r="AH118" i="7"/>
  <c r="F134" i="13"/>
  <c r="L134" i="13" s="1"/>
  <c r="AF134" i="1"/>
  <c r="X134" i="1"/>
  <c r="Z134" i="1" s="1"/>
  <c r="AJ136" i="1"/>
  <c r="AK136" i="5" s="1"/>
  <c r="F136" i="5"/>
  <c r="L136" i="5" s="1"/>
  <c r="F134" i="4"/>
  <c r="L134" i="4" s="1"/>
  <c r="AH134" i="1"/>
  <c r="AC134" i="4" s="1"/>
  <c r="AJ121" i="1"/>
  <c r="AK121" i="5" s="1"/>
  <c r="F121" i="5"/>
  <c r="L121" i="5" s="1"/>
  <c r="AL118" i="1"/>
  <c r="AO118" i="7" s="1"/>
  <c r="AP118" i="7" s="1"/>
  <c r="X118" i="1"/>
  <c r="Z118" i="1" s="1"/>
  <c r="R118" i="7"/>
  <c r="AB118" i="7"/>
  <c r="F121" i="13"/>
  <c r="L121" i="13" s="1"/>
  <c r="AF121" i="1"/>
  <c r="X121" i="1"/>
  <c r="Z121" i="1" s="1"/>
  <c r="F135" i="4"/>
  <c r="L135" i="4" s="1"/>
  <c r="AH135" i="1"/>
  <c r="AC135" i="4" s="1"/>
  <c r="T118" i="7"/>
  <c r="F135" i="13"/>
  <c r="L135" i="13" s="1"/>
  <c r="AF135" i="1"/>
  <c r="X135" i="1"/>
  <c r="Z135" i="1" s="1"/>
  <c r="AL133" i="1"/>
  <c r="AO133" i="7" s="1"/>
  <c r="F133" i="7"/>
  <c r="AL133" i="7" s="1"/>
  <c r="F133" i="4"/>
  <c r="L133" i="4" s="1"/>
  <c r="AH133" i="1"/>
  <c r="AC133" i="4" s="1"/>
  <c r="R118" i="50"/>
  <c r="X133" i="1"/>
  <c r="Z133" i="1" s="1"/>
  <c r="F133" i="13"/>
  <c r="AF133" i="1"/>
  <c r="X118" i="7"/>
  <c r="F136" i="13"/>
  <c r="L136" i="13" s="1"/>
  <c r="AF136" i="1"/>
  <c r="X136" i="1"/>
  <c r="Z136" i="1" s="1"/>
  <c r="AL134" i="1"/>
  <c r="AO134" i="7" s="1"/>
  <c r="F134" i="7"/>
  <c r="L134" i="7" s="1"/>
  <c r="F136" i="4"/>
  <c r="L136" i="4" s="1"/>
  <c r="AH136" i="1"/>
  <c r="AC136" i="4" s="1"/>
  <c r="BD121" i="7"/>
  <c r="BH121" i="7"/>
  <c r="Z121" i="50" s="1"/>
  <c r="AA121" i="50" s="1"/>
  <c r="AR121" i="7"/>
  <c r="AT121" i="7"/>
  <c r="AZ121" i="7"/>
  <c r="BB121" i="7"/>
  <c r="AX121" i="7"/>
  <c r="BF121" i="7"/>
  <c r="AV121" i="7"/>
  <c r="BJ121" i="7"/>
  <c r="Z118" i="7"/>
  <c r="T118" i="50"/>
  <c r="AD118" i="7"/>
  <c r="AJ133" i="1"/>
  <c r="AK133" i="5" s="1"/>
  <c r="F133" i="5"/>
  <c r="L133" i="5" s="1"/>
  <c r="AL136" i="1"/>
  <c r="AO136" i="7" s="1"/>
  <c r="F136" i="7"/>
  <c r="L136" i="7" s="1"/>
  <c r="F121" i="4"/>
  <c r="AH121" i="1"/>
  <c r="AC121" i="4" s="1"/>
  <c r="P118" i="7"/>
  <c r="AJ135" i="1"/>
  <c r="AK135" i="5" s="1"/>
  <c r="F135" i="5"/>
  <c r="AL135" i="1"/>
  <c r="AO135" i="7" s="1"/>
  <c r="F135" i="7"/>
  <c r="L135" i="7" s="1"/>
  <c r="Z118" i="13"/>
  <c r="P118" i="13"/>
  <c r="X118" i="13"/>
  <c r="V118" i="13"/>
  <c r="T118" i="13"/>
  <c r="R118" i="13"/>
  <c r="AN118" i="5" l="1"/>
  <c r="AV118" i="5"/>
  <c r="BB118" i="5"/>
  <c r="AP118" i="5"/>
  <c r="AT118" i="5"/>
  <c r="X118" i="4"/>
  <c r="Z118" i="4" s="1"/>
  <c r="AR118" i="5"/>
  <c r="AD133" i="4"/>
  <c r="AK133" i="4" s="1"/>
  <c r="AD135" i="4"/>
  <c r="AK135" i="4" s="1"/>
  <c r="BJ118" i="7"/>
  <c r="AF118" i="5"/>
  <c r="AH118" i="5" s="1"/>
  <c r="AX118" i="7"/>
  <c r="AX118" i="5"/>
  <c r="AD134" i="4"/>
  <c r="AK134" i="4" s="1"/>
  <c r="AD136" i="4"/>
  <c r="AK136" i="4" s="1"/>
  <c r="AL121" i="5"/>
  <c r="BH118" i="7"/>
  <c r="Z118" i="50" s="1"/>
  <c r="AA118" i="50" s="1"/>
  <c r="AG118" i="50" s="1"/>
  <c r="AD121" i="4"/>
  <c r="BB118" i="7"/>
  <c r="AZ118" i="7"/>
  <c r="AP133" i="7"/>
  <c r="AX133" i="7" s="1"/>
  <c r="BF118" i="7"/>
  <c r="AP136" i="7"/>
  <c r="AN118" i="1"/>
  <c r="AR118" i="7"/>
  <c r="AP135" i="7"/>
  <c r="BD118" i="7"/>
  <c r="AJ118" i="7"/>
  <c r="AL118" i="7" s="1"/>
  <c r="AL136" i="5"/>
  <c r="AP134" i="7"/>
  <c r="P135" i="13"/>
  <c r="V135" i="13"/>
  <c r="T135" i="13"/>
  <c r="R135" i="13"/>
  <c r="Z135" i="13"/>
  <c r="X135" i="13"/>
  <c r="AB136" i="5"/>
  <c r="X136" i="5"/>
  <c r="P136" i="5"/>
  <c r="V136" i="5"/>
  <c r="Z136" i="5"/>
  <c r="T136" i="5"/>
  <c r="R136" i="5"/>
  <c r="AD136" i="5"/>
  <c r="BL121" i="7"/>
  <c r="AN136" i="1"/>
  <c r="AG121" i="50"/>
  <c r="AC121" i="50"/>
  <c r="AE121" i="50"/>
  <c r="Z136" i="13"/>
  <c r="X136" i="13"/>
  <c r="T136" i="13"/>
  <c r="R136" i="13"/>
  <c r="P136" i="13"/>
  <c r="V136" i="13"/>
  <c r="P133" i="4"/>
  <c r="R133" i="4"/>
  <c r="T133" i="4"/>
  <c r="V133" i="4"/>
  <c r="T135" i="4"/>
  <c r="V135" i="4"/>
  <c r="P135" i="4"/>
  <c r="R135" i="4"/>
  <c r="AN134" i="1"/>
  <c r="AV118" i="7"/>
  <c r="AF135" i="7"/>
  <c r="F135" i="50" s="1"/>
  <c r="L135" i="50" s="1"/>
  <c r="P135" i="7"/>
  <c r="AD135" i="7"/>
  <c r="V135" i="7"/>
  <c r="AB135" i="7"/>
  <c r="X135" i="7"/>
  <c r="AH135" i="7"/>
  <c r="Z135" i="7"/>
  <c r="T135" i="7"/>
  <c r="R135" i="7"/>
  <c r="AH136" i="7"/>
  <c r="AB136" i="7"/>
  <c r="Z136" i="7"/>
  <c r="AF136" i="7"/>
  <c r="F136" i="50" s="1"/>
  <c r="L136" i="50" s="1"/>
  <c r="AD136" i="7"/>
  <c r="V136" i="7"/>
  <c r="P136" i="7"/>
  <c r="X136" i="7"/>
  <c r="R136" i="7"/>
  <c r="T136" i="7"/>
  <c r="AB121" i="5"/>
  <c r="AD121" i="5"/>
  <c r="R121" i="5"/>
  <c r="Z121" i="5"/>
  <c r="X121" i="5"/>
  <c r="T121" i="5"/>
  <c r="V121" i="5"/>
  <c r="P121" i="5"/>
  <c r="Z134" i="13"/>
  <c r="X134" i="13"/>
  <c r="T134" i="13"/>
  <c r="V134" i="13"/>
  <c r="P134" i="13"/>
  <c r="R134" i="13"/>
  <c r="AN133" i="1"/>
  <c r="AT118" i="7"/>
  <c r="L135" i="5"/>
  <c r="T136" i="4"/>
  <c r="P136" i="4"/>
  <c r="V136" i="4"/>
  <c r="R136" i="4"/>
  <c r="L133" i="13"/>
  <c r="AD133" i="13"/>
  <c r="AN121" i="1"/>
  <c r="AB134" i="5"/>
  <c r="Z134" i="5"/>
  <c r="P134" i="5"/>
  <c r="X134" i="5"/>
  <c r="AD134" i="5"/>
  <c r="V134" i="5"/>
  <c r="T134" i="5"/>
  <c r="R134" i="5"/>
  <c r="AL135" i="5"/>
  <c r="AL133" i="5"/>
  <c r="V134" i="7"/>
  <c r="X134" i="7"/>
  <c r="T134" i="7"/>
  <c r="P134" i="7"/>
  <c r="AH134" i="7"/>
  <c r="R134" i="7"/>
  <c r="AF134" i="7"/>
  <c r="Z134" i="7"/>
  <c r="AD134" i="7"/>
  <c r="AB134" i="7"/>
  <c r="AN135" i="1"/>
  <c r="R121" i="13"/>
  <c r="V121" i="13"/>
  <c r="P121" i="13"/>
  <c r="T121" i="13"/>
  <c r="Z121" i="13"/>
  <c r="X121" i="13"/>
  <c r="P134" i="4"/>
  <c r="R134" i="4"/>
  <c r="V134" i="4"/>
  <c r="T134" i="4"/>
  <c r="AL134" i="5"/>
  <c r="AB118" i="13"/>
  <c r="AD118" i="13" s="1"/>
  <c r="F134" i="50" l="1"/>
  <c r="L134" i="50" s="1"/>
  <c r="R134" i="50" s="1"/>
  <c r="AV136" i="7"/>
  <c r="BD136" i="7"/>
  <c r="AZ121" i="5"/>
  <c r="AL133" i="4"/>
  <c r="AH134" i="4"/>
  <c r="AJ133" i="4"/>
  <c r="AH133" i="4"/>
  <c r="AH135" i="4"/>
  <c r="AL134" i="4"/>
  <c r="AR134" i="7"/>
  <c r="BJ135" i="7"/>
  <c r="AL135" i="4"/>
  <c r="AJ135" i="4"/>
  <c r="BD118" i="5"/>
  <c r="AJ134" i="4"/>
  <c r="BJ134" i="7"/>
  <c r="BJ133" i="7"/>
  <c r="BD134" i="7"/>
  <c r="AZ134" i="7"/>
  <c r="BF134" i="7"/>
  <c r="AX134" i="7"/>
  <c r="BB134" i="7"/>
  <c r="AV134" i="7"/>
  <c r="AT134" i="7"/>
  <c r="AX136" i="5"/>
  <c r="BB121" i="5"/>
  <c r="AN121" i="5"/>
  <c r="AH136" i="4"/>
  <c r="AT121" i="5"/>
  <c r="AL136" i="4"/>
  <c r="AR121" i="5"/>
  <c r="AJ136" i="4"/>
  <c r="AX121" i="5"/>
  <c r="AV121" i="5"/>
  <c r="AP121" i="5"/>
  <c r="AC118" i="50"/>
  <c r="AE118" i="50"/>
  <c r="AZ135" i="7"/>
  <c r="BD135" i="7"/>
  <c r="AX135" i="7"/>
  <c r="AT135" i="7"/>
  <c r="AV135" i="7"/>
  <c r="BB135" i="7"/>
  <c r="BL118" i="7"/>
  <c r="BH135" i="7"/>
  <c r="Z135" i="50" s="1"/>
  <c r="AA135" i="50" s="1"/>
  <c r="AP136" i="5"/>
  <c r="AR136" i="5"/>
  <c r="BH133" i="7"/>
  <c r="Z133" i="50" s="1"/>
  <c r="AA133" i="50" s="1"/>
  <c r="AC133" i="50" s="1"/>
  <c r="AV136" i="5"/>
  <c r="BB133" i="7"/>
  <c r="AZ136" i="5"/>
  <c r="BF133" i="7"/>
  <c r="AR133" i="7"/>
  <c r="BD133" i="7"/>
  <c r="AT133" i="7"/>
  <c r="AN136" i="5"/>
  <c r="AR136" i="7"/>
  <c r="BB136" i="5"/>
  <c r="AV133" i="7"/>
  <c r="AZ133" i="7"/>
  <c r="BF135" i="7"/>
  <c r="AZ136" i="7"/>
  <c r="BH136" i="7"/>
  <c r="Z136" i="50" s="1"/>
  <c r="AA136" i="50" s="1"/>
  <c r="AT136" i="7"/>
  <c r="AX136" i="7"/>
  <c r="BF136" i="7"/>
  <c r="BJ136" i="7"/>
  <c r="BB136" i="7"/>
  <c r="AT136" i="5"/>
  <c r="AB134" i="13"/>
  <c r="AD134" i="13" s="1"/>
  <c r="AJ135" i="7"/>
  <c r="AL135" i="7" s="1"/>
  <c r="AJ136" i="7"/>
  <c r="AL136" i="7" s="1"/>
  <c r="P135" i="50"/>
  <c r="T135" i="50"/>
  <c r="R135" i="50"/>
  <c r="AF136" i="5"/>
  <c r="AH136" i="5" s="1"/>
  <c r="AF134" i="5"/>
  <c r="AH134" i="5" s="1"/>
  <c r="AB135" i="13"/>
  <c r="AD135" i="13" s="1"/>
  <c r="AZ134" i="5"/>
  <c r="AN134" i="5"/>
  <c r="AV134" i="5"/>
  <c r="AR134" i="5"/>
  <c r="AX134" i="5"/>
  <c r="BB134" i="5"/>
  <c r="AP134" i="5"/>
  <c r="AT134" i="5"/>
  <c r="AB121" i="13"/>
  <c r="AD121" i="13" s="1"/>
  <c r="AB135" i="5"/>
  <c r="AZ135" i="5" s="1"/>
  <c r="R135" i="5"/>
  <c r="AP135" i="5" s="1"/>
  <c r="P135" i="5"/>
  <c r="F82" i="11" s="1"/>
  <c r="AD135" i="5"/>
  <c r="BB135" i="5" s="1"/>
  <c r="T135" i="5"/>
  <c r="AR135" i="5" s="1"/>
  <c r="Z135" i="5"/>
  <c r="P82" i="11" s="1"/>
  <c r="V135" i="5"/>
  <c r="AT135" i="5" s="1"/>
  <c r="X135" i="5"/>
  <c r="N82" i="11" s="1"/>
  <c r="BH134" i="7"/>
  <c r="Z134" i="50" s="1"/>
  <c r="AF136" i="4"/>
  <c r="X136" i="4"/>
  <c r="Z136" i="4" s="1"/>
  <c r="AR135" i="7"/>
  <c r="P136" i="50"/>
  <c r="T136" i="50"/>
  <c r="R136" i="50"/>
  <c r="AF133" i="4"/>
  <c r="X133" i="4"/>
  <c r="Z133" i="4" s="1"/>
  <c r="AJ134" i="7"/>
  <c r="AL134" i="7" s="1"/>
  <c r="T133" i="13"/>
  <c r="X133" i="13"/>
  <c r="V133" i="13"/>
  <c r="Z133" i="13"/>
  <c r="R133" i="13"/>
  <c r="P133" i="13"/>
  <c r="AF121" i="5"/>
  <c r="X135" i="4"/>
  <c r="Z135" i="4" s="1"/>
  <c r="AB136" i="13"/>
  <c r="AD136" i="13" s="1"/>
  <c r="AF134" i="4"/>
  <c r="X134" i="4"/>
  <c r="Z134" i="4" s="1"/>
  <c r="AF135" i="4"/>
  <c r="P134" i="50" l="1"/>
  <c r="T134" i="50"/>
  <c r="AA134" i="50"/>
  <c r="AE134" i="50" s="1"/>
  <c r="AN135" i="4"/>
  <c r="AN133" i="4"/>
  <c r="AN134" i="4"/>
  <c r="AE135" i="50"/>
  <c r="BD121" i="5"/>
  <c r="AN136" i="4"/>
  <c r="AE136" i="50"/>
  <c r="AG136" i="50"/>
  <c r="AE133" i="50"/>
  <c r="AG133" i="50"/>
  <c r="BL135" i="7"/>
  <c r="AC136" i="50"/>
  <c r="AG135" i="50"/>
  <c r="AC135" i="50"/>
  <c r="L82" i="11"/>
  <c r="BL136" i="7"/>
  <c r="BD136" i="5"/>
  <c r="BL133" i="7"/>
  <c r="T82" i="11"/>
  <c r="H82" i="11"/>
  <c r="BD134" i="5"/>
  <c r="AV135" i="5"/>
  <c r="AX135" i="5"/>
  <c r="J82" i="11"/>
  <c r="AN135" i="5"/>
  <c r="AF135" i="5"/>
  <c r="AH135" i="5" s="1"/>
  <c r="R82" i="11"/>
  <c r="BL134" i="7"/>
  <c r="R21" i="66"/>
  <c r="AC134" i="50" l="1"/>
  <c r="AG134" i="50"/>
  <c r="BD135" i="5"/>
  <c r="R39" i="66"/>
  <c r="R42" i="66" s="1"/>
  <c r="F25" i="75" l="1"/>
  <c r="F28" i="75" s="1"/>
  <c r="F28" i="72"/>
  <c r="D17" i="59" l="1"/>
  <c r="D29" i="59"/>
  <c r="D32" i="59"/>
  <c r="D26" i="59" l="1"/>
  <c r="D44" i="73" l="1"/>
  <c r="D29" i="73" l="1"/>
  <c r="D32" i="73"/>
  <c r="D26" i="73"/>
  <c r="D47" i="53"/>
  <c r="D68" i="73" l="1"/>
  <c r="D68" i="69"/>
  <c r="D68" i="55"/>
  <c r="D68" i="59" l="1"/>
  <c r="D38" i="55" l="1"/>
  <c r="D38" i="73"/>
  <c r="D13" i="69" l="1"/>
  <c r="D13" i="55"/>
  <c r="Q14" i="69" l="1"/>
  <c r="G14" i="69"/>
  <c r="P14" i="69"/>
  <c r="R14" i="69"/>
  <c r="O14" i="69"/>
  <c r="N14" i="69"/>
  <c r="U14" i="69"/>
  <c r="M14" i="69"/>
  <c r="S14" i="69"/>
  <c r="H14" i="69"/>
  <c r="T14" i="69"/>
  <c r="L14" i="69"/>
  <c r="K14" i="69"/>
  <c r="F14" i="69"/>
  <c r="R14" i="55"/>
  <c r="H14" i="55"/>
  <c r="Q14" i="55"/>
  <c r="G14" i="55"/>
  <c r="P14" i="55"/>
  <c r="O14" i="55"/>
  <c r="N14" i="55"/>
  <c r="U14" i="55"/>
  <c r="M14" i="55"/>
  <c r="F14" i="55"/>
  <c r="S14" i="55"/>
  <c r="T14" i="55"/>
  <c r="L14" i="55"/>
  <c r="K14" i="55"/>
  <c r="D14" i="73" l="1"/>
  <c r="D53" i="73"/>
  <c r="D53" i="69"/>
  <c r="D38" i="69"/>
  <c r="D53" i="55"/>
  <c r="D14" i="55"/>
  <c r="D14" i="69"/>
  <c r="D41" i="53" l="1"/>
  <c r="D53" i="53" l="1"/>
  <c r="D56" i="73" l="1"/>
  <c r="D56" i="69"/>
  <c r="D56" i="55"/>
  <c r="D29" i="55" l="1"/>
  <c r="D26" i="55" l="1"/>
  <c r="D35" i="53"/>
  <c r="D29" i="69" l="1"/>
  <c r="D26" i="69"/>
  <c r="D32" i="53" l="1"/>
  <c r="D29" i="53"/>
  <c r="D47" i="69" l="1"/>
  <c r="D47" i="55"/>
  <c r="D50" i="53" l="1"/>
  <c r="D41" i="59" l="1"/>
  <c r="D41" i="73" l="1"/>
  <c r="D41" i="55"/>
  <c r="D41" i="69" l="1"/>
  <c r="D44" i="53" l="1"/>
  <c r="D65" i="73" l="1"/>
  <c r="D65" i="69" l="1"/>
  <c r="D20" i="73" l="1"/>
  <c r="D62" i="73" l="1"/>
  <c r="D35" i="69" l="1"/>
  <c r="D20" i="69"/>
  <c r="D62" i="69" l="1"/>
  <c r="D20" i="55" l="1"/>
  <c r="D35" i="55" l="1"/>
  <c r="D65" i="55" l="1"/>
  <c r="D68" i="53" l="1"/>
  <c r="D62" i="55" l="1"/>
  <c r="F38" i="74" l="1"/>
  <c r="F39" i="74" s="1"/>
  <c r="F42" i="74" s="1"/>
  <c r="F39" i="72"/>
  <c r="F42" i="72" s="1"/>
  <c r="F38" i="75"/>
  <c r="F39" i="75" s="1"/>
  <c r="F42" i="75" s="1"/>
  <c r="F39" i="68" l="1"/>
  <c r="F42" i="68" s="1"/>
  <c r="F38" i="70"/>
  <c r="F39" i="70" s="1"/>
  <c r="F42" i="70" s="1"/>
  <c r="F38" i="71" l="1"/>
  <c r="F39" i="71" s="1"/>
  <c r="F42" i="71" s="1"/>
  <c r="D17" i="53" l="1"/>
  <c r="F39" i="62"/>
  <c r="F42" i="62" s="1"/>
  <c r="F38" i="63"/>
  <c r="F39" i="63" s="1"/>
  <c r="F42" i="63" s="1"/>
  <c r="R102" i="4" l="1"/>
  <c r="P102" i="4"/>
  <c r="T102" i="4"/>
  <c r="V102" i="4"/>
  <c r="X102" i="4" l="1"/>
  <c r="Z102" i="4" s="1"/>
  <c r="AC151" i="4" l="1"/>
  <c r="AD151" i="4" s="1"/>
  <c r="AK151" i="5"/>
  <c r="AL151" i="5" s="1"/>
  <c r="AZ151" i="5" s="1"/>
  <c r="AC145" i="4"/>
  <c r="AD145" i="4" s="1"/>
  <c r="AK145" i="5"/>
  <c r="AL145" i="5" s="1"/>
  <c r="AO145" i="7"/>
  <c r="AP145" i="7" s="1"/>
  <c r="AK145" i="4" l="1"/>
  <c r="H97" i="50"/>
  <c r="H97" i="4"/>
  <c r="H97" i="13"/>
  <c r="H164" i="13" s="1"/>
  <c r="H180" i="13" s="1"/>
  <c r="AN145" i="1"/>
  <c r="AO151" i="7"/>
  <c r="AP151" i="7" s="1"/>
  <c r="L151" i="50"/>
  <c r="BB151" i="5"/>
  <c r="AN151" i="5"/>
  <c r="AP151" i="5"/>
  <c r="AX151" i="5"/>
  <c r="AT151" i="5"/>
  <c r="AV151" i="5"/>
  <c r="AR151" i="5"/>
  <c r="AL151" i="4"/>
  <c r="AH151" i="4"/>
  <c r="AJ151" i="4"/>
  <c r="AF151" i="4"/>
  <c r="AK151" i="4"/>
  <c r="AN151" i="1" l="1"/>
  <c r="AN151" i="4"/>
  <c r="BD151" i="5"/>
  <c r="R151" i="50"/>
  <c r="T151" i="50"/>
  <c r="P151" i="50"/>
  <c r="BH151" i="7"/>
  <c r="Z151" i="50" s="1"/>
  <c r="AA151" i="50" s="1"/>
  <c r="AZ151" i="7"/>
  <c r="AT151" i="7"/>
  <c r="BB151" i="7"/>
  <c r="AX151" i="7"/>
  <c r="AV151" i="7"/>
  <c r="BJ151" i="7"/>
  <c r="BF151" i="7"/>
  <c r="BD151" i="7"/>
  <c r="AR151" i="7"/>
  <c r="H54" i="61"/>
  <c r="H57" i="61" s="1"/>
  <c r="D23" i="10" l="1"/>
  <c r="H124" i="4" s="1"/>
  <c r="BL151" i="7"/>
  <c r="AC151" i="50"/>
  <c r="AE151" i="50"/>
  <c r="AG151" i="50"/>
  <c r="H24" i="10" l="1"/>
  <c r="J24" i="10"/>
  <c r="L24" i="10"/>
  <c r="F24" i="10"/>
  <c r="D100" i="2"/>
  <c r="F101" i="2" s="1"/>
  <c r="H162" i="4"/>
  <c r="H164" i="4" s="1"/>
  <c r="H180" i="4" s="1"/>
  <c r="L124" i="4"/>
  <c r="D24" i="10" l="1"/>
  <c r="H101" i="2"/>
  <c r="R125" i="1" s="1"/>
  <c r="J101" i="2"/>
  <c r="T125" i="1" s="1"/>
  <c r="L101" i="2"/>
  <c r="V125" i="1" s="1"/>
  <c r="D82" i="11"/>
  <c r="P83" i="11" s="1"/>
  <c r="L149" i="50"/>
  <c r="AA149" i="50"/>
  <c r="L148" i="50"/>
  <c r="AA148" i="50"/>
  <c r="P124" i="4"/>
  <c r="R124" i="4"/>
  <c r="V124" i="4"/>
  <c r="T124" i="4"/>
  <c r="F74" i="10" l="1"/>
  <c r="AL124" i="4"/>
  <c r="L74" i="10"/>
  <c r="AJ124" i="4"/>
  <c r="J74" i="10"/>
  <c r="AH124" i="4"/>
  <c r="H74" i="10"/>
  <c r="D69" i="12"/>
  <c r="F70" i="12" s="1"/>
  <c r="R83" i="11"/>
  <c r="AB133" i="5" s="1"/>
  <c r="AZ133" i="5" s="1"/>
  <c r="L83" i="11"/>
  <c r="V133" i="5" s="1"/>
  <c r="AT133" i="5" s="1"/>
  <c r="N83" i="11"/>
  <c r="X133" i="5" s="1"/>
  <c r="AV133" i="5" s="1"/>
  <c r="H83" i="11"/>
  <c r="R133" i="5" s="1"/>
  <c r="AP133" i="5" s="1"/>
  <c r="F83" i="11"/>
  <c r="P133" i="5" s="1"/>
  <c r="J83" i="11"/>
  <c r="T133" i="5" s="1"/>
  <c r="AR133" i="5" s="1"/>
  <c r="T83" i="11"/>
  <c r="AD133" i="5" s="1"/>
  <c r="BB133" i="5" s="1"/>
  <c r="F125" i="4"/>
  <c r="L125" i="4" s="1"/>
  <c r="AH125" i="1"/>
  <c r="AC125" i="4" s="1"/>
  <c r="D101" i="2"/>
  <c r="Z133" i="5"/>
  <c r="AX133" i="5" s="1"/>
  <c r="AL125" i="1"/>
  <c r="F125" i="7"/>
  <c r="T149" i="50"/>
  <c r="AG149" i="50" s="1"/>
  <c r="P149" i="50"/>
  <c r="AC149" i="50" s="1"/>
  <c r="R149" i="50"/>
  <c r="AE149" i="50" s="1"/>
  <c r="X124" i="4"/>
  <c r="Z124" i="4" s="1"/>
  <c r="AF124" i="4"/>
  <c r="T148" i="50"/>
  <c r="AG148" i="50" s="1"/>
  <c r="R148" i="50"/>
  <c r="AE148" i="50" s="1"/>
  <c r="P148" i="50"/>
  <c r="AC148" i="50" s="1"/>
  <c r="F125" i="5"/>
  <c r="AJ125" i="1"/>
  <c r="P125" i="1"/>
  <c r="L70" i="12" l="1"/>
  <c r="T70" i="12"/>
  <c r="P70" i="12"/>
  <c r="H70" i="12"/>
  <c r="R143" i="7" s="1"/>
  <c r="AT143" i="7" s="1"/>
  <c r="V70" i="12"/>
  <c r="N70" i="12"/>
  <c r="X141" i="7" s="1"/>
  <c r="R70" i="12"/>
  <c r="AB141" i="7" s="1"/>
  <c r="AN133" i="5"/>
  <c r="BD133" i="5" s="1"/>
  <c r="AF133" i="5"/>
  <c r="AH133" i="5" s="1"/>
  <c r="D48" i="12"/>
  <c r="T49" i="12" s="1"/>
  <c r="D83" i="11"/>
  <c r="J70" i="12"/>
  <c r="X70" i="12"/>
  <c r="AH143" i="7" s="1"/>
  <c r="BJ143" i="7" s="1"/>
  <c r="AK125" i="5"/>
  <c r="L125" i="5"/>
  <c r="AB125" i="5" s="1"/>
  <c r="AN124" i="4"/>
  <c r="AL125" i="7"/>
  <c r="X125" i="1"/>
  <c r="F125" i="13"/>
  <c r="AF125" i="1"/>
  <c r="AO125" i="7"/>
  <c r="AD125" i="4"/>
  <c r="BD141" i="7" l="1"/>
  <c r="AZ141" i="7"/>
  <c r="AB143" i="7"/>
  <c r="BD143" i="7" s="1"/>
  <c r="D70" i="12"/>
  <c r="X49" i="12"/>
  <c r="J49" i="12"/>
  <c r="N49" i="12"/>
  <c r="V49" i="12"/>
  <c r="R49" i="12"/>
  <c r="H49" i="12"/>
  <c r="L49" i="12"/>
  <c r="V42" i="7" s="1"/>
  <c r="F49" i="12"/>
  <c r="P19" i="7" s="1"/>
  <c r="P49" i="12"/>
  <c r="R141" i="7"/>
  <c r="AH141" i="7"/>
  <c r="X143" i="7"/>
  <c r="AZ143" i="7" s="1"/>
  <c r="P141" i="7"/>
  <c r="P143" i="7"/>
  <c r="AD141" i="7"/>
  <c r="AD143" i="7"/>
  <c r="BF143" i="7" s="1"/>
  <c r="V141" i="7"/>
  <c r="V143" i="7"/>
  <c r="AX143" i="7" s="1"/>
  <c r="AD125" i="5"/>
  <c r="X125" i="5"/>
  <c r="R125" i="5"/>
  <c r="P125" i="5"/>
  <c r="V125" i="5"/>
  <c r="T125" i="5"/>
  <c r="Z125" i="5"/>
  <c r="AP125" i="7"/>
  <c r="AF141" i="7"/>
  <c r="AF143" i="7"/>
  <c r="AN125" i="1"/>
  <c r="AL125" i="5"/>
  <c r="AZ125" i="5" s="1"/>
  <c r="AK125" i="4"/>
  <c r="L125" i="13"/>
  <c r="Z141" i="7"/>
  <c r="Z143" i="7"/>
  <c r="BB143" i="7" s="1"/>
  <c r="Z125" i="1"/>
  <c r="T143" i="7"/>
  <c r="AV143" i="7" s="1"/>
  <c r="T141" i="7"/>
  <c r="BJ141" i="7" l="1"/>
  <c r="X63" i="12"/>
  <c r="V63" i="12"/>
  <c r="BF141" i="7"/>
  <c r="T63" i="12"/>
  <c r="R63" i="12"/>
  <c r="BB141" i="7"/>
  <c r="P63" i="12"/>
  <c r="N63" i="12"/>
  <c r="AX141" i="7"/>
  <c r="L63" i="12"/>
  <c r="AV141" i="7"/>
  <c r="J63" i="12"/>
  <c r="AT141" i="7"/>
  <c r="H63" i="12"/>
  <c r="F63" i="12"/>
  <c r="D49" i="12"/>
  <c r="P42" i="7"/>
  <c r="P41" i="7"/>
  <c r="P63" i="7" s="1"/>
  <c r="P18" i="7"/>
  <c r="P20" i="7"/>
  <c r="AF125" i="5"/>
  <c r="P40" i="7"/>
  <c r="D74" i="10"/>
  <c r="H75" i="10" s="1"/>
  <c r="R125" i="4" s="1"/>
  <c r="V19" i="7"/>
  <c r="V40" i="7"/>
  <c r="V18" i="7"/>
  <c r="V41" i="7"/>
  <c r="V20" i="7"/>
  <c r="V64" i="7" s="1"/>
  <c r="AH19" i="7"/>
  <c r="AH41" i="7"/>
  <c r="AH42" i="7"/>
  <c r="AH40" i="7"/>
  <c r="AH20" i="7"/>
  <c r="AH18" i="7"/>
  <c r="Z42" i="7"/>
  <c r="Z20" i="7"/>
  <c r="Z40" i="7"/>
  <c r="Z18" i="7"/>
  <c r="Z41" i="7"/>
  <c r="Z19" i="7"/>
  <c r="Z125" i="13"/>
  <c r="X125" i="13"/>
  <c r="V125" i="13"/>
  <c r="P125" i="13"/>
  <c r="T125" i="13"/>
  <c r="R125" i="13"/>
  <c r="BH125" i="7"/>
  <c r="AV125" i="7"/>
  <c r="BB125" i="7"/>
  <c r="AZ125" i="7"/>
  <c r="AR125" i="7"/>
  <c r="BF125" i="7"/>
  <c r="BD125" i="7"/>
  <c r="AT125" i="7"/>
  <c r="AX125" i="7"/>
  <c r="BJ125" i="7"/>
  <c r="R18" i="7"/>
  <c r="R19" i="7"/>
  <c r="R40" i="7"/>
  <c r="R42" i="7"/>
  <c r="R41" i="7"/>
  <c r="R20" i="7"/>
  <c r="AR143" i="7"/>
  <c r="AJ143" i="7"/>
  <c r="AL143" i="7" s="1"/>
  <c r="AF40" i="7"/>
  <c r="AF41" i="7"/>
  <c r="F41" i="50" s="1"/>
  <c r="L41" i="50" s="1"/>
  <c r="AF42" i="7"/>
  <c r="F42" i="50" s="1"/>
  <c r="L42" i="50" s="1"/>
  <c r="AF19" i="7"/>
  <c r="AF20" i="7"/>
  <c r="AF18" i="7"/>
  <c r="T41" i="7"/>
  <c r="T40" i="7"/>
  <c r="T18" i="7"/>
  <c r="T42" i="7"/>
  <c r="T20" i="7"/>
  <c r="T19" i="7"/>
  <c r="AR141" i="7"/>
  <c r="AJ141" i="7"/>
  <c r="AL141" i="7" s="1"/>
  <c r="X20" i="7"/>
  <c r="X19" i="7"/>
  <c r="X18" i="7"/>
  <c r="X42" i="7"/>
  <c r="X41" i="7"/>
  <c r="X40" i="7"/>
  <c r="F143" i="50"/>
  <c r="L143" i="50" s="1"/>
  <c r="BH143" i="7"/>
  <c r="Z143" i="50" s="1"/>
  <c r="AD40" i="7"/>
  <c r="AD42" i="7"/>
  <c r="AD41" i="7"/>
  <c r="AD18" i="7"/>
  <c r="AD20" i="7"/>
  <c r="AD19" i="7"/>
  <c r="AR125" i="5"/>
  <c r="AP125" i="5"/>
  <c r="BB125" i="5"/>
  <c r="AT125" i="5"/>
  <c r="AV125" i="5"/>
  <c r="AX125" i="5"/>
  <c r="AN125" i="5"/>
  <c r="F141" i="50"/>
  <c r="L141" i="50" s="1"/>
  <c r="BH141" i="7"/>
  <c r="Z141" i="50" s="1"/>
  <c r="AB42" i="7"/>
  <c r="AB19" i="7"/>
  <c r="AB41" i="7"/>
  <c r="AB18" i="7"/>
  <c r="AB20" i="7"/>
  <c r="AB40" i="7"/>
  <c r="AH125" i="4" l="1"/>
  <c r="P64" i="7"/>
  <c r="P31" i="7"/>
  <c r="P62" i="7"/>
  <c r="J75" i="10"/>
  <c r="T125" i="4" s="1"/>
  <c r="L75" i="10"/>
  <c r="V125" i="4" s="1"/>
  <c r="F75" i="10"/>
  <c r="V63" i="7"/>
  <c r="V62" i="7"/>
  <c r="V31" i="7"/>
  <c r="R63" i="7"/>
  <c r="AA141" i="50"/>
  <c r="AJ42" i="7"/>
  <c r="AL42" i="7" s="1"/>
  <c r="AJ41" i="7"/>
  <c r="AL41" i="7" s="1"/>
  <c r="T62" i="7"/>
  <c r="T31" i="7"/>
  <c r="F40" i="50"/>
  <c r="AH125" i="5"/>
  <c r="BL141" i="7"/>
  <c r="Z31" i="7"/>
  <c r="Z62" i="7"/>
  <c r="AJ40" i="7"/>
  <c r="AL40" i="7" s="1"/>
  <c r="X62" i="7"/>
  <c r="X31" i="7"/>
  <c r="AH63" i="7"/>
  <c r="AB64" i="7"/>
  <c r="T141" i="50"/>
  <c r="P141" i="50"/>
  <c r="R141" i="50"/>
  <c r="AD63" i="7"/>
  <c r="X63" i="7"/>
  <c r="F18" i="50"/>
  <c r="AF62" i="7"/>
  <c r="AF31" i="7"/>
  <c r="R62" i="7"/>
  <c r="R31" i="7"/>
  <c r="BL125" i="7"/>
  <c r="AB125" i="13"/>
  <c r="Z64" i="7"/>
  <c r="AB31" i="7"/>
  <c r="AB62" i="7"/>
  <c r="BD125" i="5"/>
  <c r="AD64" i="7"/>
  <c r="X64" i="7"/>
  <c r="AF64" i="7"/>
  <c r="F64" i="50" s="1"/>
  <c r="L64" i="50" s="1"/>
  <c r="F20" i="50"/>
  <c r="L20" i="50" s="1"/>
  <c r="AD62" i="7"/>
  <c r="AD31" i="7"/>
  <c r="AA143" i="50"/>
  <c r="T63" i="7"/>
  <c r="AF63" i="7"/>
  <c r="F63" i="50" s="1"/>
  <c r="L63" i="50" s="1"/>
  <c r="F19" i="50"/>
  <c r="L19" i="50" s="1"/>
  <c r="BL143" i="7"/>
  <c r="AH62" i="7"/>
  <c r="AH31" i="7"/>
  <c r="AB63" i="7"/>
  <c r="R143" i="50"/>
  <c r="P143" i="50"/>
  <c r="T143" i="50"/>
  <c r="AJ20" i="7"/>
  <c r="T64" i="7"/>
  <c r="AJ18" i="7"/>
  <c r="P42" i="50"/>
  <c r="R42" i="50"/>
  <c r="T42" i="50"/>
  <c r="R64" i="7"/>
  <c r="AH64" i="7"/>
  <c r="T41" i="50"/>
  <c r="R41" i="50"/>
  <c r="P41" i="50"/>
  <c r="Z125" i="50"/>
  <c r="AJ19" i="7"/>
  <c r="AZ19" i="7" s="1"/>
  <c r="Z63" i="7"/>
  <c r="AL125" i="4" l="1"/>
  <c r="AJ125" i="4"/>
  <c r="D75" i="10"/>
  <c r="D63" i="12"/>
  <c r="BH18" i="7"/>
  <c r="AR18" i="7"/>
  <c r="AG141" i="50"/>
  <c r="AE141" i="50"/>
  <c r="AC141" i="50"/>
  <c r="AJ62" i="7"/>
  <c r="AL62" i="7" s="1"/>
  <c r="BJ19" i="7"/>
  <c r="BH19" i="7"/>
  <c r="AJ31" i="7"/>
  <c r="AL31" i="7" s="1"/>
  <c r="BF19" i="7"/>
  <c r="BB19" i="7"/>
  <c r="BD19" i="7"/>
  <c r="AV19" i="7"/>
  <c r="AJ63" i="7"/>
  <c r="AL63" i="7" s="1"/>
  <c r="AZ18" i="7"/>
  <c r="AJ64" i="7"/>
  <c r="AL64" i="7" s="1"/>
  <c r="AR20" i="7"/>
  <c r="AL20" i="7"/>
  <c r="AX20" i="7"/>
  <c r="AT19" i="7"/>
  <c r="AL19" i="7"/>
  <c r="AR19" i="7"/>
  <c r="AX19" i="7"/>
  <c r="AG143" i="50"/>
  <c r="AC143" i="50"/>
  <c r="AE143" i="50"/>
  <c r="AT18" i="7"/>
  <c r="BD20" i="7"/>
  <c r="BJ20" i="7"/>
  <c r="BJ18" i="7"/>
  <c r="BF18" i="7"/>
  <c r="BH20" i="7"/>
  <c r="P125" i="4"/>
  <c r="AV18" i="7"/>
  <c r="BF20" i="7"/>
  <c r="BB20" i="7"/>
  <c r="R19" i="50"/>
  <c r="R63" i="50" s="1"/>
  <c r="T19" i="50"/>
  <c r="T63" i="50" s="1"/>
  <c r="P19" i="50"/>
  <c r="P63" i="50" s="1"/>
  <c r="R20" i="50"/>
  <c r="R64" i="50" s="1"/>
  <c r="P20" i="50"/>
  <c r="P64" i="50" s="1"/>
  <c r="T20" i="50"/>
  <c r="T64" i="50" s="1"/>
  <c r="AA125" i="50"/>
  <c r="AL18" i="7"/>
  <c r="AX18" i="7"/>
  <c r="AV20" i="7"/>
  <c r="AZ20" i="7"/>
  <c r="BD18" i="7"/>
  <c r="AD125" i="13"/>
  <c r="F62" i="50"/>
  <c r="BB18" i="7"/>
  <c r="AT20" i="7"/>
  <c r="L18" i="50"/>
  <c r="F31" i="50"/>
  <c r="L40" i="50"/>
  <c r="X64" i="12" l="1"/>
  <c r="AH138" i="7" s="1"/>
  <c r="J64" i="12"/>
  <c r="T138" i="7" s="1"/>
  <c r="P64" i="12"/>
  <c r="Z138" i="7" s="1"/>
  <c r="N64" i="12"/>
  <c r="X138" i="7" s="1"/>
  <c r="T64" i="12"/>
  <c r="AD138" i="7" s="1"/>
  <c r="H64" i="12"/>
  <c r="R138" i="7" s="1"/>
  <c r="F64" i="12"/>
  <c r="P138" i="7" s="1"/>
  <c r="R64" i="12"/>
  <c r="AB138" i="7" s="1"/>
  <c r="L64" i="12"/>
  <c r="V138" i="7" s="1"/>
  <c r="V64" i="12"/>
  <c r="AF138" i="7" s="1"/>
  <c r="BF31" i="7"/>
  <c r="T36" i="12" s="1"/>
  <c r="BH31" i="7"/>
  <c r="V36" i="12" s="1"/>
  <c r="BD31" i="7"/>
  <c r="R36" i="12" s="1"/>
  <c r="AZ31" i="7"/>
  <c r="N36" i="12" s="1"/>
  <c r="BB31" i="7"/>
  <c r="P36" i="12" s="1"/>
  <c r="BJ31" i="7"/>
  <c r="X36" i="12" s="1"/>
  <c r="BL19" i="7"/>
  <c r="AV31" i="7"/>
  <c r="J36" i="12" s="1"/>
  <c r="BL20" i="7"/>
  <c r="X125" i="4"/>
  <c r="Z125" i="4" s="1"/>
  <c r="AF125" i="4"/>
  <c r="R40" i="50"/>
  <c r="P40" i="50"/>
  <c r="T40" i="50"/>
  <c r="AX31" i="7"/>
  <c r="L36" i="12" s="1"/>
  <c r="AT31" i="7"/>
  <c r="H36" i="12" s="1"/>
  <c r="AR31" i="7"/>
  <c r="F36" i="12" s="1"/>
  <c r="BL18" i="7"/>
  <c r="L62" i="50"/>
  <c r="R18" i="50"/>
  <c r="T18" i="50"/>
  <c r="P18" i="50"/>
  <c r="AE125" i="50"/>
  <c r="AC125" i="50"/>
  <c r="AG125" i="50"/>
  <c r="F138" i="50" l="1"/>
  <c r="L138" i="50" s="1"/>
  <c r="D64" i="12"/>
  <c r="D36" i="12"/>
  <c r="N37" i="12" s="1"/>
  <c r="BH138" i="7"/>
  <c r="Z138" i="50" s="1"/>
  <c r="R62" i="50"/>
  <c r="R31" i="50"/>
  <c r="AV138" i="7"/>
  <c r="BJ138" i="7"/>
  <c r="AZ138" i="7"/>
  <c r="BL31" i="7"/>
  <c r="P31" i="50"/>
  <c r="P62" i="50"/>
  <c r="BB138" i="7"/>
  <c r="AX138" i="7"/>
  <c r="BD138" i="7"/>
  <c r="BF138" i="7"/>
  <c r="T62" i="50"/>
  <c r="T31" i="50"/>
  <c r="AT138" i="7"/>
  <c r="AN125" i="4"/>
  <c r="AR138" i="7"/>
  <c r="AJ138" i="7"/>
  <c r="AL138" i="7" s="1"/>
  <c r="F37" i="12" l="1"/>
  <c r="T37" i="12"/>
  <c r="AD102" i="7" s="1"/>
  <c r="P37" i="12"/>
  <c r="Z102" i="7" s="1"/>
  <c r="V37" i="12"/>
  <c r="AF102" i="7" s="1"/>
  <c r="L37" i="12"/>
  <c r="V102" i="7" s="1"/>
  <c r="R37" i="12"/>
  <c r="AB102" i="7" s="1"/>
  <c r="X37" i="12"/>
  <c r="AH102" i="7" s="1"/>
  <c r="J37" i="12"/>
  <c r="T102" i="7" s="1"/>
  <c r="H37" i="12"/>
  <c r="R102" i="7" s="1"/>
  <c r="X102" i="7"/>
  <c r="BL138" i="7"/>
  <c r="AA138" i="50"/>
  <c r="T138" i="50"/>
  <c r="P138" i="50"/>
  <c r="R138" i="50"/>
  <c r="D37" i="12" l="1"/>
  <c r="P102" i="7"/>
  <c r="AJ102" i="7" s="1"/>
  <c r="AG138" i="50"/>
  <c r="AE138" i="50"/>
  <c r="AC138" i="50"/>
  <c r="F102" i="50"/>
  <c r="L102" i="50" l="1"/>
  <c r="AL102" i="7"/>
  <c r="R102" i="50" l="1"/>
  <c r="T102" i="50"/>
  <c r="P102" i="50"/>
  <c r="H57" i="52" l="1"/>
  <c r="P43" i="1" l="1"/>
  <c r="P53" i="1" s="1"/>
  <c r="R43" i="1"/>
  <c r="R53" i="1" s="1"/>
  <c r="T43" i="1"/>
  <c r="T53" i="1" s="1"/>
  <c r="V43" i="1"/>
  <c r="V53" i="1" s="1"/>
  <c r="F43" i="7" l="1"/>
  <c r="L43" i="7" s="1"/>
  <c r="F43" i="5"/>
  <c r="L43" i="5" s="1"/>
  <c r="AD43" i="5" s="1"/>
  <c r="AD65" i="5" s="1"/>
  <c r="AD75" i="5" s="1"/>
  <c r="V65" i="1"/>
  <c r="F65" i="7" s="1"/>
  <c r="T65" i="1"/>
  <c r="T75" i="1" s="1"/>
  <c r="F43" i="4"/>
  <c r="F65" i="4" s="1"/>
  <c r="R65" i="1"/>
  <c r="R75" i="1" s="1"/>
  <c r="T49" i="2" s="1"/>
  <c r="P65" i="1"/>
  <c r="P75" i="1" s="1"/>
  <c r="X43" i="1"/>
  <c r="F43" i="13"/>
  <c r="T43" i="5" l="1"/>
  <c r="T65" i="5" s="1"/>
  <c r="T75" i="5" s="1"/>
  <c r="R43" i="5"/>
  <c r="R53" i="5" s="1"/>
  <c r="X43" i="5"/>
  <c r="X65" i="5" s="1"/>
  <c r="X75" i="5" s="1"/>
  <c r="F53" i="7"/>
  <c r="F65" i="5"/>
  <c r="L65" i="5" s="1"/>
  <c r="L75" i="5" s="1"/>
  <c r="L53" i="5"/>
  <c r="V43" i="5"/>
  <c r="V53" i="5" s="1"/>
  <c r="V75" i="1"/>
  <c r="X49" i="2" s="1"/>
  <c r="P43" i="5"/>
  <c r="P65" i="5" s="1"/>
  <c r="F53" i="5"/>
  <c r="Z43" i="5"/>
  <c r="Z53" i="5" s="1"/>
  <c r="V49" i="2"/>
  <c r="AB43" i="5"/>
  <c r="AB65" i="5" s="1"/>
  <c r="AB75" i="5" s="1"/>
  <c r="AL38" i="11" s="1"/>
  <c r="X65" i="1"/>
  <c r="AD53" i="5"/>
  <c r="F65" i="13"/>
  <c r="F75" i="13" s="1"/>
  <c r="L43" i="4"/>
  <c r="F53" i="4"/>
  <c r="X53" i="1"/>
  <c r="Z43" i="1"/>
  <c r="L43" i="13"/>
  <c r="F53" i="13"/>
  <c r="F75" i="7"/>
  <c r="L65" i="7"/>
  <c r="L75" i="7" s="1"/>
  <c r="F75" i="4"/>
  <c r="L65" i="4"/>
  <c r="L75" i="4" s="1"/>
  <c r="AD43" i="7"/>
  <c r="P43" i="7"/>
  <c r="AF43" i="7"/>
  <c r="R43" i="7"/>
  <c r="AH43" i="7"/>
  <c r="T43" i="7"/>
  <c r="V43" i="7"/>
  <c r="X43" i="7"/>
  <c r="AB43" i="7"/>
  <c r="L53" i="7"/>
  <c r="Z43" i="7"/>
  <c r="AN38" i="11"/>
  <c r="T53" i="5" l="1"/>
  <c r="X53" i="5"/>
  <c r="R65" i="5"/>
  <c r="R75" i="5" s="1"/>
  <c r="AB38" i="11" s="1"/>
  <c r="P53" i="5"/>
  <c r="V65" i="5"/>
  <c r="V75" i="5" s="1"/>
  <c r="AF38" i="11" s="1"/>
  <c r="F75" i="5"/>
  <c r="Z65" i="5"/>
  <c r="Z75" i="5" s="1"/>
  <c r="AJ38" i="11" s="1"/>
  <c r="AF43" i="5"/>
  <c r="AF53" i="5" s="1"/>
  <c r="V50" i="2"/>
  <c r="AB53" i="5"/>
  <c r="R50" i="2"/>
  <c r="Z65" i="1"/>
  <c r="X75" i="1"/>
  <c r="L53" i="4"/>
  <c r="P43" i="4"/>
  <c r="T43" i="4"/>
  <c r="R43" i="4"/>
  <c r="V43" i="4"/>
  <c r="L65" i="13"/>
  <c r="L75" i="13" s="1"/>
  <c r="Z43" i="13"/>
  <c r="X43" i="13"/>
  <c r="R43" i="13"/>
  <c r="T43" i="13"/>
  <c r="P43" i="13"/>
  <c r="V43" i="13"/>
  <c r="L53" i="13"/>
  <c r="Z53" i="1"/>
  <c r="X53" i="7"/>
  <c r="X65" i="7"/>
  <c r="X75" i="7" s="1"/>
  <c r="V53" i="7"/>
  <c r="V65" i="7"/>
  <c r="V75" i="7" s="1"/>
  <c r="AB53" i="7"/>
  <c r="AB65" i="7"/>
  <c r="AB75" i="7" s="1"/>
  <c r="AH38" i="11"/>
  <c r="T53" i="7"/>
  <c r="T65" i="7"/>
  <c r="T75" i="7" s="1"/>
  <c r="X50" i="2"/>
  <c r="T50" i="2"/>
  <c r="AJ43" i="7"/>
  <c r="AL43" i="7" s="1"/>
  <c r="P53" i="7"/>
  <c r="P65" i="7"/>
  <c r="AD53" i="7"/>
  <c r="AD65" i="7"/>
  <c r="AD75" i="7" s="1"/>
  <c r="AD38" i="11"/>
  <c r="AH53" i="7"/>
  <c r="AH65" i="7"/>
  <c r="AH75" i="7" s="1"/>
  <c r="R53" i="7"/>
  <c r="R65" i="7"/>
  <c r="R75" i="7" s="1"/>
  <c r="P75" i="5"/>
  <c r="Z53" i="7"/>
  <c r="Z65" i="7"/>
  <c r="Z75" i="7" s="1"/>
  <c r="F43" i="50"/>
  <c r="AF53" i="7"/>
  <c r="AF65" i="7"/>
  <c r="AF65" i="5" l="1"/>
  <c r="AF75" i="5" s="1"/>
  <c r="AH43" i="5"/>
  <c r="Z75" i="1"/>
  <c r="V65" i="4"/>
  <c r="V75" i="4" s="1"/>
  <c r="L62" i="10" s="1"/>
  <c r="X60" i="10" s="1"/>
  <c r="V53" i="4"/>
  <c r="R53" i="4"/>
  <c r="R65" i="4"/>
  <c r="R75" i="4" s="1"/>
  <c r="T65" i="4"/>
  <c r="T75" i="4" s="1"/>
  <c r="J62" i="10" s="1"/>
  <c r="V60" i="10" s="1"/>
  <c r="T53" i="4"/>
  <c r="P53" i="4"/>
  <c r="X43" i="4"/>
  <c r="P65" i="4"/>
  <c r="V65" i="13"/>
  <c r="V75" i="13" s="1"/>
  <c r="V53" i="13"/>
  <c r="T65" i="13"/>
  <c r="T75" i="13" s="1"/>
  <c r="T53" i="13"/>
  <c r="R65" i="13"/>
  <c r="R75" i="13" s="1"/>
  <c r="R53" i="13"/>
  <c r="X65" i="13"/>
  <c r="X75" i="13" s="1"/>
  <c r="X53" i="13"/>
  <c r="Z53" i="13"/>
  <c r="Z65" i="13"/>
  <c r="Z75" i="13" s="1"/>
  <c r="AB43" i="13"/>
  <c r="P65" i="13"/>
  <c r="P53" i="13"/>
  <c r="AV43" i="12"/>
  <c r="X51" i="12"/>
  <c r="AJ43" i="12"/>
  <c r="L51" i="12"/>
  <c r="F65" i="50"/>
  <c r="AF75" i="7"/>
  <c r="AH43" i="12"/>
  <c r="J51" i="12"/>
  <c r="T51" i="12"/>
  <c r="AR43" i="12"/>
  <c r="F53" i="50"/>
  <c r="L43" i="50"/>
  <c r="Z38" i="11"/>
  <c r="AJ39" i="11" s="1"/>
  <c r="AH53" i="5"/>
  <c r="AL43" i="12"/>
  <c r="N51" i="12"/>
  <c r="AN43" i="12"/>
  <c r="P51" i="12"/>
  <c r="AJ65" i="7"/>
  <c r="AL65" i="7" s="1"/>
  <c r="P75" i="7"/>
  <c r="AF43" i="12"/>
  <c r="H51" i="12"/>
  <c r="AJ53" i="7"/>
  <c r="R51" i="12"/>
  <c r="AP43" i="12"/>
  <c r="AH65" i="5" l="1"/>
  <c r="AH39" i="11"/>
  <c r="X53" i="4"/>
  <c r="Z53" i="4" s="1"/>
  <c r="Z43" i="4"/>
  <c r="H62" i="10"/>
  <c r="T60" i="10" s="1"/>
  <c r="H44" i="10"/>
  <c r="X65" i="4"/>
  <c r="P75" i="4"/>
  <c r="AB39" i="11"/>
  <c r="P75" i="13"/>
  <c r="AB65" i="13"/>
  <c r="AD39" i="11"/>
  <c r="AB53" i="13"/>
  <c r="AD43" i="13"/>
  <c r="Z39" i="11"/>
  <c r="AL39" i="11"/>
  <c r="AN39" i="11"/>
  <c r="AL53" i="7"/>
  <c r="AH75" i="5"/>
  <c r="P43" i="50"/>
  <c r="R43" i="50"/>
  <c r="T43" i="50"/>
  <c r="F51" i="12"/>
  <c r="AD43" i="12"/>
  <c r="AJ75" i="7"/>
  <c r="AF39" i="11"/>
  <c r="V51" i="12"/>
  <c r="AT43" i="12"/>
  <c r="F75" i="50"/>
  <c r="L65" i="50"/>
  <c r="AV44" i="12" l="1"/>
  <c r="F62" i="10"/>
  <c r="F44" i="10"/>
  <c r="D44" i="10" s="1"/>
  <c r="F45" i="10" s="1"/>
  <c r="P120" i="4" s="1"/>
  <c r="Z65" i="4"/>
  <c r="X75" i="4"/>
  <c r="Z75" i="4" s="1"/>
  <c r="AT44" i="12"/>
  <c r="AB75" i="13"/>
  <c r="AD65" i="13"/>
  <c r="AN44" i="12"/>
  <c r="AJ44" i="12"/>
  <c r="AD53" i="13"/>
  <c r="AP44" i="12"/>
  <c r="AF44" i="12"/>
  <c r="AL75" i="7"/>
  <c r="R65" i="50"/>
  <c r="R75" i="50" s="1"/>
  <c r="R53" i="50"/>
  <c r="D51" i="12"/>
  <c r="F52" i="12" s="1"/>
  <c r="T65" i="50"/>
  <c r="T75" i="50" s="1"/>
  <c r="T53" i="50"/>
  <c r="AL44" i="12"/>
  <c r="AR44" i="12"/>
  <c r="AD44" i="12"/>
  <c r="P53" i="50"/>
  <c r="P65" i="50"/>
  <c r="P75" i="50" s="1"/>
  <c r="AH44" i="12"/>
  <c r="H45" i="10" l="1"/>
  <c r="R120" i="4" s="1"/>
  <c r="L45" i="10"/>
  <c r="V120" i="4" s="1"/>
  <c r="J45" i="10"/>
  <c r="T120" i="4" s="1"/>
  <c r="D62" i="10"/>
  <c r="F63" i="10" s="1"/>
  <c r="R60" i="10"/>
  <c r="AD75" i="13"/>
  <c r="P145" i="7"/>
  <c r="N52" i="12"/>
  <c r="R52" i="12"/>
  <c r="J52" i="12"/>
  <c r="X52" i="12"/>
  <c r="P52" i="12"/>
  <c r="T52" i="12"/>
  <c r="H52" i="12"/>
  <c r="L52" i="12"/>
  <c r="V52" i="12"/>
  <c r="X120" i="4" l="1"/>
  <c r="Z120" i="4" s="1"/>
  <c r="D45" i="10"/>
  <c r="P145" i="4"/>
  <c r="AF145" i="4" s="1"/>
  <c r="R61" i="10"/>
  <c r="X61" i="10"/>
  <c r="V61" i="10"/>
  <c r="T61" i="10"/>
  <c r="H63" i="10"/>
  <c r="L63" i="10"/>
  <c r="J63" i="10"/>
  <c r="V145" i="7"/>
  <c r="AF145" i="7"/>
  <c r="AD145" i="7"/>
  <c r="X145" i="7"/>
  <c r="Z145" i="7"/>
  <c r="AH145" i="7"/>
  <c r="BJ145" i="7" s="1"/>
  <c r="AR145" i="7"/>
  <c r="AB145" i="7"/>
  <c r="R145" i="7"/>
  <c r="T145" i="7"/>
  <c r="D52" i="12"/>
  <c r="R109" i="1" l="1"/>
  <c r="F109" i="4" s="1"/>
  <c r="D63" i="10"/>
  <c r="V145" i="4"/>
  <c r="AL145" i="4" s="1"/>
  <c r="R145" i="4"/>
  <c r="T145" i="4"/>
  <c r="AJ145" i="4" s="1"/>
  <c r="AJ145" i="7"/>
  <c r="AL145" i="7" s="1"/>
  <c r="F145" i="50"/>
  <c r="BH145" i="7"/>
  <c r="Z145" i="50" s="1"/>
  <c r="AV145" i="7"/>
  <c r="AZ145" i="7"/>
  <c r="BD145" i="7"/>
  <c r="BF145" i="7"/>
  <c r="AT145" i="7"/>
  <c r="BB145" i="7"/>
  <c r="AX145" i="7"/>
  <c r="L109" i="4" l="1"/>
  <c r="T109" i="4" s="1"/>
  <c r="V109" i="1"/>
  <c r="F109" i="7" s="1"/>
  <c r="T109" i="1"/>
  <c r="F109" i="5" s="1"/>
  <c r="L109" i="5" s="1"/>
  <c r="P109" i="1"/>
  <c r="X145" i="4"/>
  <c r="Z145" i="4" s="1"/>
  <c r="AH145" i="4"/>
  <c r="AN145" i="4" s="1"/>
  <c r="BL145" i="7"/>
  <c r="H145" i="50"/>
  <c r="H162" i="50" s="1"/>
  <c r="H164" i="50" s="1"/>
  <c r="H180" i="50" s="1"/>
  <c r="AA145" i="50"/>
  <c r="V109" i="4" l="1"/>
  <c r="P109" i="4"/>
  <c r="R109" i="4"/>
  <c r="L109" i="7"/>
  <c r="V109" i="5"/>
  <c r="T109" i="5"/>
  <c r="X109" i="5"/>
  <c r="AB109" i="5"/>
  <c r="AD109" i="5"/>
  <c r="R109" i="5"/>
  <c r="P109" i="5"/>
  <c r="Z109" i="5"/>
  <c r="F109" i="13"/>
  <c r="X109" i="1"/>
  <c r="L145" i="50"/>
  <c r="T145" i="50" s="1"/>
  <c r="X109" i="4" l="1"/>
  <c r="Z109" i="4" s="1"/>
  <c r="R145" i="50"/>
  <c r="P145" i="50"/>
  <c r="L109" i="13"/>
  <c r="AF109" i="5"/>
  <c r="AH109" i="5" s="1"/>
  <c r="Z109" i="1"/>
  <c r="V109" i="7"/>
  <c r="R109" i="7"/>
  <c r="X109" i="7"/>
  <c r="T109" i="7"/>
  <c r="AH109" i="7"/>
  <c r="AD109" i="7"/>
  <c r="Z109" i="7"/>
  <c r="AB109" i="7"/>
  <c r="AF109" i="7"/>
  <c r="F109" i="50" s="1"/>
  <c r="L109" i="50" s="1"/>
  <c r="P109" i="7"/>
  <c r="AG145" i="50"/>
  <c r="AC145" i="50" l="1"/>
  <c r="AE145" i="50"/>
  <c r="P109" i="50"/>
  <c r="R109" i="50"/>
  <c r="T109" i="50"/>
  <c r="AJ109" i="7"/>
  <c r="AL109" i="7" s="1"/>
  <c r="R109" i="13"/>
  <c r="X109" i="13"/>
  <c r="T109" i="13"/>
  <c r="P109" i="13"/>
  <c r="V109" i="13"/>
  <c r="Z109" i="13"/>
  <c r="AB109" i="13" l="1"/>
  <c r="AD109" i="13" l="1"/>
  <c r="P122" i="1"/>
  <c r="AF122" i="1" s="1"/>
  <c r="R122" i="1"/>
  <c r="AH122" i="1" s="1"/>
  <c r="T122" i="1"/>
  <c r="F122" i="5" s="1"/>
  <c r="L122" i="5" s="1"/>
  <c r="V122" i="1"/>
  <c r="AL122" i="1" s="1"/>
  <c r="AC122" i="4" l="1"/>
  <c r="F122" i="4"/>
  <c r="F122" i="13"/>
  <c r="AD122" i="5"/>
  <c r="P122" i="5"/>
  <c r="R122" i="5"/>
  <c r="T122" i="5"/>
  <c r="Z122" i="5"/>
  <c r="V122" i="5"/>
  <c r="AB122" i="5"/>
  <c r="X122" i="5"/>
  <c r="AO122" i="7"/>
  <c r="X122" i="1"/>
  <c r="F122" i="7"/>
  <c r="AJ122" i="1"/>
  <c r="AD122" i="4" l="1"/>
  <c r="L122" i="4"/>
  <c r="V122" i="4" s="1"/>
  <c r="D27" i="60" s="1"/>
  <c r="F27" i="60" s="1"/>
  <c r="L27" i="60" s="1"/>
  <c r="Q27" i="60" s="1"/>
  <c r="D27" i="70" s="1"/>
  <c r="J27" i="70" s="1"/>
  <c r="L122" i="13"/>
  <c r="D35" i="60"/>
  <c r="F35" i="60" s="1"/>
  <c r="L35" i="60" s="1"/>
  <c r="D37" i="60"/>
  <c r="F37" i="60" s="1"/>
  <c r="L37" i="60" s="1"/>
  <c r="D34" i="60"/>
  <c r="F34" i="60" s="1"/>
  <c r="L34" i="60" s="1"/>
  <c r="D36" i="60"/>
  <c r="F36" i="60" s="1"/>
  <c r="L36" i="60" s="1"/>
  <c r="AN122" i="1"/>
  <c r="AK122" i="5"/>
  <c r="D33" i="60"/>
  <c r="F33" i="60" s="1"/>
  <c r="L33" i="60" s="1"/>
  <c r="D32" i="60"/>
  <c r="F32" i="60" s="1"/>
  <c r="L32" i="60" s="1"/>
  <c r="AP122" i="7"/>
  <c r="D31" i="60"/>
  <c r="AF122" i="5"/>
  <c r="Z122" i="1"/>
  <c r="L122" i="7"/>
  <c r="D38" i="60"/>
  <c r="F38" i="60" s="1"/>
  <c r="L38" i="60" s="1"/>
  <c r="T122" i="4" l="1"/>
  <c r="D26" i="60" s="1"/>
  <c r="F26" i="60" s="1"/>
  <c r="L26" i="60" s="1"/>
  <c r="S26" i="60" s="1"/>
  <c r="D26" i="66" s="1"/>
  <c r="J26" i="66" s="1"/>
  <c r="R27" i="60"/>
  <c r="D27" i="74" s="1"/>
  <c r="J27" i="74" s="1"/>
  <c r="W27" i="74" s="1"/>
  <c r="P27" i="60"/>
  <c r="D27" i="62" s="1"/>
  <c r="J27" i="62" s="1"/>
  <c r="AC27" i="62" s="1"/>
  <c r="S27" i="60"/>
  <c r="D27" i="66" s="1"/>
  <c r="J27" i="66" s="1"/>
  <c r="N27" i="66" s="1"/>
  <c r="R122" i="4"/>
  <c r="D25" i="60" s="1"/>
  <c r="F25" i="60" s="1"/>
  <c r="L25" i="60" s="1"/>
  <c r="P25" i="60" s="1"/>
  <c r="D25" i="62" s="1"/>
  <c r="J25" i="62" s="1"/>
  <c r="P122" i="4"/>
  <c r="P122" i="13"/>
  <c r="R122" i="13"/>
  <c r="T122" i="13"/>
  <c r="V122" i="13"/>
  <c r="Z122" i="13"/>
  <c r="X122" i="13"/>
  <c r="Q32" i="60"/>
  <c r="D32" i="70" s="1"/>
  <c r="J32" i="70" s="1"/>
  <c r="R32" i="60"/>
  <c r="D32" i="74" s="1"/>
  <c r="J32" i="74" s="1"/>
  <c r="S32" i="60"/>
  <c r="D32" i="66" s="1"/>
  <c r="J32" i="66" s="1"/>
  <c r="P32" i="60"/>
  <c r="D32" i="62" s="1"/>
  <c r="J32" i="62" s="1"/>
  <c r="P35" i="60"/>
  <c r="D35" i="62" s="1"/>
  <c r="J35" i="62" s="1"/>
  <c r="Q35" i="60"/>
  <c r="D35" i="70" s="1"/>
  <c r="J35" i="70" s="1"/>
  <c r="R35" i="60"/>
  <c r="D35" i="74" s="1"/>
  <c r="J35" i="74" s="1"/>
  <c r="S35" i="60"/>
  <c r="D35" i="66" s="1"/>
  <c r="J35" i="66" s="1"/>
  <c r="AD122" i="7"/>
  <c r="P122" i="7"/>
  <c r="AR122" i="7" s="1"/>
  <c r="AF122" i="7"/>
  <c r="BH122" i="7" s="1"/>
  <c r="R122" i="7"/>
  <c r="AH122" i="7"/>
  <c r="BJ122" i="7" s="1"/>
  <c r="T122" i="7"/>
  <c r="AV122" i="7" s="1"/>
  <c r="AB122" i="7"/>
  <c r="V122" i="7"/>
  <c r="AX122" i="7" s="1"/>
  <c r="X122" i="7"/>
  <c r="Z122" i="7"/>
  <c r="BB122" i="7" s="1"/>
  <c r="P36" i="60"/>
  <c r="D36" i="62" s="1"/>
  <c r="J36" i="62" s="1"/>
  <c r="Q36" i="60"/>
  <c r="D36" i="70" s="1"/>
  <c r="J36" i="70" s="1"/>
  <c r="R36" i="60"/>
  <c r="D36" i="74" s="1"/>
  <c r="J36" i="74" s="1"/>
  <c r="S36" i="60"/>
  <c r="D36" i="66" s="1"/>
  <c r="J36" i="66" s="1"/>
  <c r="S34" i="60"/>
  <c r="D34" i="66" s="1"/>
  <c r="J34" i="66" s="1"/>
  <c r="Q34" i="60"/>
  <c r="D34" i="70" s="1"/>
  <c r="J34" i="70" s="1"/>
  <c r="R34" i="60"/>
  <c r="D34" i="74" s="1"/>
  <c r="J34" i="74" s="1"/>
  <c r="P34" i="60"/>
  <c r="D34" i="62" s="1"/>
  <c r="J34" i="62" s="1"/>
  <c r="T27" i="70"/>
  <c r="AB27" i="70"/>
  <c r="V27" i="70"/>
  <c r="W27" i="70"/>
  <c r="N27" i="70"/>
  <c r="X27" i="70"/>
  <c r="S27" i="70"/>
  <c r="AA27" i="70"/>
  <c r="U27" i="70"/>
  <c r="Y27" i="70"/>
  <c r="O27" i="70"/>
  <c r="P27" i="70"/>
  <c r="AC27" i="70"/>
  <c r="Z27" i="70"/>
  <c r="R33" i="60"/>
  <c r="D33" i="74" s="1"/>
  <c r="J33" i="74" s="1"/>
  <c r="S33" i="60"/>
  <c r="D33" i="66" s="1"/>
  <c r="J33" i="66" s="1"/>
  <c r="P33" i="60"/>
  <c r="D33" i="62" s="1"/>
  <c r="J33" i="62" s="1"/>
  <c r="Q33" i="60"/>
  <c r="D33" i="70" s="1"/>
  <c r="J33" i="70" s="1"/>
  <c r="P38" i="60"/>
  <c r="D38" i="62" s="1"/>
  <c r="J38" i="62" s="1"/>
  <c r="Q38" i="60"/>
  <c r="D38" i="70" s="1"/>
  <c r="J38" i="70" s="1"/>
  <c r="R38" i="60"/>
  <c r="D38" i="74" s="1"/>
  <c r="J38" i="74" s="1"/>
  <c r="S38" i="60"/>
  <c r="D38" i="66" s="1"/>
  <c r="J38" i="66" s="1"/>
  <c r="AL122" i="5"/>
  <c r="F31" i="60"/>
  <c r="D39" i="60"/>
  <c r="AH122" i="5"/>
  <c r="P37" i="60"/>
  <c r="D37" i="62" s="1"/>
  <c r="J37" i="62" s="1"/>
  <c r="Q37" i="60"/>
  <c r="D37" i="70" s="1"/>
  <c r="J37" i="70" s="1"/>
  <c r="R37" i="60"/>
  <c r="D37" i="74" s="1"/>
  <c r="J37" i="74" s="1"/>
  <c r="S37" i="60"/>
  <c r="D37" i="66" s="1"/>
  <c r="J37" i="66" s="1"/>
  <c r="P27" i="66" l="1"/>
  <c r="Q26" i="60"/>
  <c r="D26" i="70" s="1"/>
  <c r="J26" i="70" s="1"/>
  <c r="W26" i="70" s="1"/>
  <c r="P26" i="60"/>
  <c r="D26" i="62" s="1"/>
  <c r="J26" i="62" s="1"/>
  <c r="V26" i="62" s="1"/>
  <c r="R26" i="60"/>
  <c r="D26" i="74" s="1"/>
  <c r="J26" i="74" s="1"/>
  <c r="W26" i="74" s="1"/>
  <c r="O27" i="66"/>
  <c r="Q27" i="66"/>
  <c r="Z27" i="62"/>
  <c r="V27" i="62"/>
  <c r="N27" i="62"/>
  <c r="U27" i="62"/>
  <c r="O27" i="62"/>
  <c r="X27" i="62"/>
  <c r="W27" i="62"/>
  <c r="AB27" i="62"/>
  <c r="T27" i="62"/>
  <c r="S27" i="62"/>
  <c r="P27" i="62"/>
  <c r="AA27" i="62"/>
  <c r="Y27" i="62"/>
  <c r="Z27" i="74"/>
  <c r="AC27" i="74"/>
  <c r="P27" i="74"/>
  <c r="AA27" i="74"/>
  <c r="Y27" i="74"/>
  <c r="V27" i="74"/>
  <c r="O27" i="74"/>
  <c r="U27" i="74"/>
  <c r="X27" i="74"/>
  <c r="T27" i="74"/>
  <c r="S27" i="74"/>
  <c r="N27" i="74"/>
  <c r="AB27" i="74"/>
  <c r="S25" i="60"/>
  <c r="D25" i="66" s="1"/>
  <c r="J25" i="66" s="1"/>
  <c r="Q25" i="66" s="1"/>
  <c r="Q25" i="60"/>
  <c r="D25" i="70" s="1"/>
  <c r="J25" i="70" s="1"/>
  <c r="N25" i="70" s="1"/>
  <c r="R25" i="60"/>
  <c r="D25" i="74" s="1"/>
  <c r="J25" i="74" s="1"/>
  <c r="Y25" i="74" s="1"/>
  <c r="X122" i="4"/>
  <c r="Z122" i="4" s="1"/>
  <c r="D24" i="60"/>
  <c r="D16" i="60"/>
  <c r="F16" i="60" s="1"/>
  <c r="L16" i="60" s="1"/>
  <c r="AB122" i="13"/>
  <c r="D19" i="60"/>
  <c r="F19" i="60" s="1"/>
  <c r="L19" i="60" s="1"/>
  <c r="D15" i="60"/>
  <c r="D20" i="60"/>
  <c r="F20" i="60" s="1"/>
  <c r="L20" i="60" s="1"/>
  <c r="D18" i="60"/>
  <c r="D17" i="60"/>
  <c r="F17" i="60" s="1"/>
  <c r="L17" i="60" s="1"/>
  <c r="Q26" i="66"/>
  <c r="N26" i="66"/>
  <c r="P26" i="66"/>
  <c r="O26" i="66"/>
  <c r="D43" i="60"/>
  <c r="F43" i="60" s="1"/>
  <c r="S38" i="62"/>
  <c r="AA38" i="62"/>
  <c r="T38" i="62"/>
  <c r="AB38" i="62"/>
  <c r="U38" i="62"/>
  <c r="AC38" i="62"/>
  <c r="V38" i="62"/>
  <c r="N38" i="62"/>
  <c r="X38" i="62"/>
  <c r="O38" i="62"/>
  <c r="W38" i="62"/>
  <c r="P38" i="62"/>
  <c r="Y38" i="62"/>
  <c r="Z38" i="62"/>
  <c r="N33" i="66"/>
  <c r="O33" i="66"/>
  <c r="P33" i="66"/>
  <c r="Q33" i="66"/>
  <c r="W36" i="74"/>
  <c r="N36" i="74"/>
  <c r="X36" i="74"/>
  <c r="O36" i="74"/>
  <c r="Y36" i="74"/>
  <c r="P36" i="74"/>
  <c r="Z36" i="74"/>
  <c r="T36" i="74"/>
  <c r="AB36" i="74"/>
  <c r="S36" i="74"/>
  <c r="U36" i="74"/>
  <c r="V36" i="74"/>
  <c r="AA36" i="74"/>
  <c r="AC36" i="74"/>
  <c r="D49" i="60"/>
  <c r="F49" i="60" s="1"/>
  <c r="F122" i="50"/>
  <c r="N34" i="62"/>
  <c r="O34" i="62"/>
  <c r="Y34" i="62"/>
  <c r="P34" i="62"/>
  <c r="Z34" i="62"/>
  <c r="X34" i="62"/>
  <c r="AA34" i="62"/>
  <c r="AB34" i="62"/>
  <c r="S34" i="62"/>
  <c r="AC34" i="62"/>
  <c r="U34" i="62"/>
  <c r="T34" i="62"/>
  <c r="V34" i="62"/>
  <c r="W34" i="62"/>
  <c r="T36" i="70"/>
  <c r="AB36" i="70"/>
  <c r="W36" i="70"/>
  <c r="Y36" i="70"/>
  <c r="N36" i="70"/>
  <c r="Z36" i="70"/>
  <c r="O36" i="70"/>
  <c r="P36" i="70"/>
  <c r="S36" i="70"/>
  <c r="U36" i="70"/>
  <c r="V36" i="70"/>
  <c r="X36" i="70"/>
  <c r="AC36" i="70"/>
  <c r="AA36" i="70"/>
  <c r="Z122" i="50"/>
  <c r="D47" i="60"/>
  <c r="F47" i="60" s="1"/>
  <c r="D48" i="60"/>
  <c r="F48" i="60" s="1"/>
  <c r="AJ122" i="7"/>
  <c r="AL122" i="7" s="1"/>
  <c r="D42" i="60"/>
  <c r="W32" i="62"/>
  <c r="N32" i="62"/>
  <c r="X32" i="62"/>
  <c r="O32" i="62"/>
  <c r="Y32" i="62"/>
  <c r="P32" i="62"/>
  <c r="Z32" i="62"/>
  <c r="AC32" i="62"/>
  <c r="S32" i="62"/>
  <c r="T32" i="62"/>
  <c r="V32" i="62"/>
  <c r="AA32" i="62"/>
  <c r="AB32" i="62"/>
  <c r="U32" i="62"/>
  <c r="Q36" i="66"/>
  <c r="N36" i="66"/>
  <c r="P36" i="66"/>
  <c r="O36" i="66"/>
  <c r="AT122" i="5"/>
  <c r="AP122" i="5"/>
  <c r="AV122" i="5"/>
  <c r="AN122" i="5"/>
  <c r="AX122" i="5"/>
  <c r="AZ122" i="5"/>
  <c r="AR122" i="5"/>
  <c r="BB122" i="5"/>
  <c r="W34" i="74"/>
  <c r="N34" i="74"/>
  <c r="X34" i="74"/>
  <c r="O34" i="74"/>
  <c r="Y34" i="74"/>
  <c r="P34" i="74"/>
  <c r="Z34" i="74"/>
  <c r="T34" i="74"/>
  <c r="AB34" i="74"/>
  <c r="V34" i="74"/>
  <c r="AA34" i="74"/>
  <c r="AC34" i="74"/>
  <c r="U34" i="74"/>
  <c r="S34" i="74"/>
  <c r="S36" i="62"/>
  <c r="AA36" i="62"/>
  <c r="T36" i="62"/>
  <c r="AB36" i="62"/>
  <c r="U36" i="62"/>
  <c r="AC36" i="62"/>
  <c r="V36" i="62"/>
  <c r="N36" i="62"/>
  <c r="X36" i="62"/>
  <c r="P36" i="62"/>
  <c r="W36" i="62"/>
  <c r="Y36" i="62"/>
  <c r="Z36" i="62"/>
  <c r="O36" i="62"/>
  <c r="AZ122" i="7"/>
  <c r="D46" i="60"/>
  <c r="D51" i="60"/>
  <c r="Q32" i="66"/>
  <c r="N32" i="66"/>
  <c r="P32" i="66"/>
  <c r="O32" i="66"/>
  <c r="T34" i="70"/>
  <c r="AB34" i="70"/>
  <c r="W34" i="70"/>
  <c r="Y34" i="70"/>
  <c r="N34" i="70"/>
  <c r="Z34" i="70"/>
  <c r="S34" i="70"/>
  <c r="U34" i="70"/>
  <c r="V34" i="70"/>
  <c r="X34" i="70"/>
  <c r="O34" i="70"/>
  <c r="P34" i="70"/>
  <c r="AA34" i="70"/>
  <c r="AC34" i="70"/>
  <c r="O35" i="66"/>
  <c r="N35" i="66"/>
  <c r="P35" i="66"/>
  <c r="Q35" i="66"/>
  <c r="W32" i="74"/>
  <c r="N32" i="74"/>
  <c r="X32" i="74"/>
  <c r="O32" i="74"/>
  <c r="Y32" i="74"/>
  <c r="P32" i="74"/>
  <c r="Z32" i="74"/>
  <c r="T32" i="74"/>
  <c r="AB32" i="74"/>
  <c r="S32" i="74"/>
  <c r="U32" i="74"/>
  <c r="V32" i="74"/>
  <c r="AA32" i="74"/>
  <c r="AC32" i="74"/>
  <c r="O37" i="66"/>
  <c r="N37" i="66"/>
  <c r="P37" i="66"/>
  <c r="Q37" i="66"/>
  <c r="W37" i="74"/>
  <c r="N37" i="74"/>
  <c r="X37" i="74"/>
  <c r="O37" i="74"/>
  <c r="Y37" i="74"/>
  <c r="P37" i="74"/>
  <c r="Z37" i="74"/>
  <c r="T37" i="74"/>
  <c r="AB37" i="74"/>
  <c r="S37" i="74"/>
  <c r="U37" i="74"/>
  <c r="V37" i="74"/>
  <c r="AA37" i="74"/>
  <c r="AC37" i="74"/>
  <c r="Q34" i="66"/>
  <c r="N34" i="66"/>
  <c r="P34" i="66"/>
  <c r="O34" i="66"/>
  <c r="D50" i="60"/>
  <c r="F50" i="60" s="1"/>
  <c r="W35" i="74"/>
  <c r="N35" i="74"/>
  <c r="X35" i="74"/>
  <c r="O35" i="74"/>
  <c r="Y35" i="74"/>
  <c r="P35" i="74"/>
  <c r="Z35" i="74"/>
  <c r="T35" i="74"/>
  <c r="AB35" i="74"/>
  <c r="AC35" i="74"/>
  <c r="S35" i="74"/>
  <c r="U35" i="74"/>
  <c r="V35" i="74"/>
  <c r="AA35" i="74"/>
  <c r="T32" i="70"/>
  <c r="AB32" i="70"/>
  <c r="V32" i="70"/>
  <c r="W32" i="70"/>
  <c r="S32" i="70"/>
  <c r="AA32" i="70"/>
  <c r="N32" i="70"/>
  <c r="O32" i="70"/>
  <c r="P32" i="70"/>
  <c r="U32" i="70"/>
  <c r="X32" i="70"/>
  <c r="Y32" i="70"/>
  <c r="AC32" i="70"/>
  <c r="Z32" i="70"/>
  <c r="W33" i="62"/>
  <c r="N33" i="62"/>
  <c r="X33" i="62"/>
  <c r="O33" i="62"/>
  <c r="Y33" i="62"/>
  <c r="P33" i="62"/>
  <c r="Z33" i="62"/>
  <c r="AC33" i="62"/>
  <c r="S33" i="62"/>
  <c r="T33" i="62"/>
  <c r="V33" i="62"/>
  <c r="U33" i="62"/>
  <c r="AA33" i="62"/>
  <c r="AB33" i="62"/>
  <c r="W33" i="74"/>
  <c r="N33" i="74"/>
  <c r="X33" i="74"/>
  <c r="O33" i="74"/>
  <c r="Y33" i="74"/>
  <c r="P33" i="74"/>
  <c r="Z33" i="74"/>
  <c r="T33" i="74"/>
  <c r="AB33" i="74"/>
  <c r="S33" i="74"/>
  <c r="U33" i="74"/>
  <c r="V33" i="74"/>
  <c r="AA33" i="74"/>
  <c r="AC33" i="74"/>
  <c r="Q38" i="66"/>
  <c r="P38" i="66"/>
  <c r="O38" i="66"/>
  <c r="N38" i="66"/>
  <c r="W25" i="62"/>
  <c r="N25" i="62"/>
  <c r="X25" i="62"/>
  <c r="O25" i="62"/>
  <c r="Y25" i="62"/>
  <c r="P25" i="62"/>
  <c r="Z25" i="62"/>
  <c r="AC25" i="62"/>
  <c r="S25" i="62"/>
  <c r="T25" i="62"/>
  <c r="V25" i="62"/>
  <c r="U25" i="62"/>
  <c r="AA25" i="62"/>
  <c r="AB25" i="62"/>
  <c r="BF122" i="7"/>
  <c r="D44" i="60"/>
  <c r="F44" i="60" s="1"/>
  <c r="T35" i="70"/>
  <c r="AB35" i="70"/>
  <c r="W35" i="70"/>
  <c r="S35" i="70"/>
  <c r="U35" i="70"/>
  <c r="O35" i="70"/>
  <c r="P35" i="70"/>
  <c r="V35" i="70"/>
  <c r="X35" i="70"/>
  <c r="AA35" i="70"/>
  <c r="AC35" i="70"/>
  <c r="N35" i="70"/>
  <c r="Y35" i="70"/>
  <c r="Z35" i="70"/>
  <c r="T38" i="70"/>
  <c r="AB38" i="70"/>
  <c r="X38" i="70"/>
  <c r="N38" i="70"/>
  <c r="Y38" i="70"/>
  <c r="Z38" i="70"/>
  <c r="AA38" i="70"/>
  <c r="O38" i="70"/>
  <c r="AC38" i="70"/>
  <c r="P38" i="70"/>
  <c r="S38" i="70"/>
  <c r="U38" i="70"/>
  <c r="W38" i="70"/>
  <c r="V38" i="70"/>
  <c r="T37" i="70"/>
  <c r="AB37" i="70"/>
  <c r="W37" i="70"/>
  <c r="S37" i="70"/>
  <c r="U37" i="70"/>
  <c r="AA37" i="70"/>
  <c r="N37" i="70"/>
  <c r="AC37" i="70"/>
  <c r="O37" i="70"/>
  <c r="P37" i="70"/>
  <c r="Y37" i="70"/>
  <c r="Z37" i="70"/>
  <c r="V37" i="70"/>
  <c r="X37" i="70"/>
  <c r="S37" i="62"/>
  <c r="AA37" i="62"/>
  <c r="T37" i="62"/>
  <c r="AB37" i="62"/>
  <c r="U37" i="62"/>
  <c r="AC37" i="62"/>
  <c r="V37" i="62"/>
  <c r="N37" i="62"/>
  <c r="X37" i="62"/>
  <c r="Y37" i="62"/>
  <c r="Z37" i="62"/>
  <c r="O37" i="62"/>
  <c r="P37" i="62"/>
  <c r="W37" i="62"/>
  <c r="L31" i="60"/>
  <c r="F39" i="60"/>
  <c r="W38" i="74"/>
  <c r="N38" i="74"/>
  <c r="O38" i="74"/>
  <c r="P38" i="74"/>
  <c r="Z38" i="74"/>
  <c r="T38" i="74"/>
  <c r="V38" i="74"/>
  <c r="X38" i="74"/>
  <c r="Y38" i="74"/>
  <c r="AA38" i="74"/>
  <c r="AB38" i="74"/>
  <c r="S38" i="74"/>
  <c r="U38" i="74"/>
  <c r="AC38" i="74"/>
  <c r="T33" i="70"/>
  <c r="AB33" i="70"/>
  <c r="V33" i="70"/>
  <c r="W33" i="70"/>
  <c r="S33" i="70"/>
  <c r="N33" i="70"/>
  <c r="AC33" i="70"/>
  <c r="O33" i="70"/>
  <c r="P33" i="70"/>
  <c r="U33" i="70"/>
  <c r="X33" i="70"/>
  <c r="Y33" i="70"/>
  <c r="Z33" i="70"/>
  <c r="AA33" i="70"/>
  <c r="BD122" i="7"/>
  <c r="AT122" i="7"/>
  <c r="D56" i="60"/>
  <c r="F56" i="60" s="1"/>
  <c r="P35" i="62"/>
  <c r="S35" i="62"/>
  <c r="AA35" i="62"/>
  <c r="T35" i="62"/>
  <c r="AB35" i="62"/>
  <c r="U35" i="62"/>
  <c r="AC35" i="62"/>
  <c r="V35" i="62"/>
  <c r="X35" i="62"/>
  <c r="N35" i="62"/>
  <c r="O35" i="62"/>
  <c r="W35" i="62"/>
  <c r="Z35" i="62"/>
  <c r="Y35" i="62"/>
  <c r="F18" i="60" l="1"/>
  <c r="L18" i="60" s="1"/>
  <c r="AB26" i="70"/>
  <c r="S26" i="74"/>
  <c r="T26" i="62"/>
  <c r="X26" i="62"/>
  <c r="AC26" i="62"/>
  <c r="S26" i="62"/>
  <c r="U26" i="62"/>
  <c r="O26" i="62"/>
  <c r="Y26" i="62"/>
  <c r="W26" i="62"/>
  <c r="N26" i="62"/>
  <c r="AA26" i="62"/>
  <c r="Z26" i="62"/>
  <c r="P26" i="62"/>
  <c r="X26" i="74"/>
  <c r="AB26" i="62"/>
  <c r="U26" i="70"/>
  <c r="T26" i="70"/>
  <c r="AC26" i="70"/>
  <c r="X26" i="70"/>
  <c r="N26" i="70"/>
  <c r="N26" i="74"/>
  <c r="O26" i="74"/>
  <c r="Z26" i="74"/>
  <c r="Y26" i="74"/>
  <c r="T26" i="74"/>
  <c r="U26" i="74"/>
  <c r="AC26" i="74"/>
  <c r="V26" i="74"/>
  <c r="P26" i="74"/>
  <c r="AB26" i="74"/>
  <c r="AA26" i="74"/>
  <c r="V26" i="70"/>
  <c r="S26" i="70"/>
  <c r="O26" i="70"/>
  <c r="Z26" i="70"/>
  <c r="P26" i="70"/>
  <c r="Y26" i="70"/>
  <c r="AA26" i="70"/>
  <c r="P25" i="66"/>
  <c r="O25" i="66"/>
  <c r="N25" i="66"/>
  <c r="O25" i="74"/>
  <c r="Z25" i="70"/>
  <c r="V25" i="74"/>
  <c r="AC25" i="70"/>
  <c r="W25" i="70"/>
  <c r="V25" i="70"/>
  <c r="AB25" i="70"/>
  <c r="O25" i="70"/>
  <c r="T25" i="70"/>
  <c r="P25" i="70"/>
  <c r="AA25" i="70"/>
  <c r="S25" i="70"/>
  <c r="U25" i="70"/>
  <c r="X25" i="70"/>
  <c r="Y25" i="70"/>
  <c r="S25" i="74"/>
  <c r="X25" i="74"/>
  <c r="AC25" i="74"/>
  <c r="N25" i="74"/>
  <c r="AB25" i="74"/>
  <c r="T25" i="74"/>
  <c r="W25" i="74"/>
  <c r="Z25" i="74"/>
  <c r="U25" i="74"/>
  <c r="P25" i="74"/>
  <c r="AA25" i="74"/>
  <c r="D28" i="60"/>
  <c r="F24" i="60"/>
  <c r="F15" i="60"/>
  <c r="D21" i="60"/>
  <c r="Q19" i="60"/>
  <c r="D19" i="70" s="1"/>
  <c r="J19" i="70" s="1"/>
  <c r="R19" i="60"/>
  <c r="D19" i="74" s="1"/>
  <c r="J19" i="74" s="1"/>
  <c r="S19" i="60"/>
  <c r="D19" i="66" s="1"/>
  <c r="J19" i="66" s="1"/>
  <c r="P19" i="60"/>
  <c r="D19" i="62" s="1"/>
  <c r="J19" i="62" s="1"/>
  <c r="AD122" i="13"/>
  <c r="R17" i="60"/>
  <c r="D17" i="74" s="1"/>
  <c r="J17" i="74" s="1"/>
  <c r="S17" i="60"/>
  <c r="D17" i="66" s="1"/>
  <c r="J17" i="66" s="1"/>
  <c r="P17" i="60"/>
  <c r="D17" i="62" s="1"/>
  <c r="J17" i="62" s="1"/>
  <c r="Q17" i="60"/>
  <c r="D17" i="70" s="1"/>
  <c r="J17" i="70" s="1"/>
  <c r="S20" i="60"/>
  <c r="D20" i="66" s="1"/>
  <c r="J20" i="66" s="1"/>
  <c r="Q20" i="60"/>
  <c r="D20" i="70" s="1"/>
  <c r="J20" i="70" s="1"/>
  <c r="R20" i="60"/>
  <c r="D20" i="74" s="1"/>
  <c r="J20" i="74" s="1"/>
  <c r="P20" i="60"/>
  <c r="D20" i="62" s="1"/>
  <c r="J20" i="62" s="1"/>
  <c r="R16" i="60"/>
  <c r="D16" i="74" s="1"/>
  <c r="J16" i="74" s="1"/>
  <c r="Q16" i="60"/>
  <c r="D16" i="70" s="1"/>
  <c r="J16" i="70" s="1"/>
  <c r="S16" i="60"/>
  <c r="D16" i="66" s="1"/>
  <c r="J16" i="66" s="1"/>
  <c r="P16" i="60"/>
  <c r="D16" i="62" s="1"/>
  <c r="J16" i="62" s="1"/>
  <c r="D23" i="78"/>
  <c r="J23" i="78" s="1"/>
  <c r="L49" i="60"/>
  <c r="D24" i="78"/>
  <c r="J24" i="78" s="1"/>
  <c r="L50" i="60"/>
  <c r="F51" i="60"/>
  <c r="D21" i="78"/>
  <c r="J21" i="78" s="1"/>
  <c r="L47" i="60"/>
  <c r="D22" i="78"/>
  <c r="J22" i="78" s="1"/>
  <c r="L48" i="60"/>
  <c r="D46" i="61"/>
  <c r="F46" i="60"/>
  <c r="P31" i="60"/>
  <c r="Q31" i="60"/>
  <c r="R31" i="60"/>
  <c r="S31" i="60"/>
  <c r="L39" i="60"/>
  <c r="D30" i="78"/>
  <c r="J30" i="78" s="1"/>
  <c r="L56" i="60"/>
  <c r="L43" i="60"/>
  <c r="D17" i="78"/>
  <c r="J17" i="78" s="1"/>
  <c r="AA122" i="50"/>
  <c r="D18" i="78"/>
  <c r="J18" i="78" s="1"/>
  <c r="L44" i="60"/>
  <c r="BD122" i="5"/>
  <c r="F42" i="60"/>
  <c r="L122" i="50"/>
  <c r="BL122" i="7"/>
  <c r="S18" i="60" l="1"/>
  <c r="D18" i="66" s="1"/>
  <c r="J18" i="66" s="1"/>
  <c r="O18" i="66" s="1"/>
  <c r="R18" i="60"/>
  <c r="D18" i="74" s="1"/>
  <c r="J18" i="74" s="1"/>
  <c r="N18" i="74" s="1"/>
  <c r="P18" i="60"/>
  <c r="D18" i="62" s="1"/>
  <c r="J18" i="62" s="1"/>
  <c r="N18" i="62" s="1"/>
  <c r="Q18" i="60"/>
  <c r="D18" i="70" s="1"/>
  <c r="J18" i="70" s="1"/>
  <c r="S18" i="70" s="1"/>
  <c r="L24" i="60"/>
  <c r="F28" i="60"/>
  <c r="U16" i="70"/>
  <c r="Y16" i="70"/>
  <c r="AC16" i="70"/>
  <c r="Z16" i="70"/>
  <c r="V16" i="70"/>
  <c r="O16" i="70"/>
  <c r="W16" i="70"/>
  <c r="P16" i="70"/>
  <c r="N16" i="70"/>
  <c r="X16" i="70"/>
  <c r="T16" i="70"/>
  <c r="S16" i="70"/>
  <c r="AB16" i="70"/>
  <c r="AA16" i="70"/>
  <c r="O16" i="66"/>
  <c r="Q16" i="66"/>
  <c r="N16" i="66"/>
  <c r="P16" i="66"/>
  <c r="T18" i="74"/>
  <c r="V18" i="74"/>
  <c r="X18" i="74"/>
  <c r="AA18" i="74"/>
  <c r="T16" i="74"/>
  <c r="W16" i="74"/>
  <c r="AB16" i="74"/>
  <c r="Y16" i="74"/>
  <c r="AA16" i="74"/>
  <c r="N16" i="74"/>
  <c r="S16" i="74"/>
  <c r="O16" i="74"/>
  <c r="P16" i="74"/>
  <c r="Z16" i="74"/>
  <c r="X16" i="74"/>
  <c r="U16" i="74"/>
  <c r="V16" i="74"/>
  <c r="AC16" i="74"/>
  <c r="Z20" i="62"/>
  <c r="U20" i="62"/>
  <c r="W20" i="62"/>
  <c r="AC20" i="62"/>
  <c r="P20" i="62"/>
  <c r="S20" i="62"/>
  <c r="X20" i="62"/>
  <c r="AA20" i="62"/>
  <c r="Y20" i="62"/>
  <c r="N20" i="62"/>
  <c r="V20" i="62"/>
  <c r="AB20" i="62"/>
  <c r="O20" i="62"/>
  <c r="T20" i="62"/>
  <c r="AA17" i="70"/>
  <c r="T17" i="70"/>
  <c r="U17" i="70"/>
  <c r="AB17" i="70"/>
  <c r="Y17" i="70"/>
  <c r="N17" i="70"/>
  <c r="S17" i="70"/>
  <c r="V17" i="70"/>
  <c r="O17" i="70"/>
  <c r="W17" i="70"/>
  <c r="P17" i="70"/>
  <c r="Z17" i="70"/>
  <c r="X17" i="70"/>
  <c r="AC17" i="70"/>
  <c r="Y19" i="62"/>
  <c r="P19" i="62"/>
  <c r="T19" i="62"/>
  <c r="AC19" i="62"/>
  <c r="O19" i="62"/>
  <c r="X19" i="62"/>
  <c r="Z19" i="62"/>
  <c r="U19" i="62"/>
  <c r="AA19" i="62"/>
  <c r="S19" i="62"/>
  <c r="AB19" i="62"/>
  <c r="W19" i="62"/>
  <c r="V19" i="62"/>
  <c r="N19" i="62"/>
  <c r="F21" i="60"/>
  <c r="L15" i="60"/>
  <c r="N20" i="74"/>
  <c r="S20" i="74"/>
  <c r="P20" i="74"/>
  <c r="X20" i="74"/>
  <c r="U20" i="74"/>
  <c r="W20" i="74"/>
  <c r="AB20" i="74"/>
  <c r="O20" i="74"/>
  <c r="V20" i="74"/>
  <c r="AC20" i="74"/>
  <c r="Y20" i="74"/>
  <c r="AA20" i="74"/>
  <c r="T20" i="74"/>
  <c r="Z20" i="74"/>
  <c r="P17" i="62"/>
  <c r="N17" i="62"/>
  <c r="U17" i="62"/>
  <c r="W17" i="62"/>
  <c r="Z17" i="62"/>
  <c r="O17" i="62"/>
  <c r="S17" i="62"/>
  <c r="AA17" i="62"/>
  <c r="T17" i="62"/>
  <c r="AC17" i="62"/>
  <c r="V17" i="62"/>
  <c r="AB17" i="62"/>
  <c r="X17" i="62"/>
  <c r="Y17" i="62"/>
  <c r="O19" i="66"/>
  <c r="P19" i="66"/>
  <c r="N19" i="66"/>
  <c r="Q19" i="66"/>
  <c r="N20" i="70"/>
  <c r="U20" i="70"/>
  <c r="Z20" i="70"/>
  <c r="X20" i="70"/>
  <c r="Y20" i="70"/>
  <c r="T20" i="70"/>
  <c r="S20" i="70"/>
  <c r="AA20" i="70"/>
  <c r="O20" i="70"/>
  <c r="V20" i="70"/>
  <c r="AB20" i="70"/>
  <c r="P20" i="70"/>
  <c r="W20" i="70"/>
  <c r="AC20" i="70"/>
  <c r="P17" i="66"/>
  <c r="Q17" i="66"/>
  <c r="O17" i="66"/>
  <c r="N17" i="66"/>
  <c r="O19" i="74"/>
  <c r="AA19" i="74"/>
  <c r="T19" i="74"/>
  <c r="N19" i="74"/>
  <c r="S19" i="74"/>
  <c r="Y19" i="74"/>
  <c r="V19" i="74"/>
  <c r="P19" i="74"/>
  <c r="U19" i="74"/>
  <c r="AC19" i="74"/>
  <c r="Z19" i="74"/>
  <c r="W19" i="74"/>
  <c r="AB19" i="74"/>
  <c r="X19" i="74"/>
  <c r="O20" i="66"/>
  <c r="P20" i="66"/>
  <c r="N20" i="66"/>
  <c r="Q20" i="66"/>
  <c r="N17" i="74"/>
  <c r="S17" i="74"/>
  <c r="O17" i="74"/>
  <c r="V17" i="74"/>
  <c r="Z17" i="74"/>
  <c r="X17" i="74"/>
  <c r="U17" i="74"/>
  <c r="W17" i="74"/>
  <c r="Y17" i="74"/>
  <c r="AA17" i="74"/>
  <c r="P17" i="74"/>
  <c r="AC17" i="74"/>
  <c r="T17" i="74"/>
  <c r="AB17" i="74"/>
  <c r="AB19" i="70"/>
  <c r="P19" i="70"/>
  <c r="V19" i="70"/>
  <c r="U19" i="70"/>
  <c r="O19" i="70"/>
  <c r="W19" i="70"/>
  <c r="Y19" i="70"/>
  <c r="X19" i="70"/>
  <c r="N19" i="70"/>
  <c r="AC19" i="70"/>
  <c r="T19" i="70"/>
  <c r="Z19" i="70"/>
  <c r="S19" i="70"/>
  <c r="AA19" i="70"/>
  <c r="N16" i="62"/>
  <c r="W16" i="62"/>
  <c r="AB16" i="62"/>
  <c r="V16" i="62"/>
  <c r="O16" i="62"/>
  <c r="AC16" i="62"/>
  <c r="P16" i="62"/>
  <c r="T16" i="62"/>
  <c r="X16" i="62"/>
  <c r="Z16" i="62"/>
  <c r="U16" i="62"/>
  <c r="S16" i="62"/>
  <c r="AA16" i="62"/>
  <c r="Y16" i="62"/>
  <c r="D16" i="78"/>
  <c r="L42" i="60"/>
  <c r="D20" i="78"/>
  <c r="L46" i="60"/>
  <c r="F46" i="61"/>
  <c r="L46" i="61" s="1"/>
  <c r="P122" i="50"/>
  <c r="AC122" i="50" s="1"/>
  <c r="R122" i="50"/>
  <c r="AE122" i="50" s="1"/>
  <c r="T122" i="50"/>
  <c r="AG122" i="50" s="1"/>
  <c r="S18" i="78"/>
  <c r="AA18" i="78"/>
  <c r="T18" i="78"/>
  <c r="AB18" i="78"/>
  <c r="U18" i="78"/>
  <c r="AC18" i="78"/>
  <c r="V18" i="78"/>
  <c r="AD18" i="78"/>
  <c r="AE18" i="78"/>
  <c r="N18" i="78"/>
  <c r="AF18" i="78"/>
  <c r="O18" i="78"/>
  <c r="AG18" i="78"/>
  <c r="P18" i="78"/>
  <c r="W18" i="78"/>
  <c r="X18" i="78"/>
  <c r="Z18" i="78"/>
  <c r="Y18" i="78"/>
  <c r="S30" i="78"/>
  <c r="AA30" i="78"/>
  <c r="T30" i="78"/>
  <c r="AB30" i="78"/>
  <c r="U30" i="78"/>
  <c r="AC30" i="78"/>
  <c r="V30" i="78"/>
  <c r="AD30" i="78"/>
  <c r="W30" i="78"/>
  <c r="X30" i="78"/>
  <c r="Y30" i="78"/>
  <c r="Z30" i="78"/>
  <c r="AE30" i="78"/>
  <c r="N30" i="78"/>
  <c r="AF30" i="78"/>
  <c r="P30" i="78"/>
  <c r="O30" i="78"/>
  <c r="AG30" i="78"/>
  <c r="S21" i="78"/>
  <c r="AA21" i="78"/>
  <c r="T21" i="78"/>
  <c r="AB21" i="78"/>
  <c r="U21" i="78"/>
  <c r="AC21" i="78"/>
  <c r="V21" i="78"/>
  <c r="AD21" i="78"/>
  <c r="W21" i="78"/>
  <c r="X21" i="78"/>
  <c r="Y21" i="78"/>
  <c r="Z21" i="78"/>
  <c r="AE21" i="78"/>
  <c r="N21" i="78"/>
  <c r="AF21" i="78"/>
  <c r="P21" i="78"/>
  <c r="O21" i="78"/>
  <c r="AG21" i="78"/>
  <c r="W24" i="78"/>
  <c r="AE24" i="78"/>
  <c r="N24" i="78"/>
  <c r="X24" i="78"/>
  <c r="AF24" i="78"/>
  <c r="O24" i="78"/>
  <c r="Y24" i="78"/>
  <c r="AG24" i="78"/>
  <c r="P24" i="78"/>
  <c r="Z24" i="78"/>
  <c r="AA24" i="78"/>
  <c r="AB24" i="78"/>
  <c r="AC24" i="78"/>
  <c r="AD24" i="78"/>
  <c r="S24" i="78"/>
  <c r="T24" i="78"/>
  <c r="V24" i="78"/>
  <c r="U24" i="78"/>
  <c r="D31" i="62"/>
  <c r="P39" i="60"/>
  <c r="D31" i="70"/>
  <c r="Q39" i="60"/>
  <c r="S39" i="60"/>
  <c r="D31" i="66"/>
  <c r="D25" i="78"/>
  <c r="J25" i="78" s="1"/>
  <c r="L51" i="60"/>
  <c r="W17" i="78"/>
  <c r="AE17" i="78"/>
  <c r="N17" i="78"/>
  <c r="X17" i="78"/>
  <c r="AF17" i="78"/>
  <c r="O17" i="78"/>
  <c r="Y17" i="78"/>
  <c r="AG17" i="78"/>
  <c r="P17" i="78"/>
  <c r="Z17" i="78"/>
  <c r="S17" i="78"/>
  <c r="T17" i="78"/>
  <c r="U17" i="78"/>
  <c r="V17" i="78"/>
  <c r="AA17" i="78"/>
  <c r="AB17" i="78"/>
  <c r="AD17" i="78"/>
  <c r="AC17" i="78"/>
  <c r="D31" i="74"/>
  <c r="R39" i="60"/>
  <c r="W22" i="78"/>
  <c r="AE22" i="78"/>
  <c r="N22" i="78"/>
  <c r="X22" i="78"/>
  <c r="AF22" i="78"/>
  <c r="O22" i="78"/>
  <c r="Y22" i="78"/>
  <c r="AG22" i="78"/>
  <c r="P22" i="78"/>
  <c r="Z22" i="78"/>
  <c r="S22" i="78"/>
  <c r="T22" i="78"/>
  <c r="U22" i="78"/>
  <c r="V22" i="78"/>
  <c r="AA22" i="78"/>
  <c r="AB22" i="78"/>
  <c r="AD22" i="78"/>
  <c r="AC22" i="78"/>
  <c r="S23" i="78"/>
  <c r="AA23" i="78"/>
  <c r="T23" i="78"/>
  <c r="AB23" i="78"/>
  <c r="U23" i="78"/>
  <c r="AC23" i="78"/>
  <c r="V23" i="78"/>
  <c r="AD23" i="78"/>
  <c r="AE23" i="78"/>
  <c r="N23" i="78"/>
  <c r="AF23" i="78"/>
  <c r="O23" i="78"/>
  <c r="AG23" i="78"/>
  <c r="P23" i="78"/>
  <c r="W23" i="78"/>
  <c r="X23" i="78"/>
  <c r="Z23" i="78"/>
  <c r="Y23" i="78"/>
  <c r="Q18" i="66" l="1"/>
  <c r="N18" i="66"/>
  <c r="P18" i="66"/>
  <c r="W18" i="70"/>
  <c r="AC18" i="70"/>
  <c r="U18" i="74"/>
  <c r="O18" i="74"/>
  <c r="W18" i="62"/>
  <c r="AA18" i="62"/>
  <c r="Z18" i="74"/>
  <c r="AB18" i="74"/>
  <c r="T18" i="70"/>
  <c r="P18" i="70"/>
  <c r="AB18" i="70"/>
  <c r="Y18" i="70"/>
  <c r="AA18" i="70"/>
  <c r="N18" i="70"/>
  <c r="W18" i="74"/>
  <c r="P18" i="74"/>
  <c r="AC18" i="74"/>
  <c r="S18" i="74"/>
  <c r="Y18" i="74"/>
  <c r="U18" i="62"/>
  <c r="Z18" i="62"/>
  <c r="T18" i="62"/>
  <c r="V18" i="62"/>
  <c r="O18" i="62"/>
  <c r="S18" i="62"/>
  <c r="AC18" i="62"/>
  <c r="U18" i="70"/>
  <c r="O18" i="70"/>
  <c r="X18" i="70"/>
  <c r="V18" i="70"/>
  <c r="Z18" i="70"/>
  <c r="X18" i="62"/>
  <c r="AB18" i="62"/>
  <c r="Y18" i="62"/>
  <c r="P18" i="62"/>
  <c r="L28" i="60"/>
  <c r="R24" i="60"/>
  <c r="Q24" i="60"/>
  <c r="P24" i="60"/>
  <c r="S24" i="60"/>
  <c r="P15" i="60"/>
  <c r="R15" i="60"/>
  <c r="Q15" i="60"/>
  <c r="S15" i="60"/>
  <c r="L21" i="60"/>
  <c r="D20" i="79"/>
  <c r="J20" i="79" s="1"/>
  <c r="J20" i="78"/>
  <c r="S25" i="78"/>
  <c r="AA25" i="78"/>
  <c r="T25" i="78"/>
  <c r="AB25" i="78"/>
  <c r="U25" i="78"/>
  <c r="AC25" i="78"/>
  <c r="V25" i="78"/>
  <c r="AD25" i="78"/>
  <c r="W25" i="78"/>
  <c r="X25" i="78"/>
  <c r="Y25" i="78"/>
  <c r="Z25" i="78"/>
  <c r="AE25" i="78"/>
  <c r="N25" i="78"/>
  <c r="AF25" i="78"/>
  <c r="P25" i="78"/>
  <c r="AG25" i="78"/>
  <c r="O25" i="78"/>
  <c r="J16" i="78"/>
  <c r="D55" i="60"/>
  <c r="F55" i="60" s="1"/>
  <c r="D54" i="60"/>
  <c r="F54" i="60" s="1"/>
  <c r="D39" i="66"/>
  <c r="J31" i="66"/>
  <c r="J31" i="74"/>
  <c r="D39" i="74"/>
  <c r="D53" i="60"/>
  <c r="J31" i="70"/>
  <c r="D39" i="70"/>
  <c r="J31" i="62"/>
  <c r="D39" i="62"/>
  <c r="AA20" i="79" l="1"/>
  <c r="S20" i="79"/>
  <c r="O20" i="79"/>
  <c r="U20" i="79"/>
  <c r="AB20" i="79"/>
  <c r="Z20" i="79"/>
  <c r="P20" i="79"/>
  <c r="Y20" i="79"/>
  <c r="V20" i="79"/>
  <c r="AG20" i="79"/>
  <c r="AC20" i="79"/>
  <c r="AF20" i="79"/>
  <c r="X20" i="79"/>
  <c r="N20" i="79"/>
  <c r="AD20" i="79"/>
  <c r="AE20" i="79"/>
  <c r="W20" i="79"/>
  <c r="T20" i="79"/>
  <c r="S28" i="60"/>
  <c r="D24" i="66"/>
  <c r="D24" i="62"/>
  <c r="P28" i="60"/>
  <c r="D24" i="70"/>
  <c r="Q28" i="60"/>
  <c r="D24" i="74"/>
  <c r="R28" i="60"/>
  <c r="D15" i="70"/>
  <c r="Q21" i="60"/>
  <c r="D15" i="74"/>
  <c r="R21" i="60"/>
  <c r="S21" i="60"/>
  <c r="D15" i="66"/>
  <c r="D15" i="62"/>
  <c r="P21" i="60"/>
  <c r="W31" i="74"/>
  <c r="W39" i="74" s="1"/>
  <c r="N31" i="74"/>
  <c r="N39" i="74" s="1"/>
  <c r="X31" i="74"/>
  <c r="X39" i="74" s="1"/>
  <c r="O31" i="74"/>
  <c r="O39" i="74" s="1"/>
  <c r="Y31" i="74"/>
  <c r="Y39" i="74" s="1"/>
  <c r="P31" i="74"/>
  <c r="P39" i="74" s="1"/>
  <c r="Z31" i="74"/>
  <c r="Z39" i="74" s="1"/>
  <c r="T31" i="74"/>
  <c r="T39" i="74" s="1"/>
  <c r="AB31" i="74"/>
  <c r="AB39" i="74" s="1"/>
  <c r="AC31" i="74"/>
  <c r="AC39" i="74" s="1"/>
  <c r="S31" i="74"/>
  <c r="S39" i="74" s="1"/>
  <c r="U31" i="74"/>
  <c r="U39" i="74" s="1"/>
  <c r="V31" i="74"/>
  <c r="V39" i="74" s="1"/>
  <c r="AA31" i="74"/>
  <c r="AA39" i="74" s="1"/>
  <c r="J39" i="74"/>
  <c r="F53" i="60"/>
  <c r="D57" i="60"/>
  <c r="D59" i="60" s="1"/>
  <c r="O31" i="66"/>
  <c r="O39" i="66" s="1"/>
  <c r="P31" i="66"/>
  <c r="P39" i="66" s="1"/>
  <c r="J39" i="66"/>
  <c r="N31" i="66"/>
  <c r="N39" i="66" s="1"/>
  <c r="Q31" i="66"/>
  <c r="Q39" i="66" s="1"/>
  <c r="D28" i="78"/>
  <c r="J28" i="78" s="1"/>
  <c r="L54" i="60"/>
  <c r="W20" i="78"/>
  <c r="AE20" i="78"/>
  <c r="N20" i="78"/>
  <c r="X20" i="78"/>
  <c r="AF20" i="78"/>
  <c r="O20" i="78"/>
  <c r="Y20" i="78"/>
  <c r="AG20" i="78"/>
  <c r="P20" i="78"/>
  <c r="Z20" i="78"/>
  <c r="AA20" i="78"/>
  <c r="AB20" i="78"/>
  <c r="AC20" i="78"/>
  <c r="AD20" i="78"/>
  <c r="S20" i="78"/>
  <c r="T20" i="78"/>
  <c r="V20" i="78"/>
  <c r="U20" i="78"/>
  <c r="D29" i="78"/>
  <c r="J29" i="78" s="1"/>
  <c r="L55" i="60"/>
  <c r="T31" i="70"/>
  <c r="T39" i="70" s="1"/>
  <c r="AB31" i="70"/>
  <c r="AB39" i="70" s="1"/>
  <c r="V31" i="70"/>
  <c r="V39" i="70" s="1"/>
  <c r="W31" i="70"/>
  <c r="W39" i="70" s="1"/>
  <c r="N31" i="70"/>
  <c r="N39" i="70" s="1"/>
  <c r="X31" i="70"/>
  <c r="X39" i="70" s="1"/>
  <c r="S31" i="70"/>
  <c r="S39" i="70" s="1"/>
  <c r="AA31" i="70"/>
  <c r="AA39" i="70" s="1"/>
  <c r="Z31" i="70"/>
  <c r="Z39" i="70" s="1"/>
  <c r="AC31" i="70"/>
  <c r="AC39" i="70" s="1"/>
  <c r="U31" i="70"/>
  <c r="U39" i="70" s="1"/>
  <c r="Y31" i="70"/>
  <c r="Y39" i="70" s="1"/>
  <c r="O31" i="70"/>
  <c r="O39" i="70" s="1"/>
  <c r="P31" i="70"/>
  <c r="P39" i="70" s="1"/>
  <c r="J39" i="70"/>
  <c r="W31" i="62"/>
  <c r="W39" i="62" s="1"/>
  <c r="N31" i="62"/>
  <c r="N39" i="62" s="1"/>
  <c r="X31" i="62"/>
  <c r="X39" i="62" s="1"/>
  <c r="O31" i="62"/>
  <c r="O39" i="62" s="1"/>
  <c r="Y31" i="62"/>
  <c r="Y39" i="62" s="1"/>
  <c r="P31" i="62"/>
  <c r="P39" i="62" s="1"/>
  <c r="Z31" i="62"/>
  <c r="Z39" i="62" s="1"/>
  <c r="AC31" i="62"/>
  <c r="AC39" i="62" s="1"/>
  <c r="S31" i="62"/>
  <c r="S39" i="62" s="1"/>
  <c r="T31" i="62"/>
  <c r="T39" i="62" s="1"/>
  <c r="V31" i="62"/>
  <c r="V39" i="62" s="1"/>
  <c r="J39" i="62"/>
  <c r="AA31" i="62"/>
  <c r="AA39" i="62" s="1"/>
  <c r="U31" i="62"/>
  <c r="U39" i="62" s="1"/>
  <c r="AB31" i="62"/>
  <c r="AB39" i="62" s="1"/>
  <c r="S16" i="78"/>
  <c r="AA16" i="78"/>
  <c r="T16" i="78"/>
  <c r="AB16" i="78"/>
  <c r="U16" i="78"/>
  <c r="AC16" i="78"/>
  <c r="V16" i="78"/>
  <c r="AD16" i="78"/>
  <c r="W16" i="78"/>
  <c r="P16" i="78"/>
  <c r="X16" i="78"/>
  <c r="Y16" i="78"/>
  <c r="Z16" i="78"/>
  <c r="AE16" i="78"/>
  <c r="AF16" i="78"/>
  <c r="O16" i="78"/>
  <c r="N16" i="78"/>
  <c r="AG16" i="78"/>
  <c r="J24" i="74" l="1"/>
  <c r="D28" i="74"/>
  <c r="J24" i="70"/>
  <c r="D28" i="70"/>
  <c r="J24" i="62"/>
  <c r="D28" i="62"/>
  <c r="D28" i="66"/>
  <c r="J24" i="66"/>
  <c r="D21" i="62"/>
  <c r="J15" i="62"/>
  <c r="J15" i="74"/>
  <c r="D21" i="74"/>
  <c r="J15" i="66"/>
  <c r="D21" i="66"/>
  <c r="D21" i="70"/>
  <c r="J15" i="70"/>
  <c r="W29" i="78"/>
  <c r="AE29" i="78"/>
  <c r="N29" i="78"/>
  <c r="X29" i="78"/>
  <c r="AF29" i="78"/>
  <c r="O29" i="78"/>
  <c r="Y29" i="78"/>
  <c r="AG29" i="78"/>
  <c r="P29" i="78"/>
  <c r="Z29" i="78"/>
  <c r="AA29" i="78"/>
  <c r="AB29" i="78"/>
  <c r="AC29" i="78"/>
  <c r="AD29" i="78"/>
  <c r="S29" i="78"/>
  <c r="T29" i="78"/>
  <c r="V29" i="78"/>
  <c r="U29" i="78"/>
  <c r="L53" i="60"/>
  <c r="L57" i="60" s="1"/>
  <c r="L59" i="60" s="1"/>
  <c r="D27" i="78"/>
  <c r="F57" i="60"/>
  <c r="F59" i="60" s="1"/>
  <c r="S28" i="78"/>
  <c r="AA28" i="78"/>
  <c r="T28" i="78"/>
  <c r="AB28" i="78"/>
  <c r="U28" i="78"/>
  <c r="AC28" i="78"/>
  <c r="V28" i="78"/>
  <c r="AD28" i="78"/>
  <c r="AE28" i="78"/>
  <c r="N28" i="78"/>
  <c r="AF28" i="78"/>
  <c r="O28" i="78"/>
  <c r="AG28" i="78"/>
  <c r="P28" i="78"/>
  <c r="W28" i="78"/>
  <c r="X28" i="78"/>
  <c r="Z28" i="78"/>
  <c r="Y28" i="78"/>
  <c r="D42" i="74" l="1"/>
  <c r="D42" i="70"/>
  <c r="D42" i="66"/>
  <c r="J28" i="66"/>
  <c r="N24" i="66"/>
  <c r="N28" i="66" s="1"/>
  <c r="P24" i="66"/>
  <c r="P28" i="66" s="1"/>
  <c r="Q24" i="66"/>
  <c r="Q28" i="66" s="1"/>
  <c r="O24" i="66"/>
  <c r="O28" i="66" s="1"/>
  <c r="D42" i="62"/>
  <c r="W24" i="62"/>
  <c r="W28" i="62" s="1"/>
  <c r="S24" i="62"/>
  <c r="S28" i="62" s="1"/>
  <c r="J28" i="62"/>
  <c r="T24" i="62"/>
  <c r="T28" i="62" s="1"/>
  <c r="X24" i="62"/>
  <c r="X28" i="62" s="1"/>
  <c r="V24" i="62"/>
  <c r="V28" i="62" s="1"/>
  <c r="AC24" i="62"/>
  <c r="AC28" i="62" s="1"/>
  <c r="N24" i="62"/>
  <c r="N28" i="62" s="1"/>
  <c r="U24" i="62"/>
  <c r="U28" i="62" s="1"/>
  <c r="Y24" i="62"/>
  <c r="Y28" i="62" s="1"/>
  <c r="AB24" i="62"/>
  <c r="AB28" i="62" s="1"/>
  <c r="Z24" i="62"/>
  <c r="Z28" i="62" s="1"/>
  <c r="O24" i="62"/>
  <c r="O28" i="62" s="1"/>
  <c r="AA24" i="62"/>
  <c r="AA28" i="62" s="1"/>
  <c r="P24" i="62"/>
  <c r="P28" i="62" s="1"/>
  <c r="X24" i="70"/>
  <c r="X28" i="70" s="1"/>
  <c r="O24" i="70"/>
  <c r="O28" i="70" s="1"/>
  <c r="P24" i="70"/>
  <c r="P28" i="70" s="1"/>
  <c r="S24" i="70"/>
  <c r="S28" i="70" s="1"/>
  <c r="T24" i="70"/>
  <c r="T28" i="70" s="1"/>
  <c r="AA24" i="70"/>
  <c r="AA28" i="70" s="1"/>
  <c r="AB24" i="70"/>
  <c r="AB28" i="70" s="1"/>
  <c r="Z24" i="70"/>
  <c r="Z28" i="70" s="1"/>
  <c r="Y24" i="70"/>
  <c r="Y28" i="70" s="1"/>
  <c r="N24" i="70"/>
  <c r="N28" i="70" s="1"/>
  <c r="V24" i="70"/>
  <c r="V28" i="70" s="1"/>
  <c r="AC24" i="70"/>
  <c r="AC28" i="70" s="1"/>
  <c r="J28" i="70"/>
  <c r="W24" i="70"/>
  <c r="W28" i="70" s="1"/>
  <c r="U24" i="70"/>
  <c r="U28" i="70" s="1"/>
  <c r="Z24" i="74"/>
  <c r="Z28" i="74" s="1"/>
  <c r="W24" i="74"/>
  <c r="W28" i="74" s="1"/>
  <c r="T24" i="74"/>
  <c r="T28" i="74" s="1"/>
  <c r="J28" i="74"/>
  <c r="AB24" i="74"/>
  <c r="AB28" i="74" s="1"/>
  <c r="U24" i="74"/>
  <c r="U28" i="74" s="1"/>
  <c r="N24" i="74"/>
  <c r="N28" i="74" s="1"/>
  <c r="V24" i="74"/>
  <c r="V28" i="74" s="1"/>
  <c r="X24" i="74"/>
  <c r="X28" i="74" s="1"/>
  <c r="AA24" i="74"/>
  <c r="AA28" i="74" s="1"/>
  <c r="Y24" i="74"/>
  <c r="Y28" i="74" s="1"/>
  <c r="O24" i="74"/>
  <c r="O28" i="74" s="1"/>
  <c r="AC24" i="74"/>
  <c r="AC28" i="74" s="1"/>
  <c r="S24" i="74"/>
  <c r="S28" i="74" s="1"/>
  <c r="P24" i="74"/>
  <c r="P28" i="74" s="1"/>
  <c r="AC15" i="70"/>
  <c r="AC21" i="70" s="1"/>
  <c r="P15" i="70"/>
  <c r="P21" i="70" s="1"/>
  <c r="T15" i="70"/>
  <c r="T21" i="70" s="1"/>
  <c r="W15" i="70"/>
  <c r="W21" i="70" s="1"/>
  <c r="O15" i="70"/>
  <c r="O21" i="70" s="1"/>
  <c r="J21" i="70"/>
  <c r="X15" i="70"/>
  <c r="X21" i="70" s="1"/>
  <c r="N15" i="70"/>
  <c r="N21" i="70" s="1"/>
  <c r="S15" i="70"/>
  <c r="S21" i="70" s="1"/>
  <c r="AB15" i="70"/>
  <c r="AB21" i="70" s="1"/>
  <c r="U15" i="70"/>
  <c r="U21" i="70" s="1"/>
  <c r="AA15" i="70"/>
  <c r="AA21" i="70" s="1"/>
  <c r="Y15" i="70"/>
  <c r="Y21" i="70" s="1"/>
  <c r="V15" i="70"/>
  <c r="V21" i="70" s="1"/>
  <c r="Z15" i="70"/>
  <c r="Z21" i="70" s="1"/>
  <c r="N15" i="74"/>
  <c r="N21" i="74" s="1"/>
  <c r="AC15" i="74"/>
  <c r="AC21" i="74" s="1"/>
  <c r="X15" i="74"/>
  <c r="X21" i="74" s="1"/>
  <c r="S15" i="74"/>
  <c r="S21" i="74" s="1"/>
  <c r="O15" i="74"/>
  <c r="O21" i="74" s="1"/>
  <c r="U15" i="74"/>
  <c r="U21" i="74" s="1"/>
  <c r="Y15" i="74"/>
  <c r="Y21" i="74" s="1"/>
  <c r="AA15" i="74"/>
  <c r="AA21" i="74" s="1"/>
  <c r="P15" i="74"/>
  <c r="P21" i="74" s="1"/>
  <c r="V15" i="74"/>
  <c r="V21" i="74" s="1"/>
  <c r="W15" i="74"/>
  <c r="W21" i="74" s="1"/>
  <c r="T15" i="74"/>
  <c r="T21" i="74" s="1"/>
  <c r="Z15" i="74"/>
  <c r="Z21" i="74" s="1"/>
  <c r="J21" i="74"/>
  <c r="J42" i="74" s="1"/>
  <c r="AB15" i="74"/>
  <c r="AB21" i="74" s="1"/>
  <c r="AB42" i="74" s="1"/>
  <c r="AC15" i="62"/>
  <c r="AC21" i="62" s="1"/>
  <c r="W15" i="62"/>
  <c r="W21" i="62" s="1"/>
  <c r="O15" i="62"/>
  <c r="O21" i="62" s="1"/>
  <c r="X15" i="62"/>
  <c r="X21" i="62" s="1"/>
  <c r="N15" i="62"/>
  <c r="N21" i="62" s="1"/>
  <c r="Y15" i="62"/>
  <c r="Y21" i="62" s="1"/>
  <c r="S15" i="62"/>
  <c r="S21" i="62" s="1"/>
  <c r="T15" i="62"/>
  <c r="T21" i="62" s="1"/>
  <c r="P15" i="62"/>
  <c r="P21" i="62" s="1"/>
  <c r="J21" i="62"/>
  <c r="Z15" i="62"/>
  <c r="Z21" i="62" s="1"/>
  <c r="AA15" i="62"/>
  <c r="AA21" i="62" s="1"/>
  <c r="AB15" i="62"/>
  <c r="AB21" i="62" s="1"/>
  <c r="V15" i="62"/>
  <c r="V21" i="62" s="1"/>
  <c r="U15" i="62"/>
  <c r="U21" i="62" s="1"/>
  <c r="Q15" i="66"/>
  <c r="Q21" i="66" s="1"/>
  <c r="O15" i="66"/>
  <c r="O21" i="66" s="1"/>
  <c r="P15" i="66"/>
  <c r="P21" i="66" s="1"/>
  <c r="N15" i="66"/>
  <c r="N21" i="66" s="1"/>
  <c r="J21" i="66"/>
  <c r="J27" i="78"/>
  <c r="D31" i="78"/>
  <c r="P42" i="66" l="1"/>
  <c r="V42" i="74"/>
  <c r="Z42" i="62"/>
  <c r="J42" i="66"/>
  <c r="AB42" i="62"/>
  <c r="S42" i="70"/>
  <c r="J42" i="62"/>
  <c r="T42" i="74"/>
  <c r="W42" i="62"/>
  <c r="N42" i="70"/>
  <c r="U42" i="62"/>
  <c r="T42" i="62"/>
  <c r="P42" i="70"/>
  <c r="S42" i="62"/>
  <c r="Y42" i="62"/>
  <c r="AC42" i="74"/>
  <c r="AC42" i="70"/>
  <c r="AA42" i="62"/>
  <c r="Q42" i="66"/>
  <c r="V42" i="62"/>
  <c r="V42" i="70"/>
  <c r="O42" i="74"/>
  <c r="Z42" i="70"/>
  <c r="Z42" i="74"/>
  <c r="U42" i="70"/>
  <c r="AB42" i="70"/>
  <c r="O42" i="62"/>
  <c r="S42" i="74"/>
  <c r="N42" i="66"/>
  <c r="J42" i="70"/>
  <c r="N42" i="74"/>
  <c r="W42" i="70"/>
  <c r="T42" i="70"/>
  <c r="P42" i="74"/>
  <c r="AA42" i="70"/>
  <c r="X42" i="62"/>
  <c r="U42" i="74"/>
  <c r="P42" i="62"/>
  <c r="AC42" i="62"/>
  <c r="W42" i="74"/>
  <c r="X42" i="74"/>
  <c r="Y42" i="70"/>
  <c r="O42" i="70"/>
  <c r="O42" i="66"/>
  <c r="AA42" i="74"/>
  <c r="X42" i="70"/>
  <c r="N42" i="62"/>
  <c r="Y42" i="74"/>
  <c r="W27" i="78"/>
  <c r="W31" i="78" s="1"/>
  <c r="AE27" i="78"/>
  <c r="AE31" i="78" s="1"/>
  <c r="N27" i="78"/>
  <c r="N31" i="78" s="1"/>
  <c r="X27" i="78"/>
  <c r="X31" i="78" s="1"/>
  <c r="AF27" i="78"/>
  <c r="AF31" i="78" s="1"/>
  <c r="O27" i="78"/>
  <c r="O31" i="78" s="1"/>
  <c r="Y27" i="78"/>
  <c r="Y31" i="78" s="1"/>
  <c r="AG27" i="78"/>
  <c r="AG31" i="78" s="1"/>
  <c r="P27" i="78"/>
  <c r="P31" i="78" s="1"/>
  <c r="Z27" i="78"/>
  <c r="Z31" i="78" s="1"/>
  <c r="S27" i="78"/>
  <c r="S31" i="78" s="1"/>
  <c r="T27" i="78"/>
  <c r="T31" i="78" s="1"/>
  <c r="U27" i="78"/>
  <c r="U31" i="78" s="1"/>
  <c r="V27" i="78"/>
  <c r="V31" i="78" s="1"/>
  <c r="AA27" i="78"/>
  <c r="AA31" i="78" s="1"/>
  <c r="AB27" i="78"/>
  <c r="AB31" i="78" s="1"/>
  <c r="AD27" i="78"/>
  <c r="AD31" i="78" s="1"/>
  <c r="AC27" i="78"/>
  <c r="AC31" i="78" s="1"/>
  <c r="J31" i="78"/>
  <c r="AD166" i="13"/>
  <c r="AO160" i="7"/>
  <c r="AO162" i="7"/>
  <c r="AN160" i="1"/>
  <c r="AF162" i="1"/>
  <c r="F58" i="2" s="1"/>
  <c r="AH162" i="1"/>
  <c r="H58" i="2" s="1"/>
  <c r="AJ162" i="1"/>
  <c r="J58" i="2" s="1"/>
  <c r="AL162" i="1"/>
  <c r="L58" i="2" s="1"/>
  <c r="AN162" i="1"/>
  <c r="AC160" i="4"/>
  <c r="AC162" i="4"/>
  <c r="AK160" i="5"/>
  <c r="AK162" i="5"/>
  <c r="D58" i="2" l="1"/>
  <c r="F59" i="2" l="1"/>
  <c r="H59" i="2"/>
  <c r="R159" i="1" s="1"/>
  <c r="J59" i="2"/>
  <c r="T159" i="1" s="1"/>
  <c r="L59" i="2"/>
  <c r="V159" i="1" s="1"/>
  <c r="F159" i="7" l="1"/>
  <c r="L88" i="2"/>
  <c r="J88" i="2"/>
  <c r="F159" i="5"/>
  <c r="H88" i="2"/>
  <c r="F159" i="4"/>
  <c r="P159" i="1"/>
  <c r="D59" i="2"/>
  <c r="X159" i="1" l="1"/>
  <c r="F159" i="13"/>
  <c r="L159" i="4"/>
  <c r="D88" i="2"/>
  <c r="F89" i="2" s="1"/>
  <c r="L159" i="5"/>
  <c r="L159" i="7"/>
  <c r="L89" i="2" l="1"/>
  <c r="V160" i="1" s="1"/>
  <c r="F160" i="7" s="1"/>
  <c r="J89" i="2"/>
  <c r="T160" i="1" s="1"/>
  <c r="F160" i="5" s="1"/>
  <c r="H89" i="2"/>
  <c r="R160" i="1" s="1"/>
  <c r="R162" i="1" s="1"/>
  <c r="P160" i="1"/>
  <c r="L159" i="13"/>
  <c r="Z159" i="1"/>
  <c r="D89" i="2" l="1"/>
  <c r="F160" i="4"/>
  <c r="L160" i="4" s="1"/>
  <c r="L162" i="4" s="1"/>
  <c r="T162" i="1"/>
  <c r="V52" i="2" s="1"/>
  <c r="V162" i="1"/>
  <c r="X52" i="2" s="1"/>
  <c r="P159" i="13"/>
  <c r="R159" i="13"/>
  <c r="T159" i="13"/>
  <c r="V159" i="13"/>
  <c r="X159" i="13"/>
  <c r="Z159" i="13"/>
  <c r="X160" i="1"/>
  <c r="F160" i="13"/>
  <c r="P162" i="1"/>
  <c r="T52" i="2"/>
  <c r="L160" i="5"/>
  <c r="L162" i="5" s="1"/>
  <c r="AL160" i="5"/>
  <c r="F162" i="5"/>
  <c r="L160" i="7"/>
  <c r="F162" i="7"/>
  <c r="F162" i="4" l="1"/>
  <c r="AD160" i="4"/>
  <c r="X53" i="2"/>
  <c r="X55" i="2" s="1"/>
  <c r="L52" i="2" s="1"/>
  <c r="AP160" i="7"/>
  <c r="L162" i="7"/>
  <c r="V53" i="2"/>
  <c r="V55" i="2" s="1"/>
  <c r="J52" i="2" s="1"/>
  <c r="AK160" i="4"/>
  <c r="R53" i="2"/>
  <c r="R55" i="2" s="1"/>
  <c r="F52" i="2" s="1"/>
  <c r="T53" i="2"/>
  <c r="T55" i="2" s="1"/>
  <c r="H52" i="2" s="1"/>
  <c r="L160" i="13"/>
  <c r="F162" i="13"/>
  <c r="Z160" i="1"/>
  <c r="X162" i="1"/>
  <c r="AB159" i="13"/>
  <c r="AD159" i="13" l="1"/>
  <c r="Z162" i="1"/>
  <c r="P160" i="13"/>
  <c r="R160" i="13"/>
  <c r="R162" i="13" s="1"/>
  <c r="T160" i="13"/>
  <c r="T162" i="13" s="1"/>
  <c r="V160" i="13"/>
  <c r="V162" i="13" s="1"/>
  <c r="X160" i="13"/>
  <c r="X162" i="13" s="1"/>
  <c r="Z160" i="13"/>
  <c r="Z162" i="13" s="1"/>
  <c r="L162" i="13"/>
  <c r="D52" i="2"/>
  <c r="J53" i="2" s="1"/>
  <c r="F53" i="2" l="1"/>
  <c r="P33" i="1" s="1"/>
  <c r="T33" i="1"/>
  <c r="T55" i="1"/>
  <c r="T103" i="1"/>
  <c r="L53" i="2"/>
  <c r="H53" i="2"/>
  <c r="AB160" i="13"/>
  <c r="P162" i="13"/>
  <c r="P103" i="1" l="1"/>
  <c r="P55" i="1"/>
  <c r="F55" i="13" s="1"/>
  <c r="AD160" i="13"/>
  <c r="AB162" i="13"/>
  <c r="R33" i="1"/>
  <c r="R55" i="1"/>
  <c r="R103" i="1"/>
  <c r="D53" i="2"/>
  <c r="V33" i="1"/>
  <c r="V55" i="1"/>
  <c r="V103" i="1"/>
  <c r="P104" i="1"/>
  <c r="F103" i="13"/>
  <c r="P35" i="1"/>
  <c r="F33" i="13"/>
  <c r="T104" i="1"/>
  <c r="F103" i="5"/>
  <c r="T57" i="1"/>
  <c r="F55" i="5"/>
  <c r="T35" i="1"/>
  <c r="T77" i="1"/>
  <c r="F33" i="5"/>
  <c r="P77" i="1" l="1"/>
  <c r="P79" i="1" s="1"/>
  <c r="P57" i="1"/>
  <c r="X55" i="1"/>
  <c r="X57" i="1" s="1"/>
  <c r="Z57" i="1" s="1"/>
  <c r="X103" i="1"/>
  <c r="X33" i="1"/>
  <c r="Z33" i="1" s="1"/>
  <c r="L33" i="5"/>
  <c r="L35" i="5" s="1"/>
  <c r="F35" i="5"/>
  <c r="T79" i="1"/>
  <c r="F77" i="5"/>
  <c r="L55" i="5"/>
  <c r="L57" i="5" s="1"/>
  <c r="F57" i="5"/>
  <c r="L103" i="5"/>
  <c r="L104" i="5" s="1"/>
  <c r="F104" i="5"/>
  <c r="L33" i="13"/>
  <c r="F35" i="13"/>
  <c r="F77" i="13"/>
  <c r="L55" i="13"/>
  <c r="F57" i="13"/>
  <c r="Z55" i="1"/>
  <c r="L103" i="13"/>
  <c r="F104" i="13"/>
  <c r="Z103" i="1"/>
  <c r="X104" i="1"/>
  <c r="F103" i="7"/>
  <c r="V104" i="1"/>
  <c r="F55" i="7"/>
  <c r="V57" i="1"/>
  <c r="F33" i="7"/>
  <c r="V35" i="1"/>
  <c r="V77" i="1"/>
  <c r="R104" i="1"/>
  <c r="F103" i="4"/>
  <c r="R57" i="1"/>
  <c r="F55" i="4"/>
  <c r="R35" i="1"/>
  <c r="R77" i="1"/>
  <c r="F33" i="4"/>
  <c r="AD162" i="13"/>
  <c r="X35" i="1" l="1"/>
  <c r="Z35" i="1" s="1"/>
  <c r="L33" i="4"/>
  <c r="L35" i="4" s="1"/>
  <c r="F35" i="4"/>
  <c r="F77" i="4"/>
  <c r="R79" i="1"/>
  <c r="X77" i="1"/>
  <c r="L55" i="4"/>
  <c r="L57" i="4" s="1"/>
  <c r="F57" i="4"/>
  <c r="L103" i="4"/>
  <c r="F104" i="4"/>
  <c r="F77" i="7"/>
  <c r="V79" i="1"/>
  <c r="L33" i="7"/>
  <c r="L35" i="7" s="1"/>
  <c r="F35" i="7"/>
  <c r="L55" i="7"/>
  <c r="L57" i="7" s="1"/>
  <c r="F57" i="7"/>
  <c r="L103" i="7"/>
  <c r="L104" i="7" s="1"/>
  <c r="F104" i="7"/>
  <c r="Z104" i="1"/>
  <c r="P103" i="13"/>
  <c r="R103" i="13"/>
  <c r="R104" i="13" s="1"/>
  <c r="T103" i="13"/>
  <c r="T104" i="13" s="1"/>
  <c r="V103" i="13"/>
  <c r="V104" i="13" s="1"/>
  <c r="X103" i="13"/>
  <c r="X104" i="13" s="1"/>
  <c r="Z103" i="13"/>
  <c r="Z104" i="13" s="1"/>
  <c r="L104" i="13"/>
  <c r="P55" i="13"/>
  <c r="R55" i="13"/>
  <c r="R57" i="13" s="1"/>
  <c r="T55" i="13"/>
  <c r="T57" i="13" s="1"/>
  <c r="V55" i="13"/>
  <c r="V57" i="13" s="1"/>
  <c r="X55" i="13"/>
  <c r="X57" i="13" s="1"/>
  <c r="Z55" i="13"/>
  <c r="Z57" i="13" s="1"/>
  <c r="L57" i="13"/>
  <c r="L77" i="13"/>
  <c r="L79" i="13" s="1"/>
  <c r="F79" i="13"/>
  <c r="F85" i="2"/>
  <c r="P33" i="13"/>
  <c r="R33" i="13"/>
  <c r="T33" i="13"/>
  <c r="V33" i="13"/>
  <c r="X33" i="13"/>
  <c r="Z33" i="13"/>
  <c r="L35" i="13"/>
  <c r="L77" i="5"/>
  <c r="L79" i="5" s="1"/>
  <c r="F79" i="5"/>
  <c r="J85" i="2"/>
  <c r="Z35" i="13" l="1"/>
  <c r="Z77" i="13"/>
  <c r="Z79" i="13" s="1"/>
  <c r="X35" i="13"/>
  <c r="X77" i="13"/>
  <c r="X79" i="13" s="1"/>
  <c r="V35" i="13"/>
  <c r="V77" i="13"/>
  <c r="V79" i="13" s="1"/>
  <c r="T35" i="13"/>
  <c r="T77" i="13"/>
  <c r="T79" i="13" s="1"/>
  <c r="R35" i="13"/>
  <c r="R77" i="13"/>
  <c r="R79" i="13" s="1"/>
  <c r="AB33" i="13"/>
  <c r="P35" i="13"/>
  <c r="P77" i="13"/>
  <c r="AB55" i="13"/>
  <c r="P57" i="13"/>
  <c r="AB103" i="13"/>
  <c r="P104" i="13"/>
  <c r="L85" i="2"/>
  <c r="L77" i="7"/>
  <c r="L79" i="7" s="1"/>
  <c r="F79" i="7"/>
  <c r="L104" i="4"/>
  <c r="Z77" i="1"/>
  <c r="X79" i="1"/>
  <c r="H85" i="2"/>
  <c r="L77" i="4"/>
  <c r="L79" i="4" s="1"/>
  <c r="F79" i="4"/>
  <c r="D85" i="2" l="1"/>
  <c r="L86" i="2" s="1"/>
  <c r="Z79" i="1"/>
  <c r="AB104" i="13"/>
  <c r="AD103" i="13"/>
  <c r="AB57" i="13"/>
  <c r="AD57" i="13" s="1"/>
  <c r="AD55" i="13"/>
  <c r="AB77" i="13"/>
  <c r="P79" i="13"/>
  <c r="AB35" i="13"/>
  <c r="AD35" i="13" s="1"/>
  <c r="AD33" i="13"/>
  <c r="AB79" i="13" l="1"/>
  <c r="AD77" i="13"/>
  <c r="AD104" i="13"/>
  <c r="V84" i="1"/>
  <c r="V85" i="1"/>
  <c r="F85" i="7" s="1"/>
  <c r="V86" i="1"/>
  <c r="F86" i="7" s="1"/>
  <c r="V88" i="1"/>
  <c r="F88" i="7" s="1"/>
  <c r="J86" i="2"/>
  <c r="F86" i="2"/>
  <c r="H86" i="2"/>
  <c r="R84" i="1" l="1"/>
  <c r="R85" i="1"/>
  <c r="F85" i="4" s="1"/>
  <c r="R86" i="1"/>
  <c r="F86" i="4" s="1"/>
  <c r="R88" i="1"/>
  <c r="F88" i="4" s="1"/>
  <c r="P84" i="1"/>
  <c r="P85" i="1"/>
  <c r="P86" i="1"/>
  <c r="P88" i="1"/>
  <c r="D86" i="2"/>
  <c r="T84" i="1"/>
  <c r="T85" i="1"/>
  <c r="F85" i="5" s="1"/>
  <c r="T86" i="1"/>
  <c r="F86" i="5" s="1"/>
  <c r="T88" i="1"/>
  <c r="F88" i="5" s="1"/>
  <c r="L88" i="7"/>
  <c r="L86" i="7"/>
  <c r="L85" i="7"/>
  <c r="F84" i="7"/>
  <c r="V89" i="1"/>
  <c r="V92" i="1" s="1"/>
  <c r="AD79" i="13"/>
  <c r="V97" i="1" l="1"/>
  <c r="L97" i="2"/>
  <c r="L84" i="7"/>
  <c r="F89" i="7"/>
  <c r="P85" i="7"/>
  <c r="R85" i="7"/>
  <c r="T85" i="7"/>
  <c r="V85" i="7"/>
  <c r="X85" i="7"/>
  <c r="Z85" i="7"/>
  <c r="AB85" i="7"/>
  <c r="AD85" i="7"/>
  <c r="AF85" i="7"/>
  <c r="F85" i="50" s="1"/>
  <c r="L85" i="50" s="1"/>
  <c r="AH85" i="7"/>
  <c r="P86" i="7"/>
  <c r="R86" i="7"/>
  <c r="T86" i="7"/>
  <c r="V86" i="7"/>
  <c r="X86" i="7"/>
  <c r="Z86" i="7"/>
  <c r="AB86" i="7"/>
  <c r="AD86" i="7"/>
  <c r="AF86" i="7"/>
  <c r="F86" i="50" s="1"/>
  <c r="L86" i="50" s="1"/>
  <c r="AH86" i="7"/>
  <c r="P88" i="7"/>
  <c r="R88" i="7"/>
  <c r="T88" i="7"/>
  <c r="V88" i="7"/>
  <c r="X88" i="7"/>
  <c r="Z88" i="7"/>
  <c r="AB88" i="7"/>
  <c r="AD88" i="7"/>
  <c r="AF88" i="7"/>
  <c r="F88" i="50" s="1"/>
  <c r="L88" i="50" s="1"/>
  <c r="AH88" i="7"/>
  <c r="L88" i="5"/>
  <c r="L86" i="5"/>
  <c r="L85" i="5"/>
  <c r="T89" i="1"/>
  <c r="T92" i="1" s="1"/>
  <c r="F84" i="5"/>
  <c r="X88" i="1"/>
  <c r="Z88" i="1" s="1"/>
  <c r="F88" i="13"/>
  <c r="X86" i="1"/>
  <c r="Z86" i="1" s="1"/>
  <c r="F86" i="13"/>
  <c r="X85" i="1"/>
  <c r="Z85" i="1" s="1"/>
  <c r="F85" i="13"/>
  <c r="X84" i="1"/>
  <c r="P89" i="1"/>
  <c r="P92" i="1" s="1"/>
  <c r="F84" i="13"/>
  <c r="L88" i="4"/>
  <c r="L86" i="4"/>
  <c r="L85" i="4"/>
  <c r="R89" i="1"/>
  <c r="R92" i="1" s="1"/>
  <c r="F84" i="4"/>
  <c r="L84" i="4" l="1"/>
  <c r="F89" i="4"/>
  <c r="R97" i="1"/>
  <c r="H97" i="2"/>
  <c r="P85" i="4"/>
  <c r="R85" i="4"/>
  <c r="T85" i="4"/>
  <c r="V85" i="4"/>
  <c r="P86" i="4"/>
  <c r="R86" i="4"/>
  <c r="T86" i="4"/>
  <c r="V86" i="4"/>
  <c r="P88" i="4"/>
  <c r="R88" i="4"/>
  <c r="T88" i="4"/>
  <c r="V88" i="4"/>
  <c r="L84" i="13"/>
  <c r="F89" i="13"/>
  <c r="P97" i="1"/>
  <c r="F97" i="2"/>
  <c r="Z84" i="1"/>
  <c r="X89" i="1"/>
  <c r="L85" i="13"/>
  <c r="L86" i="13"/>
  <c r="L88" i="13"/>
  <c r="L84" i="5"/>
  <c r="L89" i="5" s="1"/>
  <c r="L92" i="5" s="1"/>
  <c r="L97" i="5" s="1"/>
  <c r="F89" i="5"/>
  <c r="T97" i="1"/>
  <c r="J97" i="2"/>
  <c r="P88" i="50"/>
  <c r="R88" i="50"/>
  <c r="T88" i="50"/>
  <c r="AJ88" i="7"/>
  <c r="AL88" i="7" s="1"/>
  <c r="P86" i="50"/>
  <c r="R86" i="50"/>
  <c r="T86" i="50"/>
  <c r="AJ86" i="7"/>
  <c r="AL86" i="7" s="1"/>
  <c r="P85" i="50"/>
  <c r="R85" i="50"/>
  <c r="T85" i="50"/>
  <c r="AJ85" i="7"/>
  <c r="AL85" i="7" s="1"/>
  <c r="F92" i="7"/>
  <c r="P84" i="7"/>
  <c r="R84" i="7"/>
  <c r="R89" i="7" s="1"/>
  <c r="T84" i="7"/>
  <c r="T89" i="7" s="1"/>
  <c r="V84" i="7"/>
  <c r="V89" i="7" s="1"/>
  <c r="X84" i="7"/>
  <c r="X89" i="7" s="1"/>
  <c r="Z84" i="7"/>
  <c r="Z89" i="7" s="1"/>
  <c r="AB84" i="7"/>
  <c r="AB89" i="7" s="1"/>
  <c r="AD84" i="7"/>
  <c r="AD89" i="7" s="1"/>
  <c r="AF84" i="7"/>
  <c r="AH84" i="7"/>
  <c r="AH89" i="7" s="1"/>
  <c r="L89" i="7"/>
  <c r="L92" i="7" s="1"/>
  <c r="L97" i="7" s="1"/>
  <c r="F84" i="50" l="1"/>
  <c r="AF89" i="7"/>
  <c r="AJ84" i="7"/>
  <c r="P89" i="7"/>
  <c r="F97" i="7"/>
  <c r="F92" i="5"/>
  <c r="P88" i="13"/>
  <c r="R88" i="13"/>
  <c r="T88" i="13"/>
  <c r="V88" i="13"/>
  <c r="X88" i="13"/>
  <c r="Z88" i="13"/>
  <c r="P86" i="13"/>
  <c r="R86" i="13"/>
  <c r="T86" i="13"/>
  <c r="V86" i="13"/>
  <c r="X86" i="13"/>
  <c r="Z86" i="13"/>
  <c r="P85" i="13"/>
  <c r="R85" i="13"/>
  <c r="T85" i="13"/>
  <c r="V85" i="13"/>
  <c r="X85" i="13"/>
  <c r="Z85" i="13"/>
  <c r="Z89" i="1"/>
  <c r="X92" i="1"/>
  <c r="Z92" i="1" s="1"/>
  <c r="D97" i="2"/>
  <c r="H98" i="2" s="1"/>
  <c r="R108" i="1" s="1"/>
  <c r="X97" i="1"/>
  <c r="Z97" i="1" s="1"/>
  <c r="F92" i="13"/>
  <c r="P84" i="13"/>
  <c r="R84" i="13"/>
  <c r="T84" i="13"/>
  <c r="V84" i="13"/>
  <c r="X84" i="13"/>
  <c r="Z84" i="13"/>
  <c r="L89" i="13"/>
  <c r="L92" i="13" s="1"/>
  <c r="L97" i="13" s="1"/>
  <c r="X88" i="4"/>
  <c r="Z88" i="4" s="1"/>
  <c r="X86" i="4"/>
  <c r="Z86" i="4" s="1"/>
  <c r="X85" i="4"/>
  <c r="Z85" i="4" s="1"/>
  <c r="F92" i="4"/>
  <c r="P84" i="4"/>
  <c r="R84" i="4"/>
  <c r="R89" i="4" s="1"/>
  <c r="T84" i="4"/>
  <c r="T89" i="4" s="1"/>
  <c r="V84" i="4"/>
  <c r="V89" i="4" s="1"/>
  <c r="L89" i="4"/>
  <c r="L92" i="4" s="1"/>
  <c r="L97" i="4" s="1"/>
  <c r="F98" i="2" l="1"/>
  <c r="T89" i="13"/>
  <c r="T92" i="13" s="1"/>
  <c r="T97" i="13" s="1"/>
  <c r="Z89" i="13"/>
  <c r="Z92" i="13" s="1"/>
  <c r="Z97" i="13" s="1"/>
  <c r="X89" i="13"/>
  <c r="X92" i="13" s="1"/>
  <c r="X97" i="13" s="1"/>
  <c r="V89" i="13"/>
  <c r="V92" i="13" s="1"/>
  <c r="V97" i="13" s="1"/>
  <c r="R89" i="13"/>
  <c r="R92" i="13" s="1"/>
  <c r="R97" i="13" s="1"/>
  <c r="X84" i="4"/>
  <c r="P89" i="4"/>
  <c r="F97" i="4"/>
  <c r="R110" i="1"/>
  <c r="R164" i="1" s="1"/>
  <c r="R180" i="1" s="1"/>
  <c r="F108" i="4"/>
  <c r="AB84" i="13"/>
  <c r="P89" i="13"/>
  <c r="P92" i="13" s="1"/>
  <c r="P97" i="13" s="1"/>
  <c r="F97" i="13"/>
  <c r="P108" i="1"/>
  <c r="L98" i="2"/>
  <c r="V108" i="1" s="1"/>
  <c r="J98" i="2"/>
  <c r="AB85" i="13"/>
  <c r="AD85" i="13" s="1"/>
  <c r="AB86" i="13"/>
  <c r="AD86" i="13" s="1"/>
  <c r="AB88" i="13"/>
  <c r="AD88" i="13" s="1"/>
  <c r="F97" i="5"/>
  <c r="AJ89" i="7"/>
  <c r="AL89" i="7" s="1"/>
  <c r="AL84" i="7"/>
  <c r="L84" i="50"/>
  <c r="F89" i="50"/>
  <c r="AB97" i="13" l="1"/>
  <c r="AD97" i="13" s="1"/>
  <c r="P84" i="50"/>
  <c r="P89" i="50" s="1"/>
  <c r="R84" i="50"/>
  <c r="R89" i="50" s="1"/>
  <c r="T84" i="50"/>
  <c r="T89" i="50" s="1"/>
  <c r="L89" i="50"/>
  <c r="T108" i="1"/>
  <c r="X108" i="1" s="1"/>
  <c r="D98" i="2"/>
  <c r="F108" i="7"/>
  <c r="V110" i="1"/>
  <c r="V164" i="1" s="1"/>
  <c r="V180" i="1" s="1"/>
  <c r="P110" i="1"/>
  <c r="P164" i="1" s="1"/>
  <c r="P180" i="1" s="1"/>
  <c r="F108" i="13"/>
  <c r="AB89" i="13"/>
  <c r="AD84" i="13"/>
  <c r="L108" i="4"/>
  <c r="L164" i="4" s="1"/>
  <c r="L180" i="4" s="1"/>
  <c r="F110" i="4"/>
  <c r="F164" i="4"/>
  <c r="X89" i="4"/>
  <c r="Z89" i="4" s="1"/>
  <c r="Z84" i="4"/>
  <c r="F180" i="4" l="1"/>
  <c r="L110" i="4"/>
  <c r="AB92" i="13"/>
  <c r="AD92" i="13" s="1"/>
  <c r="AD89" i="13"/>
  <c r="L108" i="13"/>
  <c r="F110" i="13"/>
  <c r="F164" i="13"/>
  <c r="Z108" i="1"/>
  <c r="X110" i="1"/>
  <c r="L108" i="7"/>
  <c r="F110" i="7"/>
  <c r="F164" i="7"/>
  <c r="T110" i="1"/>
  <c r="T164" i="1" s="1"/>
  <c r="T180" i="1" s="1"/>
  <c r="F108" i="5"/>
  <c r="L108" i="5" l="1"/>
  <c r="F110" i="5"/>
  <c r="F164" i="5"/>
  <c r="F180" i="7"/>
  <c r="L110" i="7"/>
  <c r="L164" i="7"/>
  <c r="L180" i="7" s="1"/>
  <c r="Z110" i="1"/>
  <c r="X164" i="1"/>
  <c r="F180" i="13"/>
  <c r="P108" i="13"/>
  <c r="R108" i="13"/>
  <c r="T108" i="13"/>
  <c r="V108" i="13"/>
  <c r="X108" i="13"/>
  <c r="Z108" i="13"/>
  <c r="L110" i="13"/>
  <c r="L164" i="13"/>
  <c r="L180" i="13" s="1"/>
  <c r="Z110" i="13" l="1"/>
  <c r="Z164" i="13"/>
  <c r="X110" i="13"/>
  <c r="X164" i="13"/>
  <c r="V110" i="13"/>
  <c r="V164" i="13"/>
  <c r="T110" i="13"/>
  <c r="T164" i="13"/>
  <c r="R110" i="13"/>
  <c r="R164" i="13"/>
  <c r="AB108" i="13"/>
  <c r="P110" i="13"/>
  <c r="P164" i="13"/>
  <c r="Z164" i="1"/>
  <c r="X180" i="1"/>
  <c r="Z180" i="1" s="1"/>
  <c r="F180" i="5"/>
  <c r="L110" i="5"/>
  <c r="L164" i="5"/>
  <c r="L180" i="5" s="1"/>
  <c r="D15" i="52" l="1"/>
  <c r="AB110" i="13"/>
  <c r="AD110" i="13" s="1"/>
  <c r="AB164" i="13"/>
  <c r="AD108" i="13"/>
  <c r="H19" i="14"/>
  <c r="D16" i="52"/>
  <c r="D16" i="61" s="1"/>
  <c r="D17" i="52"/>
  <c r="D17" i="61" s="1"/>
  <c r="L19" i="14"/>
  <c r="D18" i="52"/>
  <c r="D18" i="61" s="1"/>
  <c r="D19" i="52"/>
  <c r="D19" i="61" s="1"/>
  <c r="D20" i="52"/>
  <c r="D20" i="61" s="1"/>
  <c r="D19" i="14" l="1"/>
  <c r="H20" i="14" s="1"/>
  <c r="R172" i="13" s="1"/>
  <c r="R178" i="13" s="1"/>
  <c r="R180" i="13" s="1"/>
  <c r="F16" i="52" s="1"/>
  <c r="AD164" i="13"/>
  <c r="D15" i="61"/>
  <c r="D21" i="61" s="1"/>
  <c r="D21" i="52"/>
  <c r="F16" i="61" l="1"/>
  <c r="L16" i="61" s="1"/>
  <c r="L16" i="52"/>
  <c r="F20" i="14"/>
  <c r="J20" i="14"/>
  <c r="T172" i="13" s="1"/>
  <c r="T178" i="13" s="1"/>
  <c r="T180" i="13" s="1"/>
  <c r="F17" i="52" s="1"/>
  <c r="N20" i="14"/>
  <c r="X172" i="13" s="1"/>
  <c r="X178" i="13" s="1"/>
  <c r="X180" i="13" s="1"/>
  <c r="F19" i="52" s="1"/>
  <c r="P20" i="14"/>
  <c r="Z172" i="13" s="1"/>
  <c r="Z178" i="13" s="1"/>
  <c r="Z180" i="13" s="1"/>
  <c r="F20" i="52" s="1"/>
  <c r="L20" i="14"/>
  <c r="V172" i="13" s="1"/>
  <c r="V178" i="13" l="1"/>
  <c r="V180" i="13" s="1"/>
  <c r="F18" i="52" s="1"/>
  <c r="H18" i="52"/>
  <c r="F20" i="61"/>
  <c r="L20" i="61" s="1"/>
  <c r="L20" i="52"/>
  <c r="F19" i="61"/>
  <c r="L19" i="61" s="1"/>
  <c r="L19" i="52"/>
  <c r="F17" i="61"/>
  <c r="L17" i="61" s="1"/>
  <c r="L17" i="52"/>
  <c r="P172" i="13"/>
  <c r="D20" i="14"/>
  <c r="P16" i="52"/>
  <c r="D16" i="54" s="1"/>
  <c r="Q16" i="52"/>
  <c r="D16" i="68" s="1"/>
  <c r="R16" i="52"/>
  <c r="D16" i="72" s="1"/>
  <c r="S16" i="52"/>
  <c r="D16" i="58" s="1"/>
  <c r="P16" i="61"/>
  <c r="Q16" i="61"/>
  <c r="R16" i="61"/>
  <c r="S16" i="61"/>
  <c r="D16" i="67" l="1"/>
  <c r="J16" i="67" s="1"/>
  <c r="J16" i="58"/>
  <c r="D16" i="75"/>
  <c r="J16" i="75" s="1"/>
  <c r="J16" i="72"/>
  <c r="D16" i="71"/>
  <c r="J16" i="71" s="1"/>
  <c r="J16" i="68"/>
  <c r="D16" i="63"/>
  <c r="J16" i="63" s="1"/>
  <c r="J16" i="54"/>
  <c r="AB172" i="13"/>
  <c r="P178" i="13"/>
  <c r="P180" i="13" s="1"/>
  <c r="F15" i="52" s="1"/>
  <c r="P17" i="52"/>
  <c r="D17" i="54" s="1"/>
  <c r="Q17" i="52"/>
  <c r="D17" i="68" s="1"/>
  <c r="R17" i="52"/>
  <c r="D17" i="72" s="1"/>
  <c r="S17" i="52"/>
  <c r="D17" i="58" s="1"/>
  <c r="P17" i="61"/>
  <c r="Q17" i="61"/>
  <c r="R17" i="61"/>
  <c r="S17" i="61"/>
  <c r="P19" i="52"/>
  <c r="D19" i="54" s="1"/>
  <c r="Q19" i="52"/>
  <c r="D19" i="68" s="1"/>
  <c r="R19" i="52"/>
  <c r="D19" i="72" s="1"/>
  <c r="S19" i="52"/>
  <c r="D19" i="58" s="1"/>
  <c r="P19" i="61"/>
  <c r="Q19" i="61"/>
  <c r="R19" i="61"/>
  <c r="S19" i="61"/>
  <c r="P20" i="52"/>
  <c r="D20" i="54" s="1"/>
  <c r="Q20" i="52"/>
  <c r="D20" i="68" s="1"/>
  <c r="R20" i="52"/>
  <c r="D20" i="72" s="1"/>
  <c r="S20" i="52"/>
  <c r="D20" i="58" s="1"/>
  <c r="P20" i="61"/>
  <c r="Q20" i="61"/>
  <c r="R20" i="61"/>
  <c r="S20" i="61"/>
  <c r="H18" i="61"/>
  <c r="H21" i="61" s="1"/>
  <c r="H21" i="52"/>
  <c r="F18" i="61"/>
  <c r="L18" i="52"/>
  <c r="L18" i="61" l="1"/>
  <c r="P18" i="52"/>
  <c r="D18" i="54" s="1"/>
  <c r="Q18" i="52"/>
  <c r="D18" i="68" s="1"/>
  <c r="R18" i="52"/>
  <c r="D18" i="72" s="1"/>
  <c r="S18" i="52"/>
  <c r="D18" i="58" s="1"/>
  <c r="P18" i="61"/>
  <c r="Q18" i="61"/>
  <c r="R18" i="61"/>
  <c r="S18" i="61"/>
  <c r="D20" i="67"/>
  <c r="J20" i="67" s="1"/>
  <c r="J20" i="58"/>
  <c r="D20" i="75"/>
  <c r="J20" i="75" s="1"/>
  <c r="J20" i="72"/>
  <c r="D20" i="71"/>
  <c r="J20" i="71" s="1"/>
  <c r="J20" i="68"/>
  <c r="D20" i="63"/>
  <c r="J20" i="63" s="1"/>
  <c r="J20" i="54"/>
  <c r="D19" i="67"/>
  <c r="J19" i="67" s="1"/>
  <c r="J19" i="58"/>
  <c r="D19" i="75"/>
  <c r="J19" i="75" s="1"/>
  <c r="J19" i="72"/>
  <c r="D19" i="71"/>
  <c r="J19" i="71" s="1"/>
  <c r="J19" i="68"/>
  <c r="D19" i="63"/>
  <c r="J19" i="63" s="1"/>
  <c r="J19" i="54"/>
  <c r="D17" i="67"/>
  <c r="J17" i="67" s="1"/>
  <c r="J17" i="58"/>
  <c r="D17" i="75"/>
  <c r="J17" i="75" s="1"/>
  <c r="J17" i="72"/>
  <c r="D17" i="71"/>
  <c r="J17" i="71" s="1"/>
  <c r="J17" i="68"/>
  <c r="D17" i="63"/>
  <c r="J17" i="63" s="1"/>
  <c r="J17" i="54"/>
  <c r="F15" i="61"/>
  <c r="L15" i="52"/>
  <c r="F21" i="52"/>
  <c r="AD172" i="13"/>
  <c r="AB178" i="13"/>
  <c r="N16" i="54"/>
  <c r="N16" i="63" s="1"/>
  <c r="O16" i="54"/>
  <c r="O16" i="63" s="1"/>
  <c r="P16" i="54"/>
  <c r="P16" i="63" s="1"/>
  <c r="S16" i="54"/>
  <c r="S16" i="63" s="1"/>
  <c r="T16" i="54"/>
  <c r="T16" i="63" s="1"/>
  <c r="U16" i="54"/>
  <c r="U16" i="63" s="1"/>
  <c r="V16" i="54"/>
  <c r="V16" i="63" s="1"/>
  <c r="W16" i="54"/>
  <c r="W16" i="63" s="1"/>
  <c r="X16" i="54"/>
  <c r="X16" i="63" s="1"/>
  <c r="Y16" i="54"/>
  <c r="Y16" i="63" s="1"/>
  <c r="Z16" i="54"/>
  <c r="Z16" i="63" s="1"/>
  <c r="AA16" i="54"/>
  <c r="AA16" i="63" s="1"/>
  <c r="AB16" i="54"/>
  <c r="AB16" i="63" s="1"/>
  <c r="AC16" i="54"/>
  <c r="AC16" i="63" s="1"/>
  <c r="N16" i="68"/>
  <c r="N16" i="71" s="1"/>
  <c r="O16" i="68"/>
  <c r="O16" i="71" s="1"/>
  <c r="P16" i="68"/>
  <c r="P16" i="71" s="1"/>
  <c r="S16" i="68"/>
  <c r="S16" i="71" s="1"/>
  <c r="T16" i="68"/>
  <c r="T16" i="71" s="1"/>
  <c r="U16" i="68"/>
  <c r="U16" i="71" s="1"/>
  <c r="V16" i="68"/>
  <c r="V16" i="71" s="1"/>
  <c r="W16" i="68"/>
  <c r="W16" i="71" s="1"/>
  <c r="X16" i="68"/>
  <c r="X16" i="71" s="1"/>
  <c r="Y16" i="68"/>
  <c r="Y16" i="71" s="1"/>
  <c r="Z16" i="68"/>
  <c r="Z16" i="71" s="1"/>
  <c r="AA16" i="68"/>
  <c r="AA16" i="71" s="1"/>
  <c r="AB16" i="68"/>
  <c r="AB16" i="71" s="1"/>
  <c r="AC16" i="68"/>
  <c r="AC16" i="71" s="1"/>
  <c r="N16" i="72"/>
  <c r="N16" i="75" s="1"/>
  <c r="O16" i="72"/>
  <c r="O16" i="75" s="1"/>
  <c r="P16" i="72"/>
  <c r="P16" i="75" s="1"/>
  <c r="S16" i="72"/>
  <c r="S16" i="75" s="1"/>
  <c r="T16" i="72"/>
  <c r="T16" i="75" s="1"/>
  <c r="U16" i="72"/>
  <c r="U16" i="75" s="1"/>
  <c r="V16" i="72"/>
  <c r="V16" i="75" s="1"/>
  <c r="W16" i="72"/>
  <c r="W16" i="75" s="1"/>
  <c r="X16" i="72"/>
  <c r="X16" i="75" s="1"/>
  <c r="Y16" i="72"/>
  <c r="Y16" i="75" s="1"/>
  <c r="Z16" i="72"/>
  <c r="Z16" i="75" s="1"/>
  <c r="AA16" i="72"/>
  <c r="AA16" i="75" s="1"/>
  <c r="AB16" i="72"/>
  <c r="AB16" i="75" s="1"/>
  <c r="AC16" i="72"/>
  <c r="AC16" i="75" s="1"/>
  <c r="N16" i="58"/>
  <c r="O16" i="58"/>
  <c r="P16" i="58"/>
  <c r="Q16" i="58"/>
  <c r="R16" i="58"/>
  <c r="N16" i="67"/>
  <c r="O16" i="67"/>
  <c r="P16" i="67"/>
  <c r="Q16" i="67"/>
  <c r="AD178" i="13" l="1"/>
  <c r="AB180" i="13"/>
  <c r="AD180" i="13" s="1"/>
  <c r="P15" i="52"/>
  <c r="Q15" i="52"/>
  <c r="R15" i="52"/>
  <c r="S15" i="52"/>
  <c r="L21" i="52"/>
  <c r="L15" i="61"/>
  <c r="F21" i="61"/>
  <c r="N17" i="54"/>
  <c r="N17" i="63" s="1"/>
  <c r="O17" i="54"/>
  <c r="O17" i="63" s="1"/>
  <c r="P17" i="54"/>
  <c r="P17" i="63" s="1"/>
  <c r="S17" i="54"/>
  <c r="S17" i="63" s="1"/>
  <c r="T17" i="54"/>
  <c r="T17" i="63" s="1"/>
  <c r="U17" i="54"/>
  <c r="U17" i="63" s="1"/>
  <c r="V17" i="54"/>
  <c r="V17" i="63" s="1"/>
  <c r="W17" i="54"/>
  <c r="W17" i="63" s="1"/>
  <c r="X17" i="54"/>
  <c r="X17" i="63" s="1"/>
  <c r="Y17" i="54"/>
  <c r="Y17" i="63" s="1"/>
  <c r="Z17" i="54"/>
  <c r="Z17" i="63" s="1"/>
  <c r="AA17" i="54"/>
  <c r="AA17" i="63" s="1"/>
  <c r="AB17" i="54"/>
  <c r="AB17" i="63" s="1"/>
  <c r="AC17" i="54"/>
  <c r="AC17" i="63" s="1"/>
  <c r="N17" i="68"/>
  <c r="N17" i="71" s="1"/>
  <c r="O17" i="68"/>
  <c r="O17" i="71" s="1"/>
  <c r="P17" i="68"/>
  <c r="P17" i="71" s="1"/>
  <c r="S17" i="68"/>
  <c r="S17" i="71" s="1"/>
  <c r="T17" i="68"/>
  <c r="T17" i="71" s="1"/>
  <c r="U17" i="68"/>
  <c r="U17" i="71" s="1"/>
  <c r="V17" i="68"/>
  <c r="V17" i="71" s="1"/>
  <c r="W17" i="68"/>
  <c r="W17" i="71" s="1"/>
  <c r="X17" i="68"/>
  <c r="X17" i="71" s="1"/>
  <c r="Y17" i="68"/>
  <c r="Y17" i="71" s="1"/>
  <c r="Z17" i="68"/>
  <c r="Z17" i="71" s="1"/>
  <c r="AA17" i="68"/>
  <c r="AA17" i="71" s="1"/>
  <c r="AB17" i="68"/>
  <c r="AB17" i="71" s="1"/>
  <c r="AC17" i="68"/>
  <c r="AC17" i="71" s="1"/>
  <c r="N17" i="72"/>
  <c r="N17" i="75" s="1"/>
  <c r="O17" i="72"/>
  <c r="O17" i="75" s="1"/>
  <c r="P17" i="72"/>
  <c r="P17" i="75" s="1"/>
  <c r="S17" i="72"/>
  <c r="S17" i="75" s="1"/>
  <c r="T17" i="72"/>
  <c r="T17" i="75" s="1"/>
  <c r="U17" i="72"/>
  <c r="U17" i="75" s="1"/>
  <c r="V17" i="72"/>
  <c r="V17" i="75" s="1"/>
  <c r="W17" i="72"/>
  <c r="W17" i="75" s="1"/>
  <c r="X17" i="72"/>
  <c r="X17" i="75" s="1"/>
  <c r="Y17" i="72"/>
  <c r="Y17" i="75" s="1"/>
  <c r="Z17" i="72"/>
  <c r="Z17" i="75" s="1"/>
  <c r="AA17" i="72"/>
  <c r="AA17" i="75" s="1"/>
  <c r="AB17" i="72"/>
  <c r="AB17" i="75" s="1"/>
  <c r="AC17" i="72"/>
  <c r="AC17" i="75" s="1"/>
  <c r="N17" i="58"/>
  <c r="O17" i="58"/>
  <c r="P17" i="58"/>
  <c r="Q17" i="58"/>
  <c r="R17" i="58"/>
  <c r="N17" i="67"/>
  <c r="O17" i="67"/>
  <c r="P17" i="67"/>
  <c r="Q17" i="67"/>
  <c r="N19" i="54"/>
  <c r="N19" i="63" s="1"/>
  <c r="O19" i="54"/>
  <c r="O19" i="63" s="1"/>
  <c r="P19" i="54"/>
  <c r="P19" i="63" s="1"/>
  <c r="S19" i="54"/>
  <c r="S19" i="63" s="1"/>
  <c r="T19" i="54"/>
  <c r="T19" i="63" s="1"/>
  <c r="U19" i="54"/>
  <c r="U19" i="63" s="1"/>
  <c r="V19" i="54"/>
  <c r="V19" i="63" s="1"/>
  <c r="W19" i="54"/>
  <c r="W19" i="63" s="1"/>
  <c r="X19" i="54"/>
  <c r="X19" i="63" s="1"/>
  <c r="Y19" i="54"/>
  <c r="Y19" i="63" s="1"/>
  <c r="Z19" i="54"/>
  <c r="Z19" i="63" s="1"/>
  <c r="AA19" i="54"/>
  <c r="AA19" i="63" s="1"/>
  <c r="AB19" i="54"/>
  <c r="AB19" i="63" s="1"/>
  <c r="AC19" i="54"/>
  <c r="AC19" i="63" s="1"/>
  <c r="N19" i="68"/>
  <c r="N19" i="71" s="1"/>
  <c r="O19" i="68"/>
  <c r="O19" i="71" s="1"/>
  <c r="P19" i="68"/>
  <c r="P19" i="71" s="1"/>
  <c r="S19" i="68"/>
  <c r="S19" i="71" s="1"/>
  <c r="T19" i="68"/>
  <c r="T19" i="71" s="1"/>
  <c r="U19" i="68"/>
  <c r="U19" i="71" s="1"/>
  <c r="V19" i="68"/>
  <c r="V19" i="71" s="1"/>
  <c r="W19" i="68"/>
  <c r="W19" i="71" s="1"/>
  <c r="X19" i="68"/>
  <c r="X19" i="71" s="1"/>
  <c r="Y19" i="68"/>
  <c r="Y19" i="71" s="1"/>
  <c r="Z19" i="68"/>
  <c r="Z19" i="71" s="1"/>
  <c r="AA19" i="68"/>
  <c r="AA19" i="71" s="1"/>
  <c r="AB19" i="68"/>
  <c r="AB19" i="71" s="1"/>
  <c r="AC19" i="68"/>
  <c r="AC19" i="71" s="1"/>
  <c r="N19" i="72"/>
  <c r="N19" i="75" s="1"/>
  <c r="O19" i="72"/>
  <c r="O19" i="75" s="1"/>
  <c r="P19" i="72"/>
  <c r="P19" i="75" s="1"/>
  <c r="S19" i="72"/>
  <c r="S19" i="75" s="1"/>
  <c r="T19" i="72"/>
  <c r="T19" i="75" s="1"/>
  <c r="U19" i="72"/>
  <c r="U19" i="75" s="1"/>
  <c r="V19" i="72"/>
  <c r="V19" i="75" s="1"/>
  <c r="W19" i="72"/>
  <c r="W19" i="75" s="1"/>
  <c r="X19" i="72"/>
  <c r="X19" i="75" s="1"/>
  <c r="Y19" i="72"/>
  <c r="Y19" i="75" s="1"/>
  <c r="Z19" i="72"/>
  <c r="Z19" i="75" s="1"/>
  <c r="AA19" i="72"/>
  <c r="AA19" i="75" s="1"/>
  <c r="AB19" i="72"/>
  <c r="AB19" i="75" s="1"/>
  <c r="AC19" i="72"/>
  <c r="AC19" i="75" s="1"/>
  <c r="N19" i="58"/>
  <c r="O19" i="58"/>
  <c r="P19" i="58"/>
  <c r="Q19" i="58"/>
  <c r="R19" i="58"/>
  <c r="N19" i="67"/>
  <c r="O19" i="67"/>
  <c r="P19" i="67"/>
  <c r="Q19" i="67"/>
  <c r="N20" i="54"/>
  <c r="N20" i="63" s="1"/>
  <c r="O20" i="54"/>
  <c r="O20" i="63" s="1"/>
  <c r="P20" i="54"/>
  <c r="P20" i="63" s="1"/>
  <c r="S20" i="54"/>
  <c r="S20" i="63" s="1"/>
  <c r="T20" i="54"/>
  <c r="T20" i="63" s="1"/>
  <c r="U20" i="54"/>
  <c r="U20" i="63" s="1"/>
  <c r="V20" i="54"/>
  <c r="V20" i="63" s="1"/>
  <c r="W20" i="54"/>
  <c r="W20" i="63" s="1"/>
  <c r="X20" i="54"/>
  <c r="X20" i="63" s="1"/>
  <c r="Y20" i="54"/>
  <c r="Y20" i="63" s="1"/>
  <c r="Z20" i="54"/>
  <c r="Z20" i="63" s="1"/>
  <c r="AA20" i="54"/>
  <c r="AA20" i="63" s="1"/>
  <c r="AB20" i="54"/>
  <c r="AB20" i="63" s="1"/>
  <c r="AC20" i="54"/>
  <c r="AC20" i="63" s="1"/>
  <c r="N20" i="68"/>
  <c r="N20" i="71" s="1"/>
  <c r="O20" i="68"/>
  <c r="O20" i="71" s="1"/>
  <c r="P20" i="68"/>
  <c r="P20" i="71" s="1"/>
  <c r="S20" i="68"/>
  <c r="S20" i="71" s="1"/>
  <c r="T20" i="68"/>
  <c r="T20" i="71" s="1"/>
  <c r="U20" i="68"/>
  <c r="U20" i="71" s="1"/>
  <c r="V20" i="68"/>
  <c r="V20" i="71" s="1"/>
  <c r="W20" i="68"/>
  <c r="W20" i="71" s="1"/>
  <c r="X20" i="68"/>
  <c r="X20" i="71" s="1"/>
  <c r="Y20" i="68"/>
  <c r="Y20" i="71" s="1"/>
  <c r="Z20" i="68"/>
  <c r="Z20" i="71" s="1"/>
  <c r="AA20" i="68"/>
  <c r="AA20" i="71" s="1"/>
  <c r="AB20" i="68"/>
  <c r="AB20" i="71" s="1"/>
  <c r="AC20" i="68"/>
  <c r="AC20" i="71" s="1"/>
  <c r="N20" i="72"/>
  <c r="N20" i="75" s="1"/>
  <c r="O20" i="72"/>
  <c r="O20" i="75" s="1"/>
  <c r="P20" i="72"/>
  <c r="P20" i="75" s="1"/>
  <c r="S20" i="72"/>
  <c r="S20" i="75" s="1"/>
  <c r="T20" i="72"/>
  <c r="T20" i="75" s="1"/>
  <c r="U20" i="72"/>
  <c r="U20" i="75" s="1"/>
  <c r="V20" i="72"/>
  <c r="V20" i="75" s="1"/>
  <c r="W20" i="72"/>
  <c r="W20" i="75" s="1"/>
  <c r="X20" i="72"/>
  <c r="X20" i="75" s="1"/>
  <c r="Y20" i="72"/>
  <c r="Y20" i="75" s="1"/>
  <c r="Z20" i="72"/>
  <c r="Z20" i="75" s="1"/>
  <c r="AA20" i="72"/>
  <c r="AA20" i="75" s="1"/>
  <c r="AB20" i="72"/>
  <c r="AB20" i="75" s="1"/>
  <c r="AC20" i="72"/>
  <c r="AC20" i="75" s="1"/>
  <c r="N20" i="58"/>
  <c r="O20" i="58"/>
  <c r="P20" i="58"/>
  <c r="Q20" i="58"/>
  <c r="R20" i="58"/>
  <c r="N20" i="67"/>
  <c r="O20" i="67"/>
  <c r="P20" i="67"/>
  <c r="Q20" i="67"/>
  <c r="D18" i="67"/>
  <c r="J18" i="67" s="1"/>
  <c r="J18" i="58"/>
  <c r="D18" i="75"/>
  <c r="J18" i="75" s="1"/>
  <c r="J18" i="72"/>
  <c r="D18" i="71"/>
  <c r="J18" i="71" s="1"/>
  <c r="J18" i="68"/>
  <c r="D18" i="63"/>
  <c r="J18" i="63" s="1"/>
  <c r="J18" i="54"/>
  <c r="N18" i="54" l="1"/>
  <c r="N18" i="63" s="1"/>
  <c r="O18" i="54"/>
  <c r="O18" i="63" s="1"/>
  <c r="P18" i="54"/>
  <c r="P18" i="63" s="1"/>
  <c r="S18" i="54"/>
  <c r="S18" i="63" s="1"/>
  <c r="T18" i="54"/>
  <c r="T18" i="63" s="1"/>
  <c r="U18" i="54"/>
  <c r="U18" i="63" s="1"/>
  <c r="V18" i="54"/>
  <c r="V18" i="63" s="1"/>
  <c r="W18" i="54"/>
  <c r="W18" i="63" s="1"/>
  <c r="X18" i="54"/>
  <c r="X18" i="63" s="1"/>
  <c r="Y18" i="54"/>
  <c r="Y18" i="63" s="1"/>
  <c r="Z18" i="54"/>
  <c r="Z18" i="63" s="1"/>
  <c r="AA18" i="54"/>
  <c r="AA18" i="63" s="1"/>
  <c r="AB18" i="54"/>
  <c r="AB18" i="63" s="1"/>
  <c r="AC18" i="54"/>
  <c r="AC18" i="63" s="1"/>
  <c r="N18" i="68"/>
  <c r="N18" i="71" s="1"/>
  <c r="O18" i="68"/>
  <c r="O18" i="71" s="1"/>
  <c r="P18" i="68"/>
  <c r="P18" i="71" s="1"/>
  <c r="S18" i="68"/>
  <c r="S18" i="71" s="1"/>
  <c r="T18" i="68"/>
  <c r="T18" i="71" s="1"/>
  <c r="U18" i="68"/>
  <c r="U18" i="71" s="1"/>
  <c r="V18" i="68"/>
  <c r="V18" i="71" s="1"/>
  <c r="W18" i="68"/>
  <c r="W18" i="71" s="1"/>
  <c r="X18" i="68"/>
  <c r="X18" i="71" s="1"/>
  <c r="Y18" i="68"/>
  <c r="Y18" i="71" s="1"/>
  <c r="Z18" i="68"/>
  <c r="Z18" i="71" s="1"/>
  <c r="AA18" i="68"/>
  <c r="AA18" i="71" s="1"/>
  <c r="AB18" i="68"/>
  <c r="AB18" i="71" s="1"/>
  <c r="AC18" i="68"/>
  <c r="AC18" i="71" s="1"/>
  <c r="N18" i="72"/>
  <c r="N18" i="75" s="1"/>
  <c r="O18" i="72"/>
  <c r="O18" i="75" s="1"/>
  <c r="P18" i="72"/>
  <c r="P18" i="75" s="1"/>
  <c r="S18" i="72"/>
  <c r="S18" i="75" s="1"/>
  <c r="T18" i="72"/>
  <c r="T18" i="75" s="1"/>
  <c r="U18" i="72"/>
  <c r="U18" i="75" s="1"/>
  <c r="V18" i="72"/>
  <c r="V18" i="75" s="1"/>
  <c r="W18" i="72"/>
  <c r="W18" i="75" s="1"/>
  <c r="X18" i="72"/>
  <c r="X18" i="75" s="1"/>
  <c r="Y18" i="72"/>
  <c r="Y18" i="75" s="1"/>
  <c r="Z18" i="72"/>
  <c r="Z18" i="75" s="1"/>
  <c r="AA18" i="72"/>
  <c r="AA18" i="75" s="1"/>
  <c r="AB18" i="72"/>
  <c r="AB18" i="75" s="1"/>
  <c r="AC18" i="72"/>
  <c r="AC18" i="75" s="1"/>
  <c r="N18" i="58"/>
  <c r="O18" i="58"/>
  <c r="P18" i="58"/>
  <c r="Q18" i="58"/>
  <c r="R18" i="58"/>
  <c r="N18" i="67"/>
  <c r="O18" i="67"/>
  <c r="P18" i="67"/>
  <c r="Q18" i="67"/>
  <c r="P15" i="61"/>
  <c r="P21" i="61" s="1"/>
  <c r="Q15" i="61"/>
  <c r="Q21" i="61" s="1"/>
  <c r="R15" i="61"/>
  <c r="R21" i="61" s="1"/>
  <c r="S15" i="61"/>
  <c r="S21" i="61" s="1"/>
  <c r="L21" i="61"/>
  <c r="S21" i="52"/>
  <c r="D15" i="58"/>
  <c r="D15" i="72"/>
  <c r="R21" i="52"/>
  <c r="D15" i="68"/>
  <c r="Q21" i="52"/>
  <c r="D15" i="54"/>
  <c r="P21" i="52"/>
  <c r="D15" i="63" l="1"/>
  <c r="J15" i="54"/>
  <c r="D21" i="54"/>
  <c r="D15" i="71"/>
  <c r="J15" i="68"/>
  <c r="D21" i="68"/>
  <c r="D15" i="75"/>
  <c r="J15" i="72"/>
  <c r="D21" i="72"/>
  <c r="D15" i="67"/>
  <c r="J15" i="58"/>
  <c r="D21" i="58"/>
  <c r="N15" i="58" l="1"/>
  <c r="N21" i="58" s="1"/>
  <c r="O15" i="58"/>
  <c r="O21" i="58" s="1"/>
  <c r="P15" i="58"/>
  <c r="P21" i="58" s="1"/>
  <c r="Q15" i="58"/>
  <c r="Q21" i="58" s="1"/>
  <c r="R15" i="58"/>
  <c r="R21" i="58" s="1"/>
  <c r="J21" i="58"/>
  <c r="J15" i="67"/>
  <c r="D21" i="67"/>
  <c r="N15" i="72"/>
  <c r="O15" i="72"/>
  <c r="P15" i="72"/>
  <c r="S15" i="72"/>
  <c r="T15" i="72"/>
  <c r="U15" i="72"/>
  <c r="V15" i="72"/>
  <c r="W15" i="72"/>
  <c r="X15" i="72"/>
  <c r="Y15" i="72"/>
  <c r="Z15" i="72"/>
  <c r="AA15" i="72"/>
  <c r="AB15" i="72"/>
  <c r="AC15" i="72"/>
  <c r="J21" i="72"/>
  <c r="J15" i="75"/>
  <c r="J21" i="75" s="1"/>
  <c r="D21" i="75"/>
  <c r="N15" i="68"/>
  <c r="O15" i="68"/>
  <c r="P15" i="68"/>
  <c r="S15" i="68"/>
  <c r="T15" i="68"/>
  <c r="U15" i="68"/>
  <c r="V15" i="68"/>
  <c r="W15" i="68"/>
  <c r="X15" i="68"/>
  <c r="Y15" i="68"/>
  <c r="Z15" i="68"/>
  <c r="AA15" i="68"/>
  <c r="AB15" i="68"/>
  <c r="AC15" i="68"/>
  <c r="J21" i="68"/>
  <c r="J15" i="71"/>
  <c r="J21" i="71" s="1"/>
  <c r="D21" i="71"/>
  <c r="N15" i="54"/>
  <c r="O15" i="54"/>
  <c r="P15" i="54"/>
  <c r="S15" i="54"/>
  <c r="T15" i="54"/>
  <c r="U15" i="54"/>
  <c r="V15" i="54"/>
  <c r="W15" i="54"/>
  <c r="X15" i="54"/>
  <c r="Y15" i="54"/>
  <c r="Z15" i="54"/>
  <c r="AA15" i="54"/>
  <c r="AB15" i="54"/>
  <c r="AC15" i="54"/>
  <c r="J21" i="54"/>
  <c r="J15" i="63"/>
  <c r="J21" i="63" s="1"/>
  <c r="D21" i="63"/>
  <c r="AC15" i="63" l="1"/>
  <c r="AC21" i="63" s="1"/>
  <c r="AC21" i="54"/>
  <c r="AB15" i="63"/>
  <c r="AB21" i="63" s="1"/>
  <c r="AB21" i="54"/>
  <c r="AA15" i="63"/>
  <c r="AA21" i="63" s="1"/>
  <c r="AA21" i="54"/>
  <c r="Z15" i="63"/>
  <c r="Z21" i="63" s="1"/>
  <c r="Z21" i="54"/>
  <c r="Y15" i="63"/>
  <c r="Y21" i="63" s="1"/>
  <c r="Y21" i="54"/>
  <c r="X15" i="63"/>
  <c r="X21" i="63" s="1"/>
  <c r="X21" i="54"/>
  <c r="W15" i="63"/>
  <c r="W21" i="63" s="1"/>
  <c r="W21" i="54"/>
  <c r="V15" i="63"/>
  <c r="V21" i="63" s="1"/>
  <c r="V21" i="54"/>
  <c r="U15" i="63"/>
  <c r="U21" i="63" s="1"/>
  <c r="U21" i="54"/>
  <c r="T15" i="63"/>
  <c r="T21" i="63" s="1"/>
  <c r="T21" i="54"/>
  <c r="S15" i="63"/>
  <c r="S21" i="63" s="1"/>
  <c r="S21" i="54"/>
  <c r="P15" i="63"/>
  <c r="P21" i="63" s="1"/>
  <c r="P21" i="54"/>
  <c r="O15" i="63"/>
  <c r="O21" i="63" s="1"/>
  <c r="O21" i="54"/>
  <c r="N15" i="63"/>
  <c r="N21" i="63" s="1"/>
  <c r="N21" i="54"/>
  <c r="AC15" i="71"/>
  <c r="AC21" i="71" s="1"/>
  <c r="AC21" i="68"/>
  <c r="AB15" i="71"/>
  <c r="AB21" i="71" s="1"/>
  <c r="AB21" i="68"/>
  <c r="AA15" i="71"/>
  <c r="AA21" i="71" s="1"/>
  <c r="AA21" i="68"/>
  <c r="Z15" i="71"/>
  <c r="Z21" i="71" s="1"/>
  <c r="Z21" i="68"/>
  <c r="Y15" i="71"/>
  <c r="Y21" i="71" s="1"/>
  <c r="Y21" i="68"/>
  <c r="X15" i="71"/>
  <c r="X21" i="71" s="1"/>
  <c r="X21" i="68"/>
  <c r="W15" i="71"/>
  <c r="W21" i="71" s="1"/>
  <c r="W21" i="68"/>
  <c r="V15" i="71"/>
  <c r="V21" i="71" s="1"/>
  <c r="V21" i="68"/>
  <c r="U15" i="71"/>
  <c r="U21" i="71" s="1"/>
  <c r="U21" i="68"/>
  <c r="T15" i="71"/>
  <c r="T21" i="71" s="1"/>
  <c r="T21" i="68"/>
  <c r="S15" i="71"/>
  <c r="S21" i="71" s="1"/>
  <c r="S21" i="68"/>
  <c r="P15" i="71"/>
  <c r="P21" i="71" s="1"/>
  <c r="P21" i="68"/>
  <c r="O15" i="71"/>
  <c r="O21" i="71" s="1"/>
  <c r="O21" i="68"/>
  <c r="N15" i="71"/>
  <c r="N21" i="71" s="1"/>
  <c r="N21" i="68"/>
  <c r="AC15" i="75"/>
  <c r="AC21" i="75" s="1"/>
  <c r="AC21" i="72"/>
  <c r="AB15" i="75"/>
  <c r="AB21" i="75" s="1"/>
  <c r="AB21" i="72"/>
  <c r="AA15" i="75"/>
  <c r="AA21" i="75" s="1"/>
  <c r="AA21" i="72"/>
  <c r="Z15" i="75"/>
  <c r="Z21" i="75" s="1"/>
  <c r="Z21" i="72"/>
  <c r="Y15" i="75"/>
  <c r="Y21" i="75" s="1"/>
  <c r="Y21" i="72"/>
  <c r="X15" i="75"/>
  <c r="X21" i="75" s="1"/>
  <c r="X21" i="72"/>
  <c r="W15" i="75"/>
  <c r="W21" i="75" s="1"/>
  <c r="W21" i="72"/>
  <c r="V15" i="75"/>
  <c r="V21" i="75" s="1"/>
  <c r="V21" i="72"/>
  <c r="U15" i="75"/>
  <c r="U21" i="75" s="1"/>
  <c r="U21" i="72"/>
  <c r="T15" i="75"/>
  <c r="T21" i="75" s="1"/>
  <c r="T21" i="72"/>
  <c r="S15" i="75"/>
  <c r="S21" i="75" s="1"/>
  <c r="S21" i="72"/>
  <c r="P15" i="75"/>
  <c r="P21" i="75" s="1"/>
  <c r="P21" i="72"/>
  <c r="O15" i="75"/>
  <c r="O21" i="75" s="1"/>
  <c r="O21" i="72"/>
  <c r="N15" i="75"/>
  <c r="N21" i="75" s="1"/>
  <c r="N21" i="72"/>
  <c r="N15" i="67"/>
  <c r="N21" i="67" s="1"/>
  <c r="O15" i="67"/>
  <c r="O21" i="67" s="1"/>
  <c r="P15" i="67"/>
  <c r="P21" i="67" s="1"/>
  <c r="Q15" i="67"/>
  <c r="Q21" i="67" s="1"/>
  <c r="J21" i="67"/>
  <c r="D54" i="12" l="1"/>
  <c r="X55" i="12"/>
  <c r="AH160" i="7" s="1"/>
  <c r="BJ160" i="7" s="1"/>
  <c r="BJ162" i="7" s="1"/>
  <c r="X42" i="12" s="1"/>
  <c r="F55" i="12"/>
  <c r="P160" i="7"/>
  <c r="AR160" i="7" s="1"/>
  <c r="AR162" i="7" s="1"/>
  <c r="F42" i="12" s="1"/>
  <c r="T55" i="12"/>
  <c r="AD160" i="7"/>
  <c r="BF160" i="7" s="1"/>
  <c r="BF162" i="7" s="1"/>
  <c r="T42" i="12" s="1"/>
  <c r="P55" i="12"/>
  <c r="Z160" i="7"/>
  <c r="BB160" i="7" s="1"/>
  <c r="BB162" i="7" s="1"/>
  <c r="P42" i="12" s="1"/>
  <c r="L55" i="12"/>
  <c r="V160" i="7"/>
  <c r="AX160" i="7" s="1"/>
  <c r="AX162" i="7" s="1"/>
  <c r="L42" i="12" s="1"/>
  <c r="J55" i="12"/>
  <c r="T160" i="7"/>
  <c r="AV160" i="7" s="1"/>
  <c r="AV162" i="7" s="1"/>
  <c r="J42" i="12" s="1"/>
  <c r="H55" i="12"/>
  <c r="R160" i="7" s="1"/>
  <c r="AT160" i="7" s="1"/>
  <c r="AT162" i="7" s="1"/>
  <c r="H42" i="12" s="1"/>
  <c r="R55" i="12"/>
  <c r="AB160" i="7"/>
  <c r="BD160" i="7" s="1"/>
  <c r="BD162" i="7" s="1"/>
  <c r="R42" i="12" s="1"/>
  <c r="V55" i="12"/>
  <c r="AF160" i="7"/>
  <c r="F160" i="50" s="1"/>
  <c r="L160" i="50" s="1"/>
  <c r="N55" i="12"/>
  <c r="X160" i="7"/>
  <c r="AZ160" i="7" s="1"/>
  <c r="AZ162" i="7" s="1"/>
  <c r="N42" i="12" s="1"/>
  <c r="BH160" i="7" l="1"/>
  <c r="BL160" i="7" s="1"/>
  <c r="BL162" i="7" s="1"/>
  <c r="AJ160" i="7"/>
  <c r="AL160" i="7" s="1"/>
  <c r="D55" i="12"/>
  <c r="Z160" i="50" l="1"/>
  <c r="BH162" i="7"/>
  <c r="V42" i="12" s="1"/>
  <c r="D42" i="12" s="1"/>
  <c r="N43" i="12" s="1"/>
  <c r="X159" i="7" s="1"/>
  <c r="X162" i="7" s="1"/>
  <c r="AL46" i="12" s="1"/>
  <c r="R43" i="12" l="1"/>
  <c r="AB159" i="7" s="1"/>
  <c r="AB162" i="7" s="1"/>
  <c r="X43" i="12"/>
  <c r="AH159" i="7" s="1"/>
  <c r="AH162" i="7" s="1"/>
  <c r="AV46" i="12" s="1"/>
  <c r="J43" i="12"/>
  <c r="T159" i="7" s="1"/>
  <c r="T162" i="7" s="1"/>
  <c r="AH46" i="12" s="1"/>
  <c r="H43" i="12"/>
  <c r="R159" i="7" s="1"/>
  <c r="R162" i="7" s="1"/>
  <c r="AF46" i="12" s="1"/>
  <c r="P43" i="12"/>
  <c r="Z159" i="7" s="1"/>
  <c r="Z162" i="7" s="1"/>
  <c r="AN46" i="12" s="1"/>
  <c r="V43" i="12"/>
  <c r="AF159" i="7" s="1"/>
  <c r="F159" i="50" s="1"/>
  <c r="L43" i="12"/>
  <c r="V159" i="7" s="1"/>
  <c r="V162" i="7" s="1"/>
  <c r="AJ46" i="12" s="1"/>
  <c r="T43" i="12"/>
  <c r="AD159" i="7" s="1"/>
  <c r="AD162" i="7" s="1"/>
  <c r="AR46" i="12" s="1"/>
  <c r="F43" i="12"/>
  <c r="P159" i="7" s="1"/>
  <c r="AA160" i="50"/>
  <c r="Z162" i="50"/>
  <c r="AP46" i="12"/>
  <c r="AF162" i="7" l="1"/>
  <c r="D43" i="12"/>
  <c r="L159" i="50"/>
  <c r="L162" i="50" s="1"/>
  <c r="AA159" i="50"/>
  <c r="F162" i="50"/>
  <c r="AT46" i="12"/>
  <c r="AJ159" i="7"/>
  <c r="AL159" i="7" s="1"/>
  <c r="P162" i="7"/>
  <c r="AD46" i="12" l="1"/>
  <c r="AT47" i="12" s="1"/>
  <c r="AT49" i="12" s="1"/>
  <c r="V39" i="12" s="1"/>
  <c r="AJ162" i="7"/>
  <c r="AD47" i="12" l="1"/>
  <c r="AD49" i="12" s="1"/>
  <c r="F39" i="12" s="1"/>
  <c r="AL47" i="12"/>
  <c r="AL49" i="12" s="1"/>
  <c r="N39" i="12" s="1"/>
  <c r="AR47" i="12"/>
  <c r="AR49" i="12" s="1"/>
  <c r="T39" i="12" s="1"/>
  <c r="AJ47" i="12"/>
  <c r="AJ49" i="12" s="1"/>
  <c r="L39" i="12" s="1"/>
  <c r="AP47" i="12"/>
  <c r="AP49" i="12" s="1"/>
  <c r="R39" i="12" s="1"/>
  <c r="AF47" i="12"/>
  <c r="AF49" i="12" s="1"/>
  <c r="H39" i="12" s="1"/>
  <c r="AV47" i="12"/>
  <c r="AV49" i="12" s="1"/>
  <c r="X39" i="12" s="1"/>
  <c r="AH47" i="12"/>
  <c r="AH49" i="12" s="1"/>
  <c r="J39" i="12" s="1"/>
  <c r="AN47" i="12"/>
  <c r="AN49" i="12" s="1"/>
  <c r="P39" i="12" s="1"/>
  <c r="AL162" i="7"/>
  <c r="D39" i="12" l="1"/>
  <c r="V40" i="12" s="1"/>
  <c r="X40" i="12" l="1"/>
  <c r="AH55" i="7" s="1"/>
  <c r="AH57" i="7" s="1"/>
  <c r="N40" i="12"/>
  <c r="X103" i="7" s="1"/>
  <c r="X104" i="7" s="1"/>
  <c r="L40" i="12"/>
  <c r="V103" i="7" s="1"/>
  <c r="V104" i="7" s="1"/>
  <c r="R40" i="12"/>
  <c r="F40" i="12"/>
  <c r="AB33" i="7"/>
  <c r="AB103" i="7"/>
  <c r="AB104" i="7" s="1"/>
  <c r="AB55" i="7"/>
  <c r="AB57" i="7" s="1"/>
  <c r="J40" i="12"/>
  <c r="X55" i="7"/>
  <c r="X57" i="7" s="1"/>
  <c r="X33" i="7"/>
  <c r="AF55" i="7"/>
  <c r="AF103" i="7"/>
  <c r="AF33" i="7"/>
  <c r="H40" i="12"/>
  <c r="T40" i="12"/>
  <c r="P40" i="12"/>
  <c r="V55" i="7" l="1"/>
  <c r="V57" i="7" s="1"/>
  <c r="AH33" i="7"/>
  <c r="AH35" i="7" s="1"/>
  <c r="AH103" i="7"/>
  <c r="AH104" i="7" s="1"/>
  <c r="V33" i="7"/>
  <c r="X35" i="7"/>
  <c r="X77" i="7"/>
  <c r="X79" i="7" s="1"/>
  <c r="X92" i="7" s="1"/>
  <c r="Z103" i="7"/>
  <c r="Z104" i="7" s="1"/>
  <c r="Z33" i="7"/>
  <c r="Z55" i="7"/>
  <c r="Z57" i="7" s="1"/>
  <c r="AB35" i="7"/>
  <c r="AB77" i="7"/>
  <c r="AB79" i="7" s="1"/>
  <c r="AB92" i="7" s="1"/>
  <c r="AD103" i="7"/>
  <c r="AD104" i="7" s="1"/>
  <c r="AD33" i="7"/>
  <c r="AD55" i="7"/>
  <c r="AD57" i="7" s="1"/>
  <c r="R55" i="7"/>
  <c r="R57" i="7" s="1"/>
  <c r="R33" i="7"/>
  <c r="R103" i="7"/>
  <c r="R104" i="7" s="1"/>
  <c r="P55" i="7"/>
  <c r="D40" i="12"/>
  <c r="P103" i="7"/>
  <c r="P33" i="7"/>
  <c r="AH77" i="7"/>
  <c r="AH79" i="7" s="1"/>
  <c r="AH92" i="7" s="1"/>
  <c r="T103" i="7"/>
  <c r="T104" i="7" s="1"/>
  <c r="T55" i="7"/>
  <c r="T57" i="7" s="1"/>
  <c r="T33" i="7"/>
  <c r="F33" i="50"/>
  <c r="AF35" i="7"/>
  <c r="AF77" i="7"/>
  <c r="F103" i="50"/>
  <c r="AF104" i="7"/>
  <c r="F55" i="50"/>
  <c r="AF57" i="7"/>
  <c r="V77" i="7" l="1"/>
  <c r="V79" i="7" s="1"/>
  <c r="V92" i="7" s="1"/>
  <c r="V35" i="7"/>
  <c r="AD35" i="7"/>
  <c r="AD77" i="7"/>
  <c r="AD79" i="7" s="1"/>
  <c r="AD92" i="7" s="1"/>
  <c r="X60" i="12"/>
  <c r="AH97" i="7"/>
  <c r="L55" i="50"/>
  <c r="L57" i="50" s="1"/>
  <c r="F57" i="50"/>
  <c r="R60" i="12"/>
  <c r="AB97" i="7"/>
  <c r="P77" i="7"/>
  <c r="AJ33" i="7"/>
  <c r="P35" i="7"/>
  <c r="R35" i="7"/>
  <c r="R77" i="7"/>
  <c r="R79" i="7" s="1"/>
  <c r="R92" i="7" s="1"/>
  <c r="L103" i="50"/>
  <c r="L104" i="50" s="1"/>
  <c r="F104" i="50"/>
  <c r="Z77" i="7"/>
  <c r="Z79" i="7" s="1"/>
  <c r="Z92" i="7" s="1"/>
  <c r="Z35" i="7"/>
  <c r="T35" i="7"/>
  <c r="T77" i="7"/>
  <c r="T79" i="7" s="1"/>
  <c r="T92" i="7" s="1"/>
  <c r="L60" i="12"/>
  <c r="V97" i="7"/>
  <c r="AJ103" i="7"/>
  <c r="P104" i="7"/>
  <c r="F77" i="50"/>
  <c r="AF79" i="7"/>
  <c r="AF92" i="7" s="1"/>
  <c r="P57" i="7"/>
  <c r="AJ55" i="7"/>
  <c r="N60" i="12"/>
  <c r="X97" i="7"/>
  <c r="L33" i="50"/>
  <c r="L35" i="50" s="1"/>
  <c r="F35" i="50"/>
  <c r="P79" i="7" l="1"/>
  <c r="P92" i="7" s="1"/>
  <c r="AJ77" i="7"/>
  <c r="AJ104" i="7"/>
  <c r="AL103" i="7"/>
  <c r="J60" i="12"/>
  <c r="T97" i="7"/>
  <c r="F79" i="50"/>
  <c r="F92" i="50" s="1"/>
  <c r="F97" i="50" s="1"/>
  <c r="L77" i="50"/>
  <c r="L79" i="50" s="1"/>
  <c r="L92" i="50" s="1"/>
  <c r="L97" i="50" s="1"/>
  <c r="P60" i="12"/>
  <c r="Z97" i="7"/>
  <c r="AJ57" i="7"/>
  <c r="AL57" i="7" s="1"/>
  <c r="AL55" i="7"/>
  <c r="AJ35" i="7"/>
  <c r="AL35" i="7" s="1"/>
  <c r="AL33" i="7"/>
  <c r="AD97" i="7"/>
  <c r="T60" i="12"/>
  <c r="V60" i="12"/>
  <c r="AF97" i="7"/>
  <c r="R97" i="7"/>
  <c r="H60" i="12"/>
  <c r="AL104" i="7" l="1"/>
  <c r="AL77" i="7"/>
  <c r="AJ79" i="7"/>
  <c r="P97" i="7"/>
  <c r="AJ97" i="7" s="1"/>
  <c r="AL97" i="7" s="1"/>
  <c r="F60" i="12"/>
  <c r="AJ92" i="7" l="1"/>
  <c r="AL92" i="7" s="1"/>
  <c r="AL79" i="7"/>
  <c r="D60" i="12"/>
  <c r="F61" i="12" s="1"/>
  <c r="R61" i="12" l="1"/>
  <c r="AB108" i="7" s="1"/>
  <c r="N61" i="12"/>
  <c r="X108" i="7" s="1"/>
  <c r="L61" i="12"/>
  <c r="V108" i="7" s="1"/>
  <c r="X61" i="12"/>
  <c r="AH108" i="7" s="1"/>
  <c r="P61" i="12"/>
  <c r="Z108" i="7" s="1"/>
  <c r="T61" i="12"/>
  <c r="AD108" i="7" s="1"/>
  <c r="V61" i="12"/>
  <c r="AF108" i="7" s="1"/>
  <c r="H61" i="12"/>
  <c r="R108" i="7" s="1"/>
  <c r="J61" i="12"/>
  <c r="T108" i="7" s="1"/>
  <c r="P108" i="7"/>
  <c r="D61" i="12" l="1"/>
  <c r="T110" i="7"/>
  <c r="T164" i="7"/>
  <c r="R110" i="7"/>
  <c r="R164" i="7"/>
  <c r="AH110" i="7"/>
  <c r="AH164" i="7"/>
  <c r="AF110" i="7"/>
  <c r="F108" i="50"/>
  <c r="AF164" i="7"/>
  <c r="AD110" i="7"/>
  <c r="AD164" i="7"/>
  <c r="Z110" i="7"/>
  <c r="Z164" i="7"/>
  <c r="V110" i="7"/>
  <c r="V164" i="7"/>
  <c r="P110" i="7"/>
  <c r="AJ108" i="7"/>
  <c r="P164" i="7"/>
  <c r="X110" i="7"/>
  <c r="X164" i="7"/>
  <c r="AB110" i="7"/>
  <c r="AB164" i="7"/>
  <c r="L108" i="50" l="1"/>
  <c r="F110" i="50"/>
  <c r="F164" i="50"/>
  <c r="D56" i="52"/>
  <c r="D56" i="61" s="1"/>
  <c r="D43" i="52"/>
  <c r="D43" i="61" s="1"/>
  <c r="P15" i="12"/>
  <c r="D49" i="52"/>
  <c r="D49" i="61" s="1"/>
  <c r="D51" i="52"/>
  <c r="D51" i="61" s="1"/>
  <c r="T15" i="12"/>
  <c r="D50" i="52"/>
  <c r="D50" i="61" s="1"/>
  <c r="R15" i="12"/>
  <c r="N15" i="12"/>
  <c r="D48" i="52"/>
  <c r="D48" i="61" s="1"/>
  <c r="D42" i="52"/>
  <c r="AJ110" i="7"/>
  <c r="AL110" i="7" s="1"/>
  <c r="AL108" i="7"/>
  <c r="AJ164" i="7"/>
  <c r="D44" i="52"/>
  <c r="D44" i="61" s="1"/>
  <c r="J15" i="12"/>
  <c r="D47" i="52"/>
  <c r="D47" i="61" s="1"/>
  <c r="D21" i="76"/>
  <c r="AL164" i="7" l="1"/>
  <c r="D15" i="12"/>
  <c r="J16" i="12" s="1"/>
  <c r="T176" i="7" s="1"/>
  <c r="T178" i="7" s="1"/>
  <c r="T180" i="7" s="1"/>
  <c r="D21" i="79"/>
  <c r="J21" i="79" s="1"/>
  <c r="J21" i="76"/>
  <c r="D42" i="61"/>
  <c r="L110" i="50"/>
  <c r="L164" i="50"/>
  <c r="R16" i="12" l="1"/>
  <c r="AB176" i="7" s="1"/>
  <c r="AB178" i="7" s="1"/>
  <c r="AB180" i="7" s="1"/>
  <c r="F50" i="52" s="1"/>
  <c r="P16" i="12"/>
  <c r="Z176" i="7" s="1"/>
  <c r="Z178" i="7" s="1"/>
  <c r="Z180" i="7" s="1"/>
  <c r="D23" i="76" s="1"/>
  <c r="N16" i="12"/>
  <c r="X176" i="7" s="1"/>
  <c r="X178" i="7" s="1"/>
  <c r="X180" i="7" s="1"/>
  <c r="F48" i="52" s="1"/>
  <c r="T21" i="76"/>
  <c r="S21" i="76"/>
  <c r="X21" i="76"/>
  <c r="U21" i="76"/>
  <c r="AA21" i="76"/>
  <c r="AF21" i="76"/>
  <c r="P21" i="76"/>
  <c r="V21" i="76"/>
  <c r="W21" i="76"/>
  <c r="AC21" i="76"/>
  <c r="Z21" i="76"/>
  <c r="AB21" i="76"/>
  <c r="AD21" i="76"/>
  <c r="AG21" i="76"/>
  <c r="O21" i="76"/>
  <c r="N21" i="76"/>
  <c r="Y21" i="76"/>
  <c r="AE21" i="76"/>
  <c r="F16" i="12"/>
  <c r="H16" i="12"/>
  <c r="R176" i="7" s="1"/>
  <c r="R178" i="7" s="1"/>
  <c r="R180" i="7" s="1"/>
  <c r="L16" i="12"/>
  <c r="V176" i="7" s="1"/>
  <c r="V178" i="7" s="1"/>
  <c r="V180" i="7" s="1"/>
  <c r="F47" i="52" s="1"/>
  <c r="X16" i="12"/>
  <c r="AH176" i="7" s="1"/>
  <c r="AH178" i="7" s="1"/>
  <c r="AH180" i="7" s="1"/>
  <c r="V16" i="12"/>
  <c r="AF176" i="7" s="1"/>
  <c r="F44" i="52"/>
  <c r="D18" i="76"/>
  <c r="W21" i="79"/>
  <c r="V21" i="79"/>
  <c r="Z21" i="79"/>
  <c r="T21" i="79"/>
  <c r="AG21" i="79"/>
  <c r="P21" i="79"/>
  <c r="Y21" i="79"/>
  <c r="AF21" i="79"/>
  <c r="O21" i="79"/>
  <c r="N21" i="79"/>
  <c r="U21" i="79"/>
  <c r="AD21" i="79"/>
  <c r="AE21" i="79"/>
  <c r="AC21" i="79"/>
  <c r="AA21" i="79"/>
  <c r="S21" i="79"/>
  <c r="X21" i="79"/>
  <c r="AB21" i="79"/>
  <c r="T16" i="12"/>
  <c r="AD176" i="7" s="1"/>
  <c r="AD178" i="7" s="1"/>
  <c r="AD180" i="7" s="1"/>
  <c r="F49" i="52" l="1"/>
  <c r="F49" i="61" s="1"/>
  <c r="L49" i="61" s="1"/>
  <c r="D22" i="76"/>
  <c r="D24" i="76"/>
  <c r="AF178" i="7"/>
  <c r="AF180" i="7" s="1"/>
  <c r="F176" i="50"/>
  <c r="P176" i="7"/>
  <c r="D16" i="12"/>
  <c r="L44" i="52"/>
  <c r="F44" i="61"/>
  <c r="L44" i="61" s="1"/>
  <c r="F51" i="52"/>
  <c r="D25" i="76"/>
  <c r="D22" i="79"/>
  <c r="J22" i="79" s="1"/>
  <c r="J22" i="76"/>
  <c r="F43" i="52"/>
  <c r="D17" i="76"/>
  <c r="D23" i="79"/>
  <c r="J23" i="79" s="1"/>
  <c r="J23" i="76"/>
  <c r="F48" i="61"/>
  <c r="L48" i="61" s="1"/>
  <c r="L48" i="52"/>
  <c r="F56" i="52"/>
  <c r="D30" i="76"/>
  <c r="D24" i="79"/>
  <c r="J24" i="79" s="1"/>
  <c r="J24" i="76"/>
  <c r="F47" i="61"/>
  <c r="L47" i="61" s="1"/>
  <c r="L47" i="52"/>
  <c r="J18" i="76"/>
  <c r="D18" i="79"/>
  <c r="J18" i="79" s="1"/>
  <c r="L50" i="52"/>
  <c r="F50" i="61"/>
  <c r="L50" i="61" s="1"/>
  <c r="L49" i="52" l="1"/>
  <c r="O23" i="79"/>
  <c r="Y23" i="79"/>
  <c r="AG23" i="79"/>
  <c r="AA23" i="79"/>
  <c r="W23" i="79"/>
  <c r="U23" i="79"/>
  <c r="AC23" i="79"/>
  <c r="P23" i="79"/>
  <c r="AE23" i="79"/>
  <c r="V23" i="79"/>
  <c r="N23" i="79"/>
  <c r="AD23" i="79"/>
  <c r="AB23" i="79"/>
  <c r="AF23" i="79"/>
  <c r="S23" i="79"/>
  <c r="Z23" i="79"/>
  <c r="X23" i="79"/>
  <c r="T23" i="79"/>
  <c r="AD18" i="76"/>
  <c r="AE18" i="76"/>
  <c r="O18" i="76"/>
  <c r="X18" i="76"/>
  <c r="AA18" i="76"/>
  <c r="AF18" i="76"/>
  <c r="Y18" i="76"/>
  <c r="AG18" i="76"/>
  <c r="AC18" i="76"/>
  <c r="W18" i="76"/>
  <c r="AB18" i="76"/>
  <c r="P18" i="76"/>
  <c r="T18" i="76"/>
  <c r="N18" i="76"/>
  <c r="U18" i="76"/>
  <c r="S18" i="76"/>
  <c r="Z18" i="76"/>
  <c r="V18" i="76"/>
  <c r="D25" i="79"/>
  <c r="J25" i="79" s="1"/>
  <c r="J25" i="76"/>
  <c r="Y22" i="79"/>
  <c r="AB22" i="79"/>
  <c r="O22" i="79"/>
  <c r="Z22" i="79"/>
  <c r="U22" i="79"/>
  <c r="S22" i="79"/>
  <c r="P22" i="79"/>
  <c r="N22" i="79"/>
  <c r="AE22" i="79"/>
  <c r="AA22" i="79"/>
  <c r="W22" i="79"/>
  <c r="V22" i="79"/>
  <c r="AC22" i="79"/>
  <c r="AF22" i="79"/>
  <c r="X22" i="79"/>
  <c r="AD22" i="79"/>
  <c r="T22" i="79"/>
  <c r="AG22" i="79"/>
  <c r="O23" i="76"/>
  <c r="AD23" i="76"/>
  <c r="U23" i="76"/>
  <c r="AA23" i="76"/>
  <c r="N23" i="76"/>
  <c r="W23" i="76"/>
  <c r="V23" i="76"/>
  <c r="AC23" i="76"/>
  <c r="Y23" i="76"/>
  <c r="S23" i="76"/>
  <c r="AB23" i="76"/>
  <c r="AF23" i="76"/>
  <c r="AE23" i="76"/>
  <c r="P23" i="76"/>
  <c r="Z23" i="76"/>
  <c r="X23" i="76"/>
  <c r="AG23" i="76"/>
  <c r="T23" i="76"/>
  <c r="P178" i="7"/>
  <c r="P180" i="7" s="1"/>
  <c r="AJ176" i="7"/>
  <c r="D17" i="79"/>
  <c r="J17" i="79" s="1"/>
  <c r="J17" i="76"/>
  <c r="AG22" i="76"/>
  <c r="Y22" i="76"/>
  <c r="V22" i="76"/>
  <c r="P22" i="76"/>
  <c r="AE22" i="76"/>
  <c r="T22" i="76"/>
  <c r="Z22" i="76"/>
  <c r="AA22" i="76"/>
  <c r="X22" i="76"/>
  <c r="S22" i="76"/>
  <c r="N22" i="76"/>
  <c r="U22" i="76"/>
  <c r="AD22" i="76"/>
  <c r="AF22" i="76"/>
  <c r="AC22" i="76"/>
  <c r="AB22" i="76"/>
  <c r="O22" i="76"/>
  <c r="W22" i="76"/>
  <c r="X24" i="76"/>
  <c r="V24" i="76"/>
  <c r="AE24" i="76"/>
  <c r="AF24" i="76"/>
  <c r="Z24" i="76"/>
  <c r="AA24" i="76"/>
  <c r="P24" i="76"/>
  <c r="Y24" i="76"/>
  <c r="AB24" i="76"/>
  <c r="N24" i="76"/>
  <c r="U24" i="76"/>
  <c r="AC24" i="76"/>
  <c r="O24" i="76"/>
  <c r="AD24" i="76"/>
  <c r="T24" i="76"/>
  <c r="AG24" i="76"/>
  <c r="W24" i="76"/>
  <c r="S24" i="76"/>
  <c r="F51" i="61"/>
  <c r="L51" i="61" s="1"/>
  <c r="L51" i="52"/>
  <c r="L176" i="50"/>
  <c r="F178" i="50"/>
  <c r="F180" i="50" s="1"/>
  <c r="Z18" i="79"/>
  <c r="T18" i="79"/>
  <c r="AD18" i="79"/>
  <c r="V18" i="79"/>
  <c r="Y18" i="79"/>
  <c r="AC18" i="79"/>
  <c r="W18" i="79"/>
  <c r="AE18" i="79"/>
  <c r="P18" i="79"/>
  <c r="AG18" i="79"/>
  <c r="U18" i="79"/>
  <c r="N18" i="79"/>
  <c r="AF18" i="79"/>
  <c r="O18" i="79"/>
  <c r="X18" i="79"/>
  <c r="AB18" i="79"/>
  <c r="AA18" i="79"/>
  <c r="S18" i="79"/>
  <c r="F43" i="61"/>
  <c r="L43" i="61" s="1"/>
  <c r="L43" i="52"/>
  <c r="S24" i="79"/>
  <c r="AC24" i="79"/>
  <c r="Z24" i="79"/>
  <c r="N24" i="79"/>
  <c r="AA24" i="79"/>
  <c r="T24" i="79"/>
  <c r="O24" i="79"/>
  <c r="V24" i="79"/>
  <c r="Y24" i="79"/>
  <c r="AD24" i="79"/>
  <c r="AE24" i="79"/>
  <c r="X24" i="79"/>
  <c r="AF24" i="79"/>
  <c r="W24" i="79"/>
  <c r="P24" i="79"/>
  <c r="AG24" i="79"/>
  <c r="U24" i="79"/>
  <c r="AB24" i="79"/>
  <c r="D30" i="79"/>
  <c r="J30" i="79" s="1"/>
  <c r="J30" i="76"/>
  <c r="F56" i="61"/>
  <c r="L56" i="61" s="1"/>
  <c r="L56" i="52"/>
  <c r="AE25" i="76" l="1"/>
  <c r="X25" i="76"/>
  <c r="O25" i="76"/>
  <c r="AD25" i="76"/>
  <c r="AA25" i="76"/>
  <c r="AC25" i="76"/>
  <c r="P25" i="76"/>
  <c r="AF25" i="76"/>
  <c r="V25" i="76"/>
  <c r="Y25" i="76"/>
  <c r="Z25" i="76"/>
  <c r="AB25" i="76"/>
  <c r="T25" i="76"/>
  <c r="U25" i="76"/>
  <c r="N25" i="76"/>
  <c r="W25" i="76"/>
  <c r="AG25" i="76"/>
  <c r="S25" i="76"/>
  <c r="AD25" i="79"/>
  <c r="T25" i="79"/>
  <c r="P25" i="79"/>
  <c r="N25" i="79"/>
  <c r="Y25" i="79"/>
  <c r="U25" i="79"/>
  <c r="AG25" i="79"/>
  <c r="V25" i="79"/>
  <c r="AB25" i="79"/>
  <c r="Z25" i="79"/>
  <c r="O25" i="79"/>
  <c r="S25" i="79"/>
  <c r="W25" i="79"/>
  <c r="AE25" i="79"/>
  <c r="AA25" i="79"/>
  <c r="AC25" i="79"/>
  <c r="AF25" i="79"/>
  <c r="X25" i="79"/>
  <c r="X17" i="76"/>
  <c r="AG17" i="76"/>
  <c r="Z17" i="76"/>
  <c r="AE17" i="76"/>
  <c r="P17" i="76"/>
  <c r="Y17" i="76"/>
  <c r="AC17" i="76"/>
  <c r="AA17" i="76"/>
  <c r="W17" i="76"/>
  <c r="S17" i="76"/>
  <c r="AF17" i="76"/>
  <c r="V17" i="76"/>
  <c r="N17" i="76"/>
  <c r="U17" i="76"/>
  <c r="AB17" i="76"/>
  <c r="T17" i="76"/>
  <c r="O17" i="76"/>
  <c r="AD17" i="76"/>
  <c r="AE17" i="79"/>
  <c r="Z17" i="79"/>
  <c r="X17" i="79"/>
  <c r="U17" i="79"/>
  <c r="AC17" i="79"/>
  <c r="AD17" i="79"/>
  <c r="P17" i="79"/>
  <c r="AA17" i="79"/>
  <c r="Y17" i="79"/>
  <c r="S17" i="79"/>
  <c r="W17" i="79"/>
  <c r="V17" i="79"/>
  <c r="T17" i="79"/>
  <c r="O17" i="79"/>
  <c r="N17" i="79"/>
  <c r="AF17" i="79"/>
  <c r="AB17" i="79"/>
  <c r="AG17" i="79"/>
  <c r="AJ178" i="7"/>
  <c r="AL176" i="7"/>
  <c r="P176" i="50"/>
  <c r="P178" i="50" s="1"/>
  <c r="T176" i="50"/>
  <c r="T178" i="50" s="1"/>
  <c r="R176" i="50"/>
  <c r="R178" i="50" s="1"/>
  <c r="L178" i="50"/>
  <c r="L180" i="50" s="1"/>
  <c r="F42" i="52"/>
  <c r="D16" i="76"/>
  <c r="U30" i="76"/>
  <c r="AA30" i="76"/>
  <c r="AG30" i="76"/>
  <c r="S30" i="76"/>
  <c r="Y30" i="76"/>
  <c r="AB30" i="76"/>
  <c r="V30" i="76"/>
  <c r="O30" i="76"/>
  <c r="AE30" i="76"/>
  <c r="Z30" i="76"/>
  <c r="X30" i="76"/>
  <c r="T30" i="76"/>
  <c r="W30" i="76"/>
  <c r="AF30" i="76"/>
  <c r="P30" i="76"/>
  <c r="N30" i="76"/>
  <c r="AC30" i="76"/>
  <c r="AD30" i="76"/>
  <c r="AA30" i="79"/>
  <c r="T30" i="79"/>
  <c r="Y30" i="79"/>
  <c r="O30" i="79"/>
  <c r="V30" i="79"/>
  <c r="N30" i="79"/>
  <c r="AF30" i="79"/>
  <c r="AC30" i="79"/>
  <c r="W30" i="79"/>
  <c r="P30" i="79"/>
  <c r="AE30" i="79"/>
  <c r="AG30" i="79"/>
  <c r="X30" i="79"/>
  <c r="S30" i="79"/>
  <c r="AD30" i="79"/>
  <c r="AB30" i="79"/>
  <c r="U30" i="79"/>
  <c r="Z30" i="79"/>
  <c r="J16" i="76" l="1"/>
  <c r="D16" i="79"/>
  <c r="L42" i="52"/>
  <c r="F42" i="61"/>
  <c r="AL178" i="7"/>
  <c r="AJ180" i="7"/>
  <c r="AL180" i="7" s="1"/>
  <c r="J16" i="79" l="1"/>
  <c r="L42" i="61"/>
  <c r="U16" i="76"/>
  <c r="O16" i="76"/>
  <c r="AA16" i="76"/>
  <c r="V16" i="76"/>
  <c r="AD16" i="76"/>
  <c r="AF16" i="76"/>
  <c r="AB16" i="76"/>
  <c r="T16" i="76"/>
  <c r="AG16" i="76"/>
  <c r="P16" i="76"/>
  <c r="Z16" i="76"/>
  <c r="N16" i="76"/>
  <c r="W16" i="76"/>
  <c r="AE16" i="76"/>
  <c r="X16" i="76"/>
  <c r="AC16" i="76"/>
  <c r="S16" i="76"/>
  <c r="Y16" i="76"/>
  <c r="Y16" i="79" l="1"/>
  <c r="T16" i="79"/>
  <c r="P16" i="79"/>
  <c r="AC16" i="79"/>
  <c r="AG16" i="79"/>
  <c r="AD16" i="79"/>
  <c r="S16" i="79"/>
  <c r="N16" i="79"/>
  <c r="Z16" i="79"/>
  <c r="X16" i="79"/>
  <c r="O16" i="79"/>
  <c r="AA16" i="79"/>
  <c r="U16" i="79"/>
  <c r="AF16" i="79"/>
  <c r="AE16" i="79"/>
  <c r="V16" i="79"/>
  <c r="W16" i="79"/>
  <c r="AB16" i="79"/>
  <c r="P88" i="5"/>
  <c r="D64" i="11"/>
  <c r="AD85" i="5"/>
  <c r="R65" i="11"/>
  <c r="AB145" i="5"/>
  <c r="AZ145" i="5" s="1"/>
  <c r="P84" i="5"/>
  <c r="P65" i="11"/>
  <c r="Z145" i="5" s="1"/>
  <c r="T65" i="11"/>
  <c r="AD145" i="5" s="1"/>
  <c r="L65" i="11"/>
  <c r="V145" i="5"/>
  <c r="H65" i="11"/>
  <c r="R88" i="5" s="1"/>
  <c r="R145" i="5"/>
  <c r="P145" i="5"/>
  <c r="F65" i="11"/>
  <c r="J65" i="11"/>
  <c r="N65" i="11"/>
  <c r="BB145" i="5" l="1"/>
  <c r="AX145" i="5"/>
  <c r="P86" i="5"/>
  <c r="P85" i="5"/>
  <c r="X88" i="5"/>
  <c r="X85" i="5"/>
  <c r="X86" i="5"/>
  <c r="X84" i="5"/>
  <c r="AT145" i="5"/>
  <c r="V85" i="5"/>
  <c r="V84" i="5"/>
  <c r="V86" i="5"/>
  <c r="V88" i="5"/>
  <c r="T84" i="5"/>
  <c r="T85" i="5"/>
  <c r="T86" i="5"/>
  <c r="T88" i="5"/>
  <c r="D65" i="11"/>
  <c r="AP145" i="5"/>
  <c r="AD84" i="5"/>
  <c r="AD88" i="5"/>
  <c r="Z86" i="5"/>
  <c r="Z85" i="5"/>
  <c r="Z84" i="5"/>
  <c r="Z88" i="5"/>
  <c r="R86" i="5"/>
  <c r="R85" i="5"/>
  <c r="AN145" i="5"/>
  <c r="X145" i="5"/>
  <c r="T145" i="5"/>
  <c r="AD86" i="5"/>
  <c r="R84" i="5"/>
  <c r="AB84" i="5"/>
  <c r="AB85" i="5"/>
  <c r="AB88" i="5"/>
  <c r="AB86" i="5"/>
  <c r="P89" i="5" l="1"/>
  <c r="AF88" i="5"/>
  <c r="AH88" i="5" s="1"/>
  <c r="AF86" i="5"/>
  <c r="AH86" i="5" s="1"/>
  <c r="AF85" i="5"/>
  <c r="AH85" i="5" s="1"/>
  <c r="Z89" i="5"/>
  <c r="T89" i="5"/>
  <c r="AB89" i="5"/>
  <c r="AF84" i="5"/>
  <c r="V89" i="5"/>
  <c r="R89" i="5"/>
  <c r="AR145" i="5"/>
  <c r="AD89" i="5"/>
  <c r="AF145" i="5"/>
  <c r="AV145" i="5"/>
  <c r="X89" i="5"/>
  <c r="BD145" i="5" l="1"/>
  <c r="AF89" i="5"/>
  <c r="AH89" i="5" s="1"/>
  <c r="AH84" i="5"/>
  <c r="AH145" i="5"/>
  <c r="D67" i="11"/>
  <c r="N68" i="11"/>
  <c r="X160" i="5"/>
  <c r="AV160" i="5" s="1"/>
  <c r="AV162" i="5" s="1"/>
  <c r="N37" i="11" s="1"/>
  <c r="P68" i="11"/>
  <c r="Z160" i="5"/>
  <c r="AX160" i="5" s="1"/>
  <c r="AX162" i="5" s="1"/>
  <c r="P37" i="11" s="1"/>
  <c r="T68" i="11"/>
  <c r="AD160" i="5"/>
  <c r="BB160" i="5" s="1"/>
  <c r="BB162" i="5" s="1"/>
  <c r="T37" i="11" s="1"/>
  <c r="F68" i="11"/>
  <c r="P160" i="5"/>
  <c r="J68" i="11"/>
  <c r="T160" i="5"/>
  <c r="AR160" i="5" s="1"/>
  <c r="AR162" i="5" s="1"/>
  <c r="J37" i="11" s="1"/>
  <c r="L68" i="11"/>
  <c r="V160" i="5" s="1"/>
  <c r="AT160" i="5" s="1"/>
  <c r="AT162" i="5" s="1"/>
  <c r="L37" i="11" s="1"/>
  <c r="H68" i="11"/>
  <c r="R160" i="5" s="1"/>
  <c r="AP160" i="5" s="1"/>
  <c r="AP162" i="5" s="1"/>
  <c r="H37" i="11" s="1"/>
  <c r="R68" i="11"/>
  <c r="AB160" i="5"/>
  <c r="AZ160" i="5" s="1"/>
  <c r="AZ162" i="5" s="1"/>
  <c r="R37" i="11" s="1"/>
  <c r="AF160" i="5" l="1"/>
  <c r="AH160" i="5" s="1"/>
  <c r="AN160" i="5"/>
  <c r="D68" i="11"/>
  <c r="BD160" i="5" l="1"/>
  <c r="BD162" i="5" s="1"/>
  <c r="AN162" i="5"/>
  <c r="F37" i="11" s="1"/>
  <c r="D37" i="11" l="1"/>
  <c r="F38" i="11" s="1"/>
  <c r="P159" i="5" l="1"/>
  <c r="R38" i="11"/>
  <c r="AB159" i="5" s="1"/>
  <c r="AB162" i="5" s="1"/>
  <c r="H38" i="11"/>
  <c r="R159" i="5" s="1"/>
  <c r="R162" i="5" s="1"/>
  <c r="T38" i="11"/>
  <c r="AD159" i="5" s="1"/>
  <c r="AD162" i="5" s="1"/>
  <c r="N38" i="11"/>
  <c r="X159" i="5" s="1"/>
  <c r="X162" i="5" s="1"/>
  <c r="L38" i="11"/>
  <c r="V159" i="5" s="1"/>
  <c r="V162" i="5" s="1"/>
  <c r="J38" i="11"/>
  <c r="T159" i="5" s="1"/>
  <c r="T162" i="5" s="1"/>
  <c r="P38" i="11"/>
  <c r="Z159" i="5" s="1"/>
  <c r="Z162" i="5" s="1"/>
  <c r="AJ41" i="11" l="1"/>
  <c r="AH41" i="11"/>
  <c r="AB41" i="11"/>
  <c r="AD41" i="11"/>
  <c r="AF41" i="11"/>
  <c r="AN41" i="11"/>
  <c r="AL41" i="11"/>
  <c r="D38" i="11"/>
  <c r="AF159" i="5"/>
  <c r="P162" i="5"/>
  <c r="Z41" i="11" l="1"/>
  <c r="Z42" i="11" s="1"/>
  <c r="Z44" i="11" s="1"/>
  <c r="F34" i="11" s="1"/>
  <c r="AF162" i="5"/>
  <c r="AH159" i="5"/>
  <c r="AJ42" i="11" l="1"/>
  <c r="AJ44" i="11" s="1"/>
  <c r="P34" i="11" s="1"/>
  <c r="AL42" i="11"/>
  <c r="AL44" i="11" s="1"/>
  <c r="R34" i="11" s="1"/>
  <c r="AH162" i="5"/>
  <c r="AD42" i="11"/>
  <c r="AD44" i="11" s="1"/>
  <c r="J34" i="11" s="1"/>
  <c r="AF42" i="11"/>
  <c r="AF44" i="11" s="1"/>
  <c r="L34" i="11" s="1"/>
  <c r="AN42" i="11"/>
  <c r="AN44" i="11" s="1"/>
  <c r="T34" i="11" s="1"/>
  <c r="AB42" i="11"/>
  <c r="AB44" i="11" s="1"/>
  <c r="H34" i="11" s="1"/>
  <c r="AH42" i="11"/>
  <c r="AH44" i="11" s="1"/>
  <c r="N34" i="11" s="1"/>
  <c r="D34" i="11" l="1"/>
  <c r="T35" i="11" s="1"/>
  <c r="AD103" i="5" l="1"/>
  <c r="AD104" i="5" s="1"/>
  <c r="AD33" i="5"/>
  <c r="AD55" i="5"/>
  <c r="AD57" i="5" s="1"/>
  <c r="N35" i="11"/>
  <c r="P35" i="11"/>
  <c r="R35" i="11"/>
  <c r="F35" i="11"/>
  <c r="J35" i="11"/>
  <c r="H35" i="11"/>
  <c r="L35" i="11"/>
  <c r="V33" i="5" l="1"/>
  <c r="V55" i="5"/>
  <c r="V57" i="5" s="1"/>
  <c r="V103" i="5"/>
  <c r="V104" i="5" s="1"/>
  <c r="R103" i="5"/>
  <c r="R104" i="5" s="1"/>
  <c r="R33" i="5"/>
  <c r="R55" i="5"/>
  <c r="R57" i="5" s="1"/>
  <c r="T55" i="5"/>
  <c r="T57" i="5" s="1"/>
  <c r="T103" i="5"/>
  <c r="T104" i="5" s="1"/>
  <c r="T33" i="5"/>
  <c r="P103" i="5"/>
  <c r="P33" i="5"/>
  <c r="P55" i="5"/>
  <c r="D35" i="11"/>
  <c r="AB33" i="5"/>
  <c r="AB55" i="5"/>
  <c r="AB57" i="5" s="1"/>
  <c r="AB103" i="5"/>
  <c r="AB104" i="5" s="1"/>
  <c r="Z55" i="5"/>
  <c r="Z57" i="5" s="1"/>
  <c r="Z33" i="5"/>
  <c r="Z103" i="5"/>
  <c r="Z104" i="5" s="1"/>
  <c r="X33" i="5"/>
  <c r="X55" i="5"/>
  <c r="X57" i="5" s="1"/>
  <c r="X103" i="5"/>
  <c r="X104" i="5" s="1"/>
  <c r="AD77" i="5"/>
  <c r="AD79" i="5" s="1"/>
  <c r="AD92" i="5" s="1"/>
  <c r="AD35" i="5"/>
  <c r="P104" i="5" l="1"/>
  <c r="AF103" i="5"/>
  <c r="R35" i="5"/>
  <c r="R77" i="5"/>
  <c r="R79" i="5" s="1"/>
  <c r="R92" i="5" s="1"/>
  <c r="AB35" i="5"/>
  <c r="AB77" i="5"/>
  <c r="AB79" i="5" s="1"/>
  <c r="AB92" i="5" s="1"/>
  <c r="T77" i="5"/>
  <c r="T79" i="5" s="1"/>
  <c r="T92" i="5" s="1"/>
  <c r="T35" i="5"/>
  <c r="AF55" i="5"/>
  <c r="P57" i="5"/>
  <c r="T73" i="11"/>
  <c r="AD97" i="5"/>
  <c r="P35" i="5"/>
  <c r="AF33" i="5"/>
  <c r="P77" i="5"/>
  <c r="X77" i="5"/>
  <c r="X79" i="5" s="1"/>
  <c r="X92" i="5" s="1"/>
  <c r="X35" i="5"/>
  <c r="Z35" i="5"/>
  <c r="Z77" i="5"/>
  <c r="Z79" i="5" s="1"/>
  <c r="Z92" i="5" s="1"/>
  <c r="V35" i="5"/>
  <c r="V77" i="5"/>
  <c r="V79" i="5" s="1"/>
  <c r="V92" i="5" s="1"/>
  <c r="L73" i="11" l="1"/>
  <c r="V97" i="5"/>
  <c r="AF57" i="5"/>
  <c r="AH57" i="5" s="1"/>
  <c r="AH55" i="5"/>
  <c r="AB97" i="5"/>
  <c r="R73" i="11"/>
  <c r="H73" i="11"/>
  <c r="R97" i="5"/>
  <c r="AF35" i="5"/>
  <c r="AH35" i="5" s="1"/>
  <c r="AH33" i="5"/>
  <c r="P73" i="11"/>
  <c r="Z97" i="5"/>
  <c r="J73" i="11"/>
  <c r="T97" i="5"/>
  <c r="X97" i="5"/>
  <c r="N73" i="11"/>
  <c r="AF77" i="5"/>
  <c r="P79" i="5"/>
  <c r="P92" i="5" s="1"/>
  <c r="AF104" i="5"/>
  <c r="AH103" i="5"/>
  <c r="F73" i="11" l="1"/>
  <c r="P97" i="5"/>
  <c r="AF97" i="5" s="1"/>
  <c r="AH97" i="5" s="1"/>
  <c r="AF79" i="5"/>
  <c r="AH77" i="5"/>
  <c r="AH104" i="5"/>
  <c r="D73" i="11" l="1"/>
  <c r="F74" i="11" s="1"/>
  <c r="AH79" i="5"/>
  <c r="AF92" i="5"/>
  <c r="AH92" i="5" s="1"/>
  <c r="P108" i="5" l="1"/>
  <c r="T74" i="11"/>
  <c r="AD108" i="5" s="1"/>
  <c r="H74" i="11"/>
  <c r="R108" i="5" s="1"/>
  <c r="N74" i="11"/>
  <c r="X108" i="5" s="1"/>
  <c r="P74" i="11"/>
  <c r="Z108" i="5" s="1"/>
  <c r="R74" i="11"/>
  <c r="AB108" i="5" s="1"/>
  <c r="J74" i="11"/>
  <c r="T108" i="5" s="1"/>
  <c r="L74" i="11"/>
  <c r="V108" i="5" s="1"/>
  <c r="V110" i="5" l="1"/>
  <c r="V164" i="5"/>
  <c r="AB110" i="5"/>
  <c r="AB164" i="5"/>
  <c r="X110" i="5"/>
  <c r="X164" i="5"/>
  <c r="AD110" i="5"/>
  <c r="AD164" i="5"/>
  <c r="Z110" i="5"/>
  <c r="Z164" i="5"/>
  <c r="AF108" i="5"/>
  <c r="P110" i="5"/>
  <c r="P164" i="5"/>
  <c r="T110" i="5"/>
  <c r="T164" i="5"/>
  <c r="R110" i="5"/>
  <c r="R164" i="5"/>
  <c r="D74" i="11"/>
  <c r="D35" i="52" l="1"/>
  <c r="D35" i="61" s="1"/>
  <c r="X180" i="5"/>
  <c r="F35" i="52" s="1"/>
  <c r="D31" i="52"/>
  <c r="P180" i="5"/>
  <c r="F31" i="52" s="1"/>
  <c r="AH108" i="5"/>
  <c r="AF110" i="5"/>
  <c r="AH110" i="5" s="1"/>
  <c r="AF164" i="5"/>
  <c r="D36" i="52"/>
  <c r="D36" i="61" s="1"/>
  <c r="Z180" i="5"/>
  <c r="F36" i="52" s="1"/>
  <c r="D38" i="52"/>
  <c r="D38" i="61" s="1"/>
  <c r="AD180" i="5"/>
  <c r="F38" i="52" s="1"/>
  <c r="AB180" i="5"/>
  <c r="F37" i="52" s="1"/>
  <c r="D37" i="52"/>
  <c r="D37" i="61" s="1"/>
  <c r="D32" i="52"/>
  <c r="D32" i="61" s="1"/>
  <c r="R180" i="5"/>
  <c r="F32" i="52" s="1"/>
  <c r="D34" i="52"/>
  <c r="D34" i="61" s="1"/>
  <c r="V180" i="5"/>
  <c r="F34" i="52" s="1"/>
  <c r="T180" i="5"/>
  <c r="F33" i="52" s="1"/>
  <c r="D33" i="52"/>
  <c r="D33" i="61" s="1"/>
  <c r="F38" i="61" l="1"/>
  <c r="L38" i="61" s="1"/>
  <c r="L38" i="52"/>
  <c r="F37" i="61"/>
  <c r="L37" i="61" s="1"/>
  <c r="L37" i="52"/>
  <c r="AF180" i="5"/>
  <c r="AH180" i="5" s="1"/>
  <c r="AH164" i="5"/>
  <c r="F34" i="61"/>
  <c r="L34" i="61" s="1"/>
  <c r="L34" i="52"/>
  <c r="F33" i="61"/>
  <c r="L33" i="61" s="1"/>
  <c r="L33" i="52"/>
  <c r="F35" i="61"/>
  <c r="L35" i="61" s="1"/>
  <c r="L35" i="52"/>
  <c r="F36" i="61"/>
  <c r="L36" i="61" s="1"/>
  <c r="L36" i="52"/>
  <c r="F39" i="52"/>
  <c r="L31" i="52"/>
  <c r="F31" i="61"/>
  <c r="D39" i="52"/>
  <c r="D31" i="61"/>
  <c r="D39" i="61" s="1"/>
  <c r="F32" i="61"/>
  <c r="L32" i="61" s="1"/>
  <c r="L32" i="52"/>
  <c r="Q35" i="61" l="1"/>
  <c r="R35" i="61"/>
  <c r="P35" i="61"/>
  <c r="S35" i="61"/>
  <c r="S34" i="52"/>
  <c r="D34" i="58" s="1"/>
  <c r="P34" i="52"/>
  <c r="D34" i="54" s="1"/>
  <c r="R34" i="52"/>
  <c r="D34" i="72" s="1"/>
  <c r="Q34" i="52"/>
  <c r="D34" i="68" s="1"/>
  <c r="R32" i="52"/>
  <c r="D32" i="72" s="1"/>
  <c r="S32" i="52"/>
  <c r="D32" i="58" s="1"/>
  <c r="P32" i="52"/>
  <c r="D32" i="54" s="1"/>
  <c r="Q32" i="52"/>
  <c r="D32" i="68" s="1"/>
  <c r="R36" i="52"/>
  <c r="D36" i="72" s="1"/>
  <c r="Q36" i="52"/>
  <c r="D36" i="68" s="1"/>
  <c r="P36" i="52"/>
  <c r="D36" i="54" s="1"/>
  <c r="S36" i="52"/>
  <c r="D36" i="58" s="1"/>
  <c r="S33" i="52"/>
  <c r="D33" i="58" s="1"/>
  <c r="P33" i="52"/>
  <c r="D33" i="54" s="1"/>
  <c r="Q33" i="52"/>
  <c r="D33" i="68" s="1"/>
  <c r="R33" i="52"/>
  <c r="D33" i="72" s="1"/>
  <c r="R33" i="61"/>
  <c r="S33" i="61"/>
  <c r="P33" i="61"/>
  <c r="Q33" i="61"/>
  <c r="Q34" i="61"/>
  <c r="S34" i="61"/>
  <c r="P34" i="61"/>
  <c r="R34" i="61"/>
  <c r="S32" i="61"/>
  <c r="R32" i="61"/>
  <c r="P32" i="61"/>
  <c r="Q32" i="61"/>
  <c r="Q37" i="52"/>
  <c r="D37" i="68" s="1"/>
  <c r="R37" i="52"/>
  <c r="D37" i="72" s="1"/>
  <c r="P37" i="52"/>
  <c r="D37" i="54" s="1"/>
  <c r="S37" i="52"/>
  <c r="D37" i="58" s="1"/>
  <c r="Q37" i="61"/>
  <c r="P37" i="61"/>
  <c r="S37" i="61"/>
  <c r="R37" i="61"/>
  <c r="R36" i="61"/>
  <c r="S36" i="61"/>
  <c r="Q36" i="61"/>
  <c r="P36" i="61"/>
  <c r="L39" i="52"/>
  <c r="P31" i="52"/>
  <c r="S31" i="52"/>
  <c r="R31" i="52"/>
  <c r="Q31" i="52"/>
  <c r="S38" i="52"/>
  <c r="D38" i="58" s="1"/>
  <c r="Q38" i="52"/>
  <c r="D38" i="68" s="1"/>
  <c r="P38" i="52"/>
  <c r="D38" i="54" s="1"/>
  <c r="R38" i="52"/>
  <c r="D38" i="72" s="1"/>
  <c r="S35" i="52"/>
  <c r="D35" i="58" s="1"/>
  <c r="P35" i="52"/>
  <c r="D35" i="54" s="1"/>
  <c r="Q35" i="52"/>
  <c r="D35" i="68" s="1"/>
  <c r="R35" i="52"/>
  <c r="D35" i="72" s="1"/>
  <c r="F39" i="61"/>
  <c r="L31" i="61"/>
  <c r="R38" i="61"/>
  <c r="Q38" i="61"/>
  <c r="P38" i="61"/>
  <c r="S38" i="61"/>
  <c r="D35" i="63" l="1"/>
  <c r="J35" i="63" s="1"/>
  <c r="J35" i="54"/>
  <c r="D36" i="75"/>
  <c r="J36" i="75" s="1"/>
  <c r="J36" i="72"/>
  <c r="D32" i="71"/>
  <c r="J32" i="71" s="1"/>
  <c r="J32" i="68"/>
  <c r="D36" i="71"/>
  <c r="J36" i="71" s="1"/>
  <c r="J36" i="68"/>
  <c r="D38" i="75"/>
  <c r="J38" i="75" s="1"/>
  <c r="J38" i="72"/>
  <c r="D32" i="63"/>
  <c r="J32" i="63" s="1"/>
  <c r="J32" i="54"/>
  <c r="J32" i="58"/>
  <c r="D32" i="67"/>
  <c r="J32" i="67" s="1"/>
  <c r="D35" i="71"/>
  <c r="J35" i="71" s="1"/>
  <c r="J35" i="68"/>
  <c r="D38" i="71"/>
  <c r="J38" i="71" s="1"/>
  <c r="J38" i="68"/>
  <c r="D32" i="75"/>
  <c r="J32" i="75" s="1"/>
  <c r="J32" i="72"/>
  <c r="D35" i="67"/>
  <c r="J35" i="67" s="1"/>
  <c r="J35" i="58"/>
  <c r="D38" i="67"/>
  <c r="J38" i="67" s="1"/>
  <c r="J38" i="58"/>
  <c r="J37" i="58"/>
  <c r="D37" i="67"/>
  <c r="J37" i="67" s="1"/>
  <c r="J34" i="68"/>
  <c r="D34" i="71"/>
  <c r="J34" i="71" s="1"/>
  <c r="D37" i="63"/>
  <c r="J37" i="63" s="1"/>
  <c r="J37" i="54"/>
  <c r="D34" i="75"/>
  <c r="J34" i="75" s="1"/>
  <c r="J34" i="72"/>
  <c r="D34" i="63"/>
  <c r="J34" i="63" s="1"/>
  <c r="J34" i="54"/>
  <c r="Q39" i="52"/>
  <c r="D31" i="68"/>
  <c r="D33" i="75"/>
  <c r="J33" i="75" s="1"/>
  <c r="J33" i="72"/>
  <c r="S39" i="52"/>
  <c r="D31" i="58"/>
  <c r="D33" i="71"/>
  <c r="J33" i="71" s="1"/>
  <c r="J33" i="68"/>
  <c r="D34" i="67"/>
  <c r="J34" i="67" s="1"/>
  <c r="J34" i="58"/>
  <c r="D38" i="63"/>
  <c r="J38" i="63" s="1"/>
  <c r="J38" i="54"/>
  <c r="R39" i="52"/>
  <c r="D31" i="72"/>
  <c r="D33" i="63"/>
  <c r="J33" i="63" s="1"/>
  <c r="J33" i="54"/>
  <c r="J33" i="58"/>
  <c r="D33" i="67"/>
  <c r="J33" i="67" s="1"/>
  <c r="D37" i="75"/>
  <c r="J37" i="75" s="1"/>
  <c r="J37" i="72"/>
  <c r="J37" i="68"/>
  <c r="D37" i="71"/>
  <c r="J37" i="71" s="1"/>
  <c r="P39" i="52"/>
  <c r="D31" i="54"/>
  <c r="R31" i="61"/>
  <c r="R39" i="61" s="1"/>
  <c r="P31" i="61"/>
  <c r="P39" i="61" s="1"/>
  <c r="S31" i="61"/>
  <c r="S39" i="61" s="1"/>
  <c r="Q31" i="61"/>
  <c r="Q39" i="61" s="1"/>
  <c r="L39" i="61"/>
  <c r="D36" i="67"/>
  <c r="J36" i="67" s="1"/>
  <c r="J36" i="58"/>
  <c r="D35" i="75"/>
  <c r="J35" i="75" s="1"/>
  <c r="J35" i="72"/>
  <c r="D36" i="63"/>
  <c r="J36" i="63" s="1"/>
  <c r="J36" i="54"/>
  <c r="X37" i="72" l="1"/>
  <c r="X37" i="75" s="1"/>
  <c r="AC37" i="72"/>
  <c r="AC37" i="75" s="1"/>
  <c r="Z37" i="72"/>
  <c r="Z37" i="75" s="1"/>
  <c r="P37" i="72"/>
  <c r="P37" i="75" s="1"/>
  <c r="AA37" i="72"/>
  <c r="AA37" i="75" s="1"/>
  <c r="U37" i="72"/>
  <c r="U37" i="75" s="1"/>
  <c r="Y37" i="72"/>
  <c r="Y37" i="75" s="1"/>
  <c r="N37" i="72"/>
  <c r="N37" i="75" s="1"/>
  <c r="S37" i="72"/>
  <c r="S37" i="75" s="1"/>
  <c r="AB37" i="72"/>
  <c r="AB37" i="75" s="1"/>
  <c r="W37" i="72"/>
  <c r="W37" i="75" s="1"/>
  <c r="V37" i="72"/>
  <c r="V37" i="75" s="1"/>
  <c r="O37" i="72"/>
  <c r="O37" i="75" s="1"/>
  <c r="T37" i="72"/>
  <c r="T37" i="75" s="1"/>
  <c r="D39" i="58"/>
  <c r="J31" i="58"/>
  <c r="D31" i="67"/>
  <c r="P37" i="67"/>
  <c r="N37" i="67"/>
  <c r="O37" i="67"/>
  <c r="Q37" i="67"/>
  <c r="U32" i="54"/>
  <c r="U32" i="63" s="1"/>
  <c r="N32" i="54"/>
  <c r="N32" i="63" s="1"/>
  <c r="AA32" i="54"/>
  <c r="AA32" i="63" s="1"/>
  <c r="P32" i="54"/>
  <c r="P32" i="63" s="1"/>
  <c r="V32" i="54"/>
  <c r="V32" i="63" s="1"/>
  <c r="AC32" i="54"/>
  <c r="AC32" i="63" s="1"/>
  <c r="O32" i="54"/>
  <c r="O32" i="63" s="1"/>
  <c r="T32" i="54"/>
  <c r="T32" i="63" s="1"/>
  <c r="Z32" i="54"/>
  <c r="Z32" i="63" s="1"/>
  <c r="Y32" i="54"/>
  <c r="Y32" i="63" s="1"/>
  <c r="S32" i="54"/>
  <c r="S32" i="63" s="1"/>
  <c r="AB32" i="54"/>
  <c r="AB32" i="63" s="1"/>
  <c r="X32" i="54"/>
  <c r="X32" i="63" s="1"/>
  <c r="W32" i="54"/>
  <c r="W32" i="63" s="1"/>
  <c r="R37" i="58"/>
  <c r="N37" i="58"/>
  <c r="Q37" i="58"/>
  <c r="P37" i="58"/>
  <c r="O37" i="58"/>
  <c r="P38" i="72"/>
  <c r="P38" i="75" s="1"/>
  <c r="AC38" i="72"/>
  <c r="AC38" i="75" s="1"/>
  <c r="Y38" i="72"/>
  <c r="Y38" i="75" s="1"/>
  <c r="U38" i="72"/>
  <c r="U38" i="75" s="1"/>
  <c r="N38" i="72"/>
  <c r="N38" i="75" s="1"/>
  <c r="AA38" i="72"/>
  <c r="AA38" i="75" s="1"/>
  <c r="AB38" i="72"/>
  <c r="AB38" i="75" s="1"/>
  <c r="W38" i="72"/>
  <c r="W38" i="75" s="1"/>
  <c r="Z38" i="72"/>
  <c r="Z38" i="75" s="1"/>
  <c r="T38" i="72"/>
  <c r="T38" i="75" s="1"/>
  <c r="V38" i="72"/>
  <c r="V38" i="75" s="1"/>
  <c r="S38" i="72"/>
  <c r="S38" i="75" s="1"/>
  <c r="X38" i="72"/>
  <c r="X38" i="75" s="1"/>
  <c r="O38" i="72"/>
  <c r="O38" i="75" s="1"/>
  <c r="P38" i="67"/>
  <c r="Q38" i="67"/>
  <c r="N38" i="67"/>
  <c r="O38" i="67"/>
  <c r="P36" i="67"/>
  <c r="N36" i="67"/>
  <c r="O36" i="67"/>
  <c r="Q36" i="67"/>
  <c r="T33" i="54"/>
  <c r="T33" i="63" s="1"/>
  <c r="V33" i="54"/>
  <c r="V33" i="63" s="1"/>
  <c r="AC33" i="54"/>
  <c r="AC33" i="63" s="1"/>
  <c r="U33" i="54"/>
  <c r="U33" i="63" s="1"/>
  <c r="AB33" i="54"/>
  <c r="AB33" i="63" s="1"/>
  <c r="Y33" i="54"/>
  <c r="Y33" i="63" s="1"/>
  <c r="O33" i="54"/>
  <c r="O33" i="63" s="1"/>
  <c r="X33" i="54"/>
  <c r="X33" i="63" s="1"/>
  <c r="AA33" i="54"/>
  <c r="AA33" i="63" s="1"/>
  <c r="W33" i="54"/>
  <c r="W33" i="63" s="1"/>
  <c r="S33" i="54"/>
  <c r="S33" i="63" s="1"/>
  <c r="N33" i="54"/>
  <c r="N33" i="63" s="1"/>
  <c r="Z33" i="54"/>
  <c r="Z33" i="63" s="1"/>
  <c r="P33" i="54"/>
  <c r="P33" i="63" s="1"/>
  <c r="D31" i="71"/>
  <c r="D39" i="68"/>
  <c r="J31" i="68"/>
  <c r="R35" i="58"/>
  <c r="O35" i="58"/>
  <c r="Q35" i="58"/>
  <c r="P35" i="58"/>
  <c r="N35" i="58"/>
  <c r="Y36" i="68"/>
  <c r="Y36" i="71" s="1"/>
  <c r="O36" i="68"/>
  <c r="O36" i="71" s="1"/>
  <c r="AA36" i="68"/>
  <c r="AA36" i="71" s="1"/>
  <c r="X36" i="68"/>
  <c r="X36" i="71" s="1"/>
  <c r="Z36" i="68"/>
  <c r="Z36" i="71" s="1"/>
  <c r="T36" i="68"/>
  <c r="T36" i="71" s="1"/>
  <c r="W36" i="68"/>
  <c r="W36" i="71" s="1"/>
  <c r="AC36" i="68"/>
  <c r="AC36" i="71" s="1"/>
  <c r="N36" i="68"/>
  <c r="N36" i="71" s="1"/>
  <c r="S36" i="68"/>
  <c r="S36" i="71" s="1"/>
  <c r="V36" i="68"/>
  <c r="V36" i="71" s="1"/>
  <c r="U36" i="68"/>
  <c r="U36" i="71" s="1"/>
  <c r="AB36" i="68"/>
  <c r="AB36" i="71" s="1"/>
  <c r="P36" i="68"/>
  <c r="P36" i="71" s="1"/>
  <c r="Y37" i="68"/>
  <c r="Y37" i="71" s="1"/>
  <c r="N37" i="68"/>
  <c r="N37" i="71" s="1"/>
  <c r="AC37" i="68"/>
  <c r="AC37" i="71" s="1"/>
  <c r="AB37" i="68"/>
  <c r="AB37" i="71" s="1"/>
  <c r="P37" i="68"/>
  <c r="P37" i="71" s="1"/>
  <c r="T37" i="68"/>
  <c r="T37" i="71" s="1"/>
  <c r="AA37" i="68"/>
  <c r="AA37" i="71" s="1"/>
  <c r="O37" i="68"/>
  <c r="O37" i="71" s="1"/>
  <c r="S37" i="68"/>
  <c r="S37" i="71" s="1"/>
  <c r="W37" i="68"/>
  <c r="W37" i="71" s="1"/>
  <c r="U37" i="68"/>
  <c r="U37" i="71" s="1"/>
  <c r="V37" i="68"/>
  <c r="V37" i="71" s="1"/>
  <c r="X37" i="68"/>
  <c r="X37" i="71" s="1"/>
  <c r="Z37" i="68"/>
  <c r="Z37" i="71" s="1"/>
  <c r="P38" i="58"/>
  <c r="Q38" i="58"/>
  <c r="R38" i="58"/>
  <c r="N38" i="58"/>
  <c r="O38" i="58"/>
  <c r="P32" i="68"/>
  <c r="P32" i="71" s="1"/>
  <c r="S32" i="68"/>
  <c r="S32" i="71" s="1"/>
  <c r="W32" i="68"/>
  <c r="W32" i="71" s="1"/>
  <c r="AA32" i="68"/>
  <c r="AA32" i="71" s="1"/>
  <c r="O32" i="68"/>
  <c r="O32" i="71" s="1"/>
  <c r="Z32" i="68"/>
  <c r="Z32" i="71" s="1"/>
  <c r="AC32" i="68"/>
  <c r="AC32" i="71" s="1"/>
  <c r="T32" i="68"/>
  <c r="T32" i="71" s="1"/>
  <c r="N32" i="68"/>
  <c r="N32" i="71" s="1"/>
  <c r="X32" i="68"/>
  <c r="X32" i="71" s="1"/>
  <c r="AB32" i="68"/>
  <c r="AB32" i="71" s="1"/>
  <c r="U32" i="68"/>
  <c r="U32" i="71" s="1"/>
  <c r="V32" i="68"/>
  <c r="V32" i="71" s="1"/>
  <c r="Y32" i="68"/>
  <c r="Y32" i="71" s="1"/>
  <c r="X33" i="68"/>
  <c r="X33" i="71" s="1"/>
  <c r="AB33" i="68"/>
  <c r="AB33" i="71" s="1"/>
  <c r="Y33" i="68"/>
  <c r="Y33" i="71" s="1"/>
  <c r="Z33" i="68"/>
  <c r="Z33" i="71" s="1"/>
  <c r="W33" i="68"/>
  <c r="W33" i="71" s="1"/>
  <c r="V33" i="68"/>
  <c r="V33" i="71" s="1"/>
  <c r="T33" i="68"/>
  <c r="T33" i="71" s="1"/>
  <c r="P33" i="68"/>
  <c r="P33" i="71" s="1"/>
  <c r="U33" i="68"/>
  <c r="U33" i="71" s="1"/>
  <c r="S33" i="68"/>
  <c r="S33" i="71" s="1"/>
  <c r="AC33" i="68"/>
  <c r="AC33" i="71" s="1"/>
  <c r="AA33" i="68"/>
  <c r="AA33" i="71" s="1"/>
  <c r="O33" i="68"/>
  <c r="O33" i="71" s="1"/>
  <c r="N33" i="68"/>
  <c r="N33" i="71" s="1"/>
  <c r="V36" i="54"/>
  <c r="V36" i="63" s="1"/>
  <c r="X36" i="54"/>
  <c r="X36" i="63" s="1"/>
  <c r="AB36" i="54"/>
  <c r="AB36" i="63" s="1"/>
  <c r="W36" i="54"/>
  <c r="W36" i="63" s="1"/>
  <c r="Z36" i="54"/>
  <c r="Z36" i="63" s="1"/>
  <c r="AC36" i="54"/>
  <c r="AC36" i="63" s="1"/>
  <c r="AA36" i="54"/>
  <c r="AA36" i="63" s="1"/>
  <c r="Y36" i="54"/>
  <c r="Y36" i="63" s="1"/>
  <c r="S36" i="54"/>
  <c r="S36" i="63" s="1"/>
  <c r="O36" i="54"/>
  <c r="O36" i="63" s="1"/>
  <c r="N36" i="54"/>
  <c r="N36" i="63" s="1"/>
  <c r="P36" i="54"/>
  <c r="P36" i="63" s="1"/>
  <c r="T36" i="54"/>
  <c r="T36" i="63" s="1"/>
  <c r="U36" i="54"/>
  <c r="U36" i="63" s="1"/>
  <c r="U35" i="72"/>
  <c r="U35" i="75" s="1"/>
  <c r="V35" i="72"/>
  <c r="V35" i="75" s="1"/>
  <c r="X35" i="72"/>
  <c r="X35" i="75" s="1"/>
  <c r="O35" i="72"/>
  <c r="O35" i="75" s="1"/>
  <c r="N35" i="72"/>
  <c r="N35" i="75" s="1"/>
  <c r="S35" i="72"/>
  <c r="S35" i="75" s="1"/>
  <c r="W35" i="72"/>
  <c r="W35" i="75" s="1"/>
  <c r="AC35" i="72"/>
  <c r="AC35" i="75" s="1"/>
  <c r="AA35" i="72"/>
  <c r="AA35" i="75" s="1"/>
  <c r="AB35" i="72"/>
  <c r="AB35" i="75" s="1"/>
  <c r="Y35" i="72"/>
  <c r="Y35" i="75" s="1"/>
  <c r="P35" i="72"/>
  <c r="P35" i="75" s="1"/>
  <c r="Z35" i="72"/>
  <c r="Z35" i="75" s="1"/>
  <c r="T35" i="72"/>
  <c r="T35" i="75" s="1"/>
  <c r="Q33" i="58"/>
  <c r="R33" i="58"/>
  <c r="N33" i="58"/>
  <c r="P33" i="58"/>
  <c r="O33" i="58"/>
  <c r="AB34" i="68"/>
  <c r="AB34" i="71" s="1"/>
  <c r="W34" i="68"/>
  <c r="W34" i="71" s="1"/>
  <c r="T34" i="68"/>
  <c r="T34" i="71" s="1"/>
  <c r="V34" i="68"/>
  <c r="V34" i="71" s="1"/>
  <c r="AA34" i="68"/>
  <c r="AA34" i="71" s="1"/>
  <c r="O34" i="68"/>
  <c r="O34" i="71" s="1"/>
  <c r="Z34" i="68"/>
  <c r="Z34" i="71" s="1"/>
  <c r="AC34" i="68"/>
  <c r="AC34" i="71" s="1"/>
  <c r="Y34" i="68"/>
  <c r="Y34" i="71" s="1"/>
  <c r="S34" i="68"/>
  <c r="S34" i="71" s="1"/>
  <c r="U34" i="68"/>
  <c r="U34" i="71" s="1"/>
  <c r="N34" i="68"/>
  <c r="N34" i="71" s="1"/>
  <c r="P34" i="68"/>
  <c r="P34" i="71" s="1"/>
  <c r="X34" i="68"/>
  <c r="X34" i="71" s="1"/>
  <c r="U33" i="72"/>
  <c r="U33" i="75" s="1"/>
  <c r="O33" i="72"/>
  <c r="O33" i="75" s="1"/>
  <c r="N33" i="72"/>
  <c r="N33" i="75" s="1"/>
  <c r="AB33" i="72"/>
  <c r="AB33" i="75" s="1"/>
  <c r="W33" i="72"/>
  <c r="W33" i="75" s="1"/>
  <c r="P33" i="72"/>
  <c r="P33" i="75" s="1"/>
  <c r="Y33" i="72"/>
  <c r="Y33" i="75" s="1"/>
  <c r="X33" i="72"/>
  <c r="X33" i="75" s="1"/>
  <c r="S33" i="72"/>
  <c r="S33" i="75" s="1"/>
  <c r="Z33" i="72"/>
  <c r="Z33" i="75" s="1"/>
  <c r="AC33" i="72"/>
  <c r="AC33" i="75" s="1"/>
  <c r="AA33" i="72"/>
  <c r="AA33" i="75" s="1"/>
  <c r="T33" i="72"/>
  <c r="T33" i="75" s="1"/>
  <c r="V33" i="72"/>
  <c r="V33" i="75" s="1"/>
  <c r="O35" i="67"/>
  <c r="Q35" i="67"/>
  <c r="N35" i="67"/>
  <c r="P35" i="67"/>
  <c r="V38" i="54"/>
  <c r="V38" i="63" s="1"/>
  <c r="S38" i="54"/>
  <c r="S38" i="63" s="1"/>
  <c r="N38" i="54"/>
  <c r="N38" i="63" s="1"/>
  <c r="Z38" i="54"/>
  <c r="Z38" i="63" s="1"/>
  <c r="P38" i="54"/>
  <c r="P38" i="63" s="1"/>
  <c r="O38" i="54"/>
  <c r="O38" i="63" s="1"/>
  <c r="U38" i="54"/>
  <c r="U38" i="63" s="1"/>
  <c r="AC38" i="54"/>
  <c r="AC38" i="63" s="1"/>
  <c r="Y38" i="54"/>
  <c r="Y38" i="63" s="1"/>
  <c r="W38" i="54"/>
  <c r="W38" i="63" s="1"/>
  <c r="X38" i="54"/>
  <c r="X38" i="63" s="1"/>
  <c r="T38" i="54"/>
  <c r="T38" i="63" s="1"/>
  <c r="AB38" i="54"/>
  <c r="AB38" i="63" s="1"/>
  <c r="AA38" i="54"/>
  <c r="AA38" i="63" s="1"/>
  <c r="AC34" i="72"/>
  <c r="AC34" i="75" s="1"/>
  <c r="T34" i="72"/>
  <c r="T34" i="75" s="1"/>
  <c r="U34" i="72"/>
  <c r="U34" i="75" s="1"/>
  <c r="P34" i="72"/>
  <c r="P34" i="75" s="1"/>
  <c r="W34" i="72"/>
  <c r="W34" i="75" s="1"/>
  <c r="X34" i="72"/>
  <c r="X34" i="75" s="1"/>
  <c r="S34" i="72"/>
  <c r="S34" i="75" s="1"/>
  <c r="N34" i="72"/>
  <c r="N34" i="75" s="1"/>
  <c r="AB34" i="72"/>
  <c r="AB34" i="75" s="1"/>
  <c r="Z34" i="72"/>
  <c r="Z34" i="75" s="1"/>
  <c r="V34" i="72"/>
  <c r="V34" i="75" s="1"/>
  <c r="Y34" i="72"/>
  <c r="Y34" i="75" s="1"/>
  <c r="O34" i="72"/>
  <c r="O34" i="75" s="1"/>
  <c r="AA34" i="72"/>
  <c r="AA34" i="75" s="1"/>
  <c r="Z38" i="68"/>
  <c r="Z38" i="71" s="1"/>
  <c r="S38" i="68"/>
  <c r="S38" i="71" s="1"/>
  <c r="N38" i="68"/>
  <c r="N38" i="71" s="1"/>
  <c r="AB38" i="68"/>
  <c r="AB38" i="71" s="1"/>
  <c r="P38" i="68"/>
  <c r="P38" i="71" s="1"/>
  <c r="W38" i="68"/>
  <c r="W38" i="71" s="1"/>
  <c r="U38" i="68"/>
  <c r="U38" i="71" s="1"/>
  <c r="X38" i="68"/>
  <c r="X38" i="71" s="1"/>
  <c r="Y38" i="68"/>
  <c r="Y38" i="71" s="1"/>
  <c r="T38" i="68"/>
  <c r="T38" i="71" s="1"/>
  <c r="AC38" i="68"/>
  <c r="AC38" i="71" s="1"/>
  <c r="AA38" i="68"/>
  <c r="AA38" i="71" s="1"/>
  <c r="O38" i="68"/>
  <c r="O38" i="71" s="1"/>
  <c r="V38" i="68"/>
  <c r="V38" i="71" s="1"/>
  <c r="T36" i="72"/>
  <c r="T36" i="75" s="1"/>
  <c r="N36" i="72"/>
  <c r="N36" i="75" s="1"/>
  <c r="AC36" i="72"/>
  <c r="AC36" i="75" s="1"/>
  <c r="Y36" i="72"/>
  <c r="Y36" i="75" s="1"/>
  <c r="AA36" i="72"/>
  <c r="AA36" i="75" s="1"/>
  <c r="O36" i="72"/>
  <c r="O36" i="75" s="1"/>
  <c r="W36" i="72"/>
  <c r="W36" i="75" s="1"/>
  <c r="U36" i="72"/>
  <c r="U36" i="75" s="1"/>
  <c r="S36" i="72"/>
  <c r="S36" i="75" s="1"/>
  <c r="Z36" i="72"/>
  <c r="Z36" i="75" s="1"/>
  <c r="V36" i="72"/>
  <c r="V36" i="75" s="1"/>
  <c r="X36" i="72"/>
  <c r="X36" i="75" s="1"/>
  <c r="P36" i="72"/>
  <c r="P36" i="75" s="1"/>
  <c r="AB36" i="72"/>
  <c r="AB36" i="75" s="1"/>
  <c r="O32" i="67"/>
  <c r="N32" i="67"/>
  <c r="P32" i="67"/>
  <c r="Q32" i="67"/>
  <c r="P32" i="58"/>
  <c r="N32" i="58"/>
  <c r="Q32" i="58"/>
  <c r="R32" i="58"/>
  <c r="O32" i="58"/>
  <c r="X32" i="72"/>
  <c r="X32" i="75" s="1"/>
  <c r="S32" i="72"/>
  <c r="S32" i="75" s="1"/>
  <c r="Z32" i="72"/>
  <c r="Z32" i="75" s="1"/>
  <c r="AB32" i="72"/>
  <c r="AB32" i="75" s="1"/>
  <c r="AA32" i="72"/>
  <c r="AA32" i="75" s="1"/>
  <c r="T32" i="72"/>
  <c r="T32" i="75" s="1"/>
  <c r="W32" i="72"/>
  <c r="W32" i="75" s="1"/>
  <c r="AC32" i="72"/>
  <c r="AC32" i="75" s="1"/>
  <c r="O32" i="72"/>
  <c r="O32" i="75" s="1"/>
  <c r="Y32" i="72"/>
  <c r="Y32" i="75" s="1"/>
  <c r="N32" i="72"/>
  <c r="N32" i="75" s="1"/>
  <c r="P32" i="72"/>
  <c r="P32" i="75" s="1"/>
  <c r="V32" i="72"/>
  <c r="V32" i="75" s="1"/>
  <c r="U32" i="72"/>
  <c r="U32" i="75" s="1"/>
  <c r="O35" i="54"/>
  <c r="O35" i="63" s="1"/>
  <c r="AA35" i="54"/>
  <c r="AA35" i="63" s="1"/>
  <c r="P35" i="54"/>
  <c r="P35" i="63" s="1"/>
  <c r="AC35" i="54"/>
  <c r="AC35" i="63" s="1"/>
  <c r="Y35" i="54"/>
  <c r="Y35" i="63" s="1"/>
  <c r="S35" i="54"/>
  <c r="S35" i="63" s="1"/>
  <c r="W35" i="54"/>
  <c r="W35" i="63" s="1"/>
  <c r="AB35" i="54"/>
  <c r="AB35" i="63" s="1"/>
  <c r="T35" i="54"/>
  <c r="T35" i="63" s="1"/>
  <c r="V35" i="54"/>
  <c r="V35" i="63" s="1"/>
  <c r="Z35" i="54"/>
  <c r="Z35" i="63" s="1"/>
  <c r="U35" i="54"/>
  <c r="U35" i="63" s="1"/>
  <c r="N35" i="54"/>
  <c r="N35" i="63" s="1"/>
  <c r="X35" i="54"/>
  <c r="X35" i="63" s="1"/>
  <c r="N33" i="67"/>
  <c r="O33" i="67"/>
  <c r="Q33" i="67"/>
  <c r="P33" i="67"/>
  <c r="N36" i="58"/>
  <c r="P36" i="58"/>
  <c r="O36" i="58"/>
  <c r="R36" i="58"/>
  <c r="Q36" i="58"/>
  <c r="D39" i="72"/>
  <c r="J31" i="72"/>
  <c r="D31" i="75"/>
  <c r="S34" i="54"/>
  <c r="S34" i="63" s="1"/>
  <c r="T34" i="54"/>
  <c r="T34" i="63" s="1"/>
  <c r="AB34" i="54"/>
  <c r="AB34" i="63" s="1"/>
  <c r="N34" i="54"/>
  <c r="N34" i="63" s="1"/>
  <c r="X34" i="54"/>
  <c r="X34" i="63" s="1"/>
  <c r="V34" i="54"/>
  <c r="V34" i="63" s="1"/>
  <c r="U34" i="54"/>
  <c r="U34" i="63" s="1"/>
  <c r="O34" i="54"/>
  <c r="O34" i="63" s="1"/>
  <c r="Y34" i="54"/>
  <c r="Y34" i="63" s="1"/>
  <c r="P34" i="54"/>
  <c r="P34" i="63" s="1"/>
  <c r="AC34" i="54"/>
  <c r="AC34" i="63" s="1"/>
  <c r="Z34" i="54"/>
  <c r="Z34" i="63" s="1"/>
  <c r="W34" i="54"/>
  <c r="W34" i="63" s="1"/>
  <c r="AA34" i="54"/>
  <c r="AA34" i="63" s="1"/>
  <c r="D39" i="54"/>
  <c r="D31" i="63"/>
  <c r="J31" i="54"/>
  <c r="O34" i="58"/>
  <c r="R34" i="58"/>
  <c r="P34" i="58"/>
  <c r="Q34" i="58"/>
  <c r="N34" i="58"/>
  <c r="S37" i="54"/>
  <c r="S37" i="63" s="1"/>
  <c r="AA37" i="54"/>
  <c r="AA37" i="63" s="1"/>
  <c r="AC37" i="54"/>
  <c r="AC37" i="63" s="1"/>
  <c r="N37" i="54"/>
  <c r="N37" i="63" s="1"/>
  <c r="T37" i="54"/>
  <c r="T37" i="63" s="1"/>
  <c r="U37" i="54"/>
  <c r="U37" i="63" s="1"/>
  <c r="P37" i="54"/>
  <c r="P37" i="63" s="1"/>
  <c r="W37" i="54"/>
  <c r="W37" i="63" s="1"/>
  <c r="X37" i="54"/>
  <c r="X37" i="63" s="1"/>
  <c r="Z37" i="54"/>
  <c r="Z37" i="63" s="1"/>
  <c r="V37" i="54"/>
  <c r="V37" i="63" s="1"/>
  <c r="Y37" i="54"/>
  <c r="Y37" i="63" s="1"/>
  <c r="AB37" i="54"/>
  <c r="AB37" i="63" s="1"/>
  <c r="O37" i="54"/>
  <c r="O37" i="63" s="1"/>
  <c r="Y35" i="68"/>
  <c r="Y35" i="71" s="1"/>
  <c r="N35" i="68"/>
  <c r="N35" i="71" s="1"/>
  <c r="X35" i="68"/>
  <c r="X35" i="71" s="1"/>
  <c r="V35" i="68"/>
  <c r="V35" i="71" s="1"/>
  <c r="W35" i="68"/>
  <c r="W35" i="71" s="1"/>
  <c r="AB35" i="68"/>
  <c r="AB35" i="71" s="1"/>
  <c r="Z35" i="68"/>
  <c r="Z35" i="71" s="1"/>
  <c r="AC35" i="68"/>
  <c r="AC35" i="71" s="1"/>
  <c r="AA35" i="68"/>
  <c r="AA35" i="71" s="1"/>
  <c r="S35" i="68"/>
  <c r="S35" i="71" s="1"/>
  <c r="T35" i="68"/>
  <c r="T35" i="71" s="1"/>
  <c r="U35" i="68"/>
  <c r="U35" i="71" s="1"/>
  <c r="O35" i="68"/>
  <c r="O35" i="71" s="1"/>
  <c r="P35" i="68"/>
  <c r="P35" i="71" s="1"/>
  <c r="O34" i="67"/>
  <c r="P34" i="67"/>
  <c r="N34" i="67"/>
  <c r="Q34" i="67"/>
  <c r="N31" i="68" l="1"/>
  <c r="T31" i="68"/>
  <c r="AB31" i="68"/>
  <c r="AA31" i="68"/>
  <c r="W31" i="68"/>
  <c r="AC31" i="68"/>
  <c r="P31" i="68"/>
  <c r="J39" i="68"/>
  <c r="U31" i="68"/>
  <c r="O31" i="68"/>
  <c r="Y31" i="68"/>
  <c r="Z31" i="68"/>
  <c r="V31" i="68"/>
  <c r="X31" i="68"/>
  <c r="S31" i="68"/>
  <c r="N31" i="54"/>
  <c r="S31" i="54"/>
  <c r="X31" i="54"/>
  <c r="O31" i="54"/>
  <c r="W31" i="54"/>
  <c r="AA31" i="54"/>
  <c r="AB31" i="54"/>
  <c r="Y31" i="54"/>
  <c r="J39" i="54"/>
  <c r="T31" i="54"/>
  <c r="V31" i="54"/>
  <c r="Z31" i="54"/>
  <c r="P31" i="54"/>
  <c r="AC31" i="54"/>
  <c r="U31" i="54"/>
  <c r="J31" i="75"/>
  <c r="J39" i="75" s="1"/>
  <c r="D39" i="75"/>
  <c r="D39" i="71"/>
  <c r="J31" i="71"/>
  <c r="J39" i="71" s="1"/>
  <c r="T31" i="72"/>
  <c r="O31" i="72"/>
  <c r="N31" i="72"/>
  <c r="S31" i="72"/>
  <c r="Z31" i="72"/>
  <c r="U31" i="72"/>
  <c r="Y31" i="72"/>
  <c r="P31" i="72"/>
  <c r="AB31" i="72"/>
  <c r="AA31" i="72"/>
  <c r="W31" i="72"/>
  <c r="X31" i="72"/>
  <c r="AC31" i="72"/>
  <c r="J39" i="72"/>
  <c r="V31" i="72"/>
  <c r="D39" i="63"/>
  <c r="J31" i="63"/>
  <c r="J39" i="63" s="1"/>
  <c r="J31" i="67"/>
  <c r="D39" i="67"/>
  <c r="R31" i="58"/>
  <c r="R39" i="58" s="1"/>
  <c r="Q31" i="58"/>
  <c r="Q39" i="58" s="1"/>
  <c r="P31" i="58"/>
  <c r="P39" i="58" s="1"/>
  <c r="O31" i="58"/>
  <c r="O39" i="58" s="1"/>
  <c r="N31" i="58"/>
  <c r="N39" i="58" s="1"/>
  <c r="J39" i="58"/>
  <c r="P39" i="72" l="1"/>
  <c r="P31" i="75"/>
  <c r="P39" i="75" s="1"/>
  <c r="Z39" i="68"/>
  <c r="Z31" i="71"/>
  <c r="Z39" i="71" s="1"/>
  <c r="Y39" i="68"/>
  <c r="Y31" i="71"/>
  <c r="Y39" i="71" s="1"/>
  <c r="O31" i="71"/>
  <c r="O39" i="71" s="1"/>
  <c r="O39" i="68"/>
  <c r="P39" i="54"/>
  <c r="P31" i="63"/>
  <c r="P39" i="63" s="1"/>
  <c r="U39" i="72"/>
  <c r="U31" i="75"/>
  <c r="U39" i="75" s="1"/>
  <c r="T39" i="54"/>
  <c r="T31" i="63"/>
  <c r="T39" i="63" s="1"/>
  <c r="AB39" i="54"/>
  <c r="AB31" i="63"/>
  <c r="AB39" i="63" s="1"/>
  <c r="N31" i="75"/>
  <c r="N39" i="75" s="1"/>
  <c r="N39" i="72"/>
  <c r="AA31" i="63"/>
  <c r="AA39" i="63" s="1"/>
  <c r="AA39" i="54"/>
  <c r="P31" i="71"/>
  <c r="P39" i="71" s="1"/>
  <c r="P39" i="68"/>
  <c r="P31" i="67"/>
  <c r="P39" i="67" s="1"/>
  <c r="J39" i="67"/>
  <c r="O31" i="67"/>
  <c r="O39" i="67" s="1"/>
  <c r="Q31" i="67"/>
  <c r="Q39" i="67" s="1"/>
  <c r="N31" i="67"/>
  <c r="N39" i="67" s="1"/>
  <c r="V39" i="72"/>
  <c r="V31" i="75"/>
  <c r="V39" i="75" s="1"/>
  <c r="AC39" i="68"/>
  <c r="AC31" i="71"/>
  <c r="AC39" i="71" s="1"/>
  <c r="Z31" i="63"/>
  <c r="Z39" i="63" s="1"/>
  <c r="Z39" i="54"/>
  <c r="V39" i="68"/>
  <c r="V31" i="71"/>
  <c r="V39" i="71" s="1"/>
  <c r="U39" i="68"/>
  <c r="U31" i="71"/>
  <c r="U39" i="71" s="1"/>
  <c r="W39" i="68"/>
  <c r="W31" i="71"/>
  <c r="W39" i="71" s="1"/>
  <c r="Y39" i="54"/>
  <c r="Y31" i="63"/>
  <c r="Y39" i="63" s="1"/>
  <c r="AA39" i="68"/>
  <c r="AA31" i="71"/>
  <c r="AA39" i="71" s="1"/>
  <c r="V39" i="54"/>
  <c r="V31" i="63"/>
  <c r="V39" i="63" s="1"/>
  <c r="Z31" i="75"/>
  <c r="Z39" i="75" s="1"/>
  <c r="Z39" i="72"/>
  <c r="O31" i="75"/>
  <c r="O39" i="75" s="1"/>
  <c r="O39" i="72"/>
  <c r="T31" i="75"/>
  <c r="T39" i="75" s="1"/>
  <c r="T39" i="72"/>
  <c r="W39" i="72"/>
  <c r="W31" i="75"/>
  <c r="W39" i="75" s="1"/>
  <c r="S31" i="63"/>
  <c r="S39" i="63" s="1"/>
  <c r="S39" i="54"/>
  <c r="AB39" i="68"/>
  <c r="AB31" i="71"/>
  <c r="AB39" i="71" s="1"/>
  <c r="X31" i="71"/>
  <c r="X39" i="71" s="1"/>
  <c r="X39" i="68"/>
  <c r="Y39" i="72"/>
  <c r="Y31" i="75"/>
  <c r="Y39" i="75" s="1"/>
  <c r="O31" i="63"/>
  <c r="O39" i="63" s="1"/>
  <c r="O39" i="54"/>
  <c r="AA39" i="72"/>
  <c r="AA31" i="75"/>
  <c r="AA39" i="75" s="1"/>
  <c r="U31" i="63"/>
  <c r="U39" i="63" s="1"/>
  <c r="U39" i="54"/>
  <c r="N31" i="63"/>
  <c r="N39" i="63" s="1"/>
  <c r="N39" i="54"/>
  <c r="T31" i="71"/>
  <c r="T39" i="71" s="1"/>
  <c r="T39" i="68"/>
  <c r="S31" i="75"/>
  <c r="S39" i="75" s="1"/>
  <c r="S39" i="72"/>
  <c r="W39" i="54"/>
  <c r="W31" i="63"/>
  <c r="W39" i="63" s="1"/>
  <c r="AC39" i="72"/>
  <c r="AC31" i="75"/>
  <c r="AC39" i="75" s="1"/>
  <c r="X39" i="72"/>
  <c r="X31" i="75"/>
  <c r="X39" i="75" s="1"/>
  <c r="X31" i="63"/>
  <c r="X39" i="63" s="1"/>
  <c r="X39" i="54"/>
  <c r="AB39" i="72"/>
  <c r="AB31" i="75"/>
  <c r="AB39" i="75" s="1"/>
  <c r="AC39" i="54"/>
  <c r="AC31" i="63"/>
  <c r="AC39" i="63" s="1"/>
  <c r="S39" i="68"/>
  <c r="S31" i="71"/>
  <c r="S39" i="71" s="1"/>
  <c r="N31" i="71"/>
  <c r="N39" i="71" s="1"/>
  <c r="N39" i="68"/>
  <c r="D65" i="10" l="1"/>
  <c r="J66" i="10"/>
  <c r="T160" i="4" s="1"/>
  <c r="AJ160" i="4" s="1"/>
  <c r="AJ162" i="4" s="1"/>
  <c r="J59" i="10" s="1"/>
  <c r="F66" i="10"/>
  <c r="P160" i="4"/>
  <c r="AF160" i="4" s="1"/>
  <c r="H66" i="10"/>
  <c r="R160" i="4"/>
  <c r="AH160" i="4" s="1"/>
  <c r="AH162" i="4" s="1"/>
  <c r="H59" i="10" s="1"/>
  <c r="L66" i="10"/>
  <c r="V160" i="4" s="1"/>
  <c r="AL160" i="4" s="1"/>
  <c r="AL162" i="4" s="1"/>
  <c r="L59" i="10" s="1"/>
  <c r="AF162" i="4" l="1"/>
  <c r="F59" i="10" s="1"/>
  <c r="AN160" i="4"/>
  <c r="AN162" i="4" s="1"/>
  <c r="D66" i="10"/>
  <c r="X160" i="4"/>
  <c r="Z160" i="4" s="1"/>
  <c r="D59" i="10" l="1"/>
  <c r="F60" i="10"/>
  <c r="P159" i="4" l="1"/>
  <c r="J60" i="10"/>
  <c r="T159" i="4" s="1"/>
  <c r="T162" i="4" s="1"/>
  <c r="L60" i="10"/>
  <c r="V159" i="4" s="1"/>
  <c r="V162" i="4" s="1"/>
  <c r="H60" i="10"/>
  <c r="R159" i="4" s="1"/>
  <c r="R162" i="4" s="1"/>
  <c r="T63" i="10" l="1"/>
  <c r="V63" i="10"/>
  <c r="X63" i="10"/>
  <c r="D60" i="10"/>
  <c r="X159" i="4"/>
  <c r="P162" i="4"/>
  <c r="R63" i="10" l="1"/>
  <c r="R64" i="10" s="1"/>
  <c r="R66" i="10" s="1"/>
  <c r="F56" i="10" s="1"/>
  <c r="X162" i="4"/>
  <c r="Z159" i="4"/>
  <c r="T64" i="10" l="1"/>
  <c r="T66" i="10" s="1"/>
  <c r="H56" i="10" s="1"/>
  <c r="V64" i="10"/>
  <c r="V66" i="10" s="1"/>
  <c r="J56" i="10" s="1"/>
  <c r="X64" i="10"/>
  <c r="X66" i="10" s="1"/>
  <c r="L56" i="10" s="1"/>
  <c r="Z162" i="4"/>
  <c r="D56" i="10" l="1"/>
  <c r="H57" i="10" s="1"/>
  <c r="F57" i="10"/>
  <c r="L57" i="10"/>
  <c r="V33" i="4" s="1"/>
  <c r="P103" i="4"/>
  <c r="P33" i="4"/>
  <c r="P55" i="4"/>
  <c r="V55" i="4"/>
  <c r="V57" i="4" s="1"/>
  <c r="J57" i="10" l="1"/>
  <c r="V103" i="4"/>
  <c r="V104" i="4" s="1"/>
  <c r="R55" i="4"/>
  <c r="R57" i="4" s="1"/>
  <c r="R33" i="4"/>
  <c r="R77" i="4" s="1"/>
  <c r="R79" i="4" s="1"/>
  <c r="R92" i="4" s="1"/>
  <c r="D57" i="10"/>
  <c r="R103" i="4"/>
  <c r="R104" i="4" s="1"/>
  <c r="P35" i="4"/>
  <c r="P77" i="4"/>
  <c r="P104" i="4"/>
  <c r="V35" i="4"/>
  <c r="V77" i="4"/>
  <c r="V79" i="4" s="1"/>
  <c r="V92" i="4" s="1"/>
  <c r="P57" i="4"/>
  <c r="R35" i="4" l="1"/>
  <c r="T33" i="4"/>
  <c r="T103" i="4"/>
  <c r="T104" i="4" s="1"/>
  <c r="X104" i="4" s="1"/>
  <c r="T55" i="4"/>
  <c r="T57" i="4" s="1"/>
  <c r="X103" i="4"/>
  <c r="Z103" i="4" s="1"/>
  <c r="P79" i="4"/>
  <c r="P92" i="4" s="1"/>
  <c r="R97" i="4"/>
  <c r="H71" i="10"/>
  <c r="L71" i="10"/>
  <c r="V97" i="4"/>
  <c r="T35" i="4" l="1"/>
  <c r="T77" i="4"/>
  <c r="X55" i="4"/>
  <c r="X57" i="4" s="1"/>
  <c r="Z57" i="4" s="1"/>
  <c r="X33" i="4"/>
  <c r="X35" i="4" s="1"/>
  <c r="Z35" i="4" s="1"/>
  <c r="P97" i="4"/>
  <c r="F71" i="10"/>
  <c r="Z104" i="4"/>
  <c r="T79" i="4" l="1"/>
  <c r="T92" i="4" s="1"/>
  <c r="X77" i="4"/>
  <c r="X79" i="4" s="1"/>
  <c r="X92" i="4" l="1"/>
  <c r="Z92" i="4" s="1"/>
  <c r="Z79" i="4"/>
  <c r="T97" i="4"/>
  <c r="X97" i="4" s="1"/>
  <c r="Z97" i="4" s="1"/>
  <c r="J71" i="10"/>
  <c r="D71" i="10" s="1"/>
  <c r="F72" i="10" s="1"/>
  <c r="P108" i="4"/>
  <c r="L72" i="10"/>
  <c r="V108" i="4" s="1"/>
  <c r="H72" i="10"/>
  <c r="R108" i="4" s="1"/>
  <c r="J72" i="10"/>
  <c r="T108" i="4" s="1"/>
  <c r="T110" i="4" l="1"/>
  <c r="T164" i="4"/>
  <c r="R110" i="4"/>
  <c r="R164" i="4"/>
  <c r="AC92" i="4"/>
  <c r="AC93" i="4" s="1"/>
  <c r="H25" i="52" s="1"/>
  <c r="V110" i="4"/>
  <c r="V164" i="4"/>
  <c r="D72" i="10"/>
  <c r="P110" i="4"/>
  <c r="X108" i="4"/>
  <c r="P164" i="4"/>
  <c r="X110" i="4" l="1"/>
  <c r="Z110" i="4" s="1"/>
  <c r="D24" i="52"/>
  <c r="P180" i="4"/>
  <c r="F24" i="52" s="1"/>
  <c r="H28" i="52"/>
  <c r="H59" i="52" s="1"/>
  <c r="H25" i="61"/>
  <c r="H28" i="61" s="1"/>
  <c r="H59" i="61" s="1"/>
  <c r="Z108" i="4"/>
  <c r="X164" i="4"/>
  <c r="D27" i="52"/>
  <c r="D27" i="61" s="1"/>
  <c r="V180" i="4"/>
  <c r="F27" i="52" s="1"/>
  <c r="D25" i="52"/>
  <c r="D25" i="61" s="1"/>
  <c r="R180" i="4"/>
  <c r="F25" i="52" s="1"/>
  <c r="D26" i="52"/>
  <c r="D26" i="61" s="1"/>
  <c r="T180" i="4"/>
  <c r="F26" i="52" s="1"/>
  <c r="F27" i="61" l="1"/>
  <c r="L27" i="61" s="1"/>
  <c r="L27" i="52"/>
  <c r="Z164" i="4"/>
  <c r="X180" i="4"/>
  <c r="Z180" i="4" s="1"/>
  <c r="F26" i="61"/>
  <c r="L26" i="61" s="1"/>
  <c r="L26" i="52"/>
  <c r="L25" i="52"/>
  <c r="F25" i="61"/>
  <c r="L25" i="61" s="1"/>
  <c r="F28" i="52"/>
  <c r="L24" i="52"/>
  <c r="F24" i="61"/>
  <c r="D24" i="61"/>
  <c r="D28" i="61" s="1"/>
  <c r="D28" i="52"/>
  <c r="L28" i="52" l="1"/>
  <c r="R24" i="52"/>
  <c r="Q24" i="52"/>
  <c r="P24" i="52"/>
  <c r="S24" i="52"/>
  <c r="R25" i="61"/>
  <c r="Q25" i="61"/>
  <c r="S25" i="61"/>
  <c r="P25" i="61"/>
  <c r="L24" i="61"/>
  <c r="F28" i="61"/>
  <c r="P25" i="52"/>
  <c r="D25" i="54" s="1"/>
  <c r="S25" i="52"/>
  <c r="D25" i="58" s="1"/>
  <c r="R25" i="52"/>
  <c r="D25" i="72" s="1"/>
  <c r="Q25" i="52"/>
  <c r="D25" i="68" s="1"/>
  <c r="R26" i="61"/>
  <c r="Q26" i="61"/>
  <c r="P26" i="61"/>
  <c r="S26" i="61"/>
  <c r="S26" i="52"/>
  <c r="D26" i="58" s="1"/>
  <c r="R26" i="52"/>
  <c r="D26" i="72" s="1"/>
  <c r="P26" i="52"/>
  <c r="D26" i="54" s="1"/>
  <c r="Q26" i="52"/>
  <c r="D26" i="68" s="1"/>
  <c r="Q27" i="52"/>
  <c r="D27" i="68" s="1"/>
  <c r="R27" i="52"/>
  <c r="D27" i="72" s="1"/>
  <c r="P27" i="52"/>
  <c r="D27" i="54" s="1"/>
  <c r="S27" i="52"/>
  <c r="D27" i="58" s="1"/>
  <c r="S27" i="61"/>
  <c r="R27" i="61"/>
  <c r="Q27" i="61"/>
  <c r="P27" i="61"/>
  <c r="D25" i="63" l="1"/>
  <c r="J25" i="63" s="1"/>
  <c r="J25" i="54"/>
  <c r="J26" i="54"/>
  <c r="D26" i="63"/>
  <c r="J26" i="63" s="1"/>
  <c r="D26" i="67"/>
  <c r="J26" i="67" s="1"/>
  <c r="J26" i="58"/>
  <c r="J27" i="68"/>
  <c r="D27" i="71"/>
  <c r="J27" i="71" s="1"/>
  <c r="S28" i="52"/>
  <c r="D24" i="58"/>
  <c r="J25" i="58"/>
  <c r="D25" i="67"/>
  <c r="J25" i="67" s="1"/>
  <c r="S24" i="61"/>
  <c r="S28" i="61" s="1"/>
  <c r="R24" i="61"/>
  <c r="R28" i="61" s="1"/>
  <c r="L28" i="61"/>
  <c r="P24" i="61"/>
  <c r="P28" i="61" s="1"/>
  <c r="Q24" i="61"/>
  <c r="Q28" i="61" s="1"/>
  <c r="P28" i="52"/>
  <c r="D24" i="54"/>
  <c r="J26" i="68"/>
  <c r="D26" i="71"/>
  <c r="J26" i="71" s="1"/>
  <c r="D24" i="68"/>
  <c r="Q28" i="52"/>
  <c r="D26" i="75"/>
  <c r="J26" i="75" s="1"/>
  <c r="J26" i="72"/>
  <c r="D27" i="67"/>
  <c r="J27" i="67" s="1"/>
  <c r="J27" i="58"/>
  <c r="D25" i="71"/>
  <c r="J25" i="71" s="1"/>
  <c r="J25" i="68"/>
  <c r="R28" i="52"/>
  <c r="D24" i="72"/>
  <c r="J27" i="72"/>
  <c r="D27" i="75"/>
  <c r="J27" i="75" s="1"/>
  <c r="D27" i="63"/>
  <c r="J27" i="63" s="1"/>
  <c r="J27" i="54"/>
  <c r="D25" i="75"/>
  <c r="J25" i="75" s="1"/>
  <c r="J25" i="72"/>
  <c r="P27" i="67" l="1"/>
  <c r="Q27" i="67"/>
  <c r="O27" i="67"/>
  <c r="N27" i="67"/>
  <c r="P25" i="72"/>
  <c r="P25" i="75" s="1"/>
  <c r="AC25" i="72"/>
  <c r="AC25" i="75" s="1"/>
  <c r="O25" i="72"/>
  <c r="O25" i="75" s="1"/>
  <c r="N25" i="72"/>
  <c r="N25" i="75" s="1"/>
  <c r="S25" i="72"/>
  <c r="S25" i="75" s="1"/>
  <c r="W25" i="72"/>
  <c r="W25" i="75" s="1"/>
  <c r="AB25" i="72"/>
  <c r="AB25" i="75" s="1"/>
  <c r="U25" i="72"/>
  <c r="U25" i="75" s="1"/>
  <c r="AA25" i="72"/>
  <c r="AA25" i="75" s="1"/>
  <c r="X25" i="72"/>
  <c r="X25" i="75" s="1"/>
  <c r="T25" i="72"/>
  <c r="T25" i="75" s="1"/>
  <c r="Z25" i="72"/>
  <c r="Z25" i="75" s="1"/>
  <c r="V25" i="72"/>
  <c r="V25" i="75" s="1"/>
  <c r="Y25" i="72"/>
  <c r="Y25" i="75" s="1"/>
  <c r="P25" i="67"/>
  <c r="Q25" i="67"/>
  <c r="O25" i="67"/>
  <c r="N25" i="67"/>
  <c r="D28" i="58"/>
  <c r="D42" i="58" s="1"/>
  <c r="J24" i="58"/>
  <c r="D24" i="67"/>
  <c r="Y27" i="54"/>
  <c r="Y27" i="63" s="1"/>
  <c r="W27" i="54"/>
  <c r="W27" i="63" s="1"/>
  <c r="U27" i="54"/>
  <c r="U27" i="63" s="1"/>
  <c r="P27" i="54"/>
  <c r="P27" i="63" s="1"/>
  <c r="V27" i="54"/>
  <c r="V27" i="63" s="1"/>
  <c r="X27" i="54"/>
  <c r="X27" i="63" s="1"/>
  <c r="T27" i="54"/>
  <c r="T27" i="63" s="1"/>
  <c r="AA27" i="54"/>
  <c r="AA27" i="63" s="1"/>
  <c r="Z27" i="54"/>
  <c r="Z27" i="63" s="1"/>
  <c r="AC27" i="54"/>
  <c r="AC27" i="63" s="1"/>
  <c r="S27" i="54"/>
  <c r="S27" i="63" s="1"/>
  <c r="AB27" i="54"/>
  <c r="AB27" i="63" s="1"/>
  <c r="O27" i="54"/>
  <c r="O27" i="63" s="1"/>
  <c r="N27" i="54"/>
  <c r="N27" i="63" s="1"/>
  <c r="X27" i="68"/>
  <c r="X27" i="71" s="1"/>
  <c r="AB27" i="68"/>
  <c r="AB27" i="71" s="1"/>
  <c r="AA27" i="68"/>
  <c r="AA27" i="71" s="1"/>
  <c r="Y27" i="68"/>
  <c r="Y27" i="71" s="1"/>
  <c r="AC27" i="68"/>
  <c r="AC27" i="71" s="1"/>
  <c r="U27" i="68"/>
  <c r="U27" i="71" s="1"/>
  <c r="T27" i="68"/>
  <c r="T27" i="71" s="1"/>
  <c r="S27" i="68"/>
  <c r="S27" i="71" s="1"/>
  <c r="Z27" i="68"/>
  <c r="Z27" i="71" s="1"/>
  <c r="V27" i="68"/>
  <c r="V27" i="71" s="1"/>
  <c r="O27" i="68"/>
  <c r="O27" i="71" s="1"/>
  <c r="P27" i="68"/>
  <c r="P27" i="71" s="1"/>
  <c r="N27" i="68"/>
  <c r="N27" i="71" s="1"/>
  <c r="W27" i="68"/>
  <c r="W27" i="71" s="1"/>
  <c r="Q27" i="58"/>
  <c r="O27" i="58"/>
  <c r="N27" i="58"/>
  <c r="R27" i="58"/>
  <c r="P27" i="58"/>
  <c r="D24" i="71"/>
  <c r="D28" i="68"/>
  <c r="D42" i="68" s="1"/>
  <c r="J24" i="68"/>
  <c r="X26" i="68"/>
  <c r="X26" i="71" s="1"/>
  <c r="W26" i="68"/>
  <c r="W26" i="71" s="1"/>
  <c r="T26" i="68"/>
  <c r="T26" i="71" s="1"/>
  <c r="P26" i="68"/>
  <c r="P26" i="71" s="1"/>
  <c r="S26" i="68"/>
  <c r="S26" i="71" s="1"/>
  <c r="U26" i="68"/>
  <c r="U26" i="71" s="1"/>
  <c r="N26" i="68"/>
  <c r="N26" i="71" s="1"/>
  <c r="V26" i="68"/>
  <c r="V26" i="71" s="1"/>
  <c r="AC26" i="68"/>
  <c r="AC26" i="71" s="1"/>
  <c r="Z26" i="68"/>
  <c r="Z26" i="71" s="1"/>
  <c r="O26" i="68"/>
  <c r="O26" i="71" s="1"/>
  <c r="Y26" i="68"/>
  <c r="Y26" i="71" s="1"/>
  <c r="AA26" i="68"/>
  <c r="AA26" i="71" s="1"/>
  <c r="AB26" i="68"/>
  <c r="AB26" i="71" s="1"/>
  <c r="P26" i="58"/>
  <c r="Q26" i="58"/>
  <c r="N26" i="58"/>
  <c r="O26" i="58"/>
  <c r="R26" i="58"/>
  <c r="N26" i="67"/>
  <c r="Q26" i="67"/>
  <c r="O26" i="67"/>
  <c r="P26" i="67"/>
  <c r="W26" i="54"/>
  <c r="W26" i="63" s="1"/>
  <c r="AA26" i="54"/>
  <c r="AA26" i="63" s="1"/>
  <c r="X26" i="54"/>
  <c r="X26" i="63" s="1"/>
  <c r="N26" i="54"/>
  <c r="N26" i="63" s="1"/>
  <c r="AC26" i="54"/>
  <c r="AC26" i="63" s="1"/>
  <c r="V26" i="54"/>
  <c r="V26" i="63" s="1"/>
  <c r="S26" i="54"/>
  <c r="S26" i="63" s="1"/>
  <c r="AB26" i="54"/>
  <c r="AB26" i="63" s="1"/>
  <c r="Y26" i="54"/>
  <c r="Y26" i="63" s="1"/>
  <c r="O26" i="54"/>
  <c r="O26" i="63" s="1"/>
  <c r="P26" i="54"/>
  <c r="P26" i="63" s="1"/>
  <c r="U26" i="54"/>
  <c r="U26" i="63" s="1"/>
  <c r="T26" i="54"/>
  <c r="T26" i="63" s="1"/>
  <c r="Z26" i="54"/>
  <c r="Z26" i="63" s="1"/>
  <c r="O25" i="58"/>
  <c r="Q25" i="58"/>
  <c r="R25" i="58"/>
  <c r="N25" i="58"/>
  <c r="P25" i="58"/>
  <c r="D24" i="63"/>
  <c r="J24" i="54"/>
  <c r="D28" i="54"/>
  <c r="D42" i="54" s="1"/>
  <c r="V27" i="72"/>
  <c r="V27" i="75" s="1"/>
  <c r="U27" i="72"/>
  <c r="U27" i="75" s="1"/>
  <c r="O27" i="72"/>
  <c r="O27" i="75" s="1"/>
  <c r="S27" i="72"/>
  <c r="S27" i="75" s="1"/>
  <c r="AC27" i="72"/>
  <c r="AC27" i="75" s="1"/>
  <c r="AA27" i="72"/>
  <c r="AA27" i="75" s="1"/>
  <c r="Z27" i="72"/>
  <c r="Z27" i="75" s="1"/>
  <c r="Y27" i="72"/>
  <c r="Y27" i="75" s="1"/>
  <c r="W27" i="72"/>
  <c r="W27" i="75" s="1"/>
  <c r="AB27" i="72"/>
  <c r="AB27" i="75" s="1"/>
  <c r="P27" i="72"/>
  <c r="P27" i="75" s="1"/>
  <c r="X27" i="72"/>
  <c r="X27" i="75" s="1"/>
  <c r="T27" i="72"/>
  <c r="T27" i="75" s="1"/>
  <c r="N27" i="72"/>
  <c r="N27" i="75" s="1"/>
  <c r="D28" i="72"/>
  <c r="D42" i="72" s="1"/>
  <c r="D24" i="75"/>
  <c r="J24" i="72"/>
  <c r="O25" i="68"/>
  <c r="O25" i="71" s="1"/>
  <c r="Z25" i="68"/>
  <c r="Z25" i="71" s="1"/>
  <c r="U25" i="68"/>
  <c r="U25" i="71" s="1"/>
  <c r="T25" i="68"/>
  <c r="T25" i="71" s="1"/>
  <c r="AA25" i="68"/>
  <c r="AA25" i="71" s="1"/>
  <c r="Y25" i="68"/>
  <c r="Y25" i="71" s="1"/>
  <c r="N25" i="68"/>
  <c r="N25" i="71" s="1"/>
  <c r="V25" i="68"/>
  <c r="V25" i="71" s="1"/>
  <c r="W25" i="68"/>
  <c r="W25" i="71" s="1"/>
  <c r="P25" i="68"/>
  <c r="P25" i="71" s="1"/>
  <c r="S25" i="68"/>
  <c r="S25" i="71" s="1"/>
  <c r="AC25" i="68"/>
  <c r="AC25" i="71" s="1"/>
  <c r="X25" i="68"/>
  <c r="X25" i="71" s="1"/>
  <c r="AB25" i="68"/>
  <c r="AB25" i="71" s="1"/>
  <c r="U25" i="54"/>
  <c r="U25" i="63" s="1"/>
  <c r="S25" i="54"/>
  <c r="S25" i="63" s="1"/>
  <c r="AC25" i="54"/>
  <c r="AC25" i="63" s="1"/>
  <c r="Y25" i="54"/>
  <c r="Y25" i="63" s="1"/>
  <c r="O25" i="54"/>
  <c r="O25" i="63" s="1"/>
  <c r="X25" i="54"/>
  <c r="X25" i="63" s="1"/>
  <c r="AA25" i="54"/>
  <c r="AA25" i="63" s="1"/>
  <c r="P25" i="54"/>
  <c r="P25" i="63" s="1"/>
  <c r="V25" i="54"/>
  <c r="V25" i="63" s="1"/>
  <c r="T25" i="54"/>
  <c r="T25" i="63" s="1"/>
  <c r="W25" i="54"/>
  <c r="W25" i="63" s="1"/>
  <c r="AB25" i="54"/>
  <c r="AB25" i="63" s="1"/>
  <c r="Z25" i="54"/>
  <c r="Z25" i="63" s="1"/>
  <c r="N25" i="54"/>
  <c r="N25" i="63" s="1"/>
  <c r="W26" i="72"/>
  <c r="W26" i="75" s="1"/>
  <c r="S26" i="72"/>
  <c r="S26" i="75" s="1"/>
  <c r="O26" i="72"/>
  <c r="O26" i="75" s="1"/>
  <c r="U26" i="72"/>
  <c r="U26" i="75" s="1"/>
  <c r="Z26" i="72"/>
  <c r="Z26" i="75" s="1"/>
  <c r="N26" i="72"/>
  <c r="N26" i="75" s="1"/>
  <c r="P26" i="72"/>
  <c r="P26" i="75" s="1"/>
  <c r="AA26" i="72"/>
  <c r="AA26" i="75" s="1"/>
  <c r="T26" i="72"/>
  <c r="T26" i="75" s="1"/>
  <c r="Y26" i="72"/>
  <c r="Y26" i="75" s="1"/>
  <c r="AC26" i="72"/>
  <c r="AC26" i="75" s="1"/>
  <c r="X26" i="72"/>
  <c r="X26" i="75" s="1"/>
  <c r="AB26" i="72"/>
  <c r="AB26" i="75" s="1"/>
  <c r="V26" i="72"/>
  <c r="V26" i="75" s="1"/>
  <c r="V24" i="72" l="1"/>
  <c r="S24" i="72"/>
  <c r="J28" i="72"/>
  <c r="J42" i="72" s="1"/>
  <c r="O24" i="72"/>
  <c r="X24" i="72"/>
  <c r="W24" i="72"/>
  <c r="Z24" i="72"/>
  <c r="N24" i="72"/>
  <c r="T24" i="72"/>
  <c r="AA24" i="72"/>
  <c r="AC24" i="72"/>
  <c r="AB24" i="72"/>
  <c r="P24" i="72"/>
  <c r="Y24" i="72"/>
  <c r="U24" i="72"/>
  <c r="J24" i="67"/>
  <c r="D28" i="67"/>
  <c r="D42" i="67" s="1"/>
  <c r="R24" i="58"/>
  <c r="R28" i="58" s="1"/>
  <c r="R42" i="58" s="1"/>
  <c r="N24" i="58"/>
  <c r="N28" i="58" s="1"/>
  <c r="N42" i="58" s="1"/>
  <c r="O24" i="58"/>
  <c r="O28" i="58" s="1"/>
  <c r="O42" i="58" s="1"/>
  <c r="Q24" i="58"/>
  <c r="Q28" i="58" s="1"/>
  <c r="Q42" i="58" s="1"/>
  <c r="J28" i="58"/>
  <c r="J42" i="58" s="1"/>
  <c r="P24" i="58"/>
  <c r="P28" i="58" s="1"/>
  <c r="P42" i="58" s="1"/>
  <c r="P24" i="54"/>
  <c r="S24" i="54"/>
  <c r="J28" i="54"/>
  <c r="J42" i="54" s="1"/>
  <c r="Z24" i="54"/>
  <c r="X24" i="54"/>
  <c r="Y24" i="54"/>
  <c r="AB24" i="54"/>
  <c r="W24" i="54"/>
  <c r="T24" i="54"/>
  <c r="O24" i="54"/>
  <c r="U24" i="54"/>
  <c r="AA24" i="54"/>
  <c r="AC24" i="54"/>
  <c r="N24" i="54"/>
  <c r="V24" i="54"/>
  <c r="D28" i="75"/>
  <c r="D42" i="75" s="1"/>
  <c r="J24" i="75"/>
  <c r="J28" i="75" s="1"/>
  <c r="J42" i="75" s="1"/>
  <c r="J24" i="63"/>
  <c r="J28" i="63" s="1"/>
  <c r="J42" i="63" s="1"/>
  <c r="D28" i="63"/>
  <c r="D42" i="63" s="1"/>
  <c r="W24" i="68"/>
  <c r="AA24" i="68"/>
  <c r="AB24" i="68"/>
  <c r="X24" i="68"/>
  <c r="J28" i="68"/>
  <c r="J42" i="68" s="1"/>
  <c r="N24" i="68"/>
  <c r="O24" i="68"/>
  <c r="V24" i="68"/>
  <c r="Y24" i="68"/>
  <c r="AC24" i="68"/>
  <c r="Z24" i="68"/>
  <c r="S24" i="68"/>
  <c r="T24" i="68"/>
  <c r="U24" i="68"/>
  <c r="P24" i="68"/>
  <c r="J24" i="71"/>
  <c r="J28" i="71" s="1"/>
  <c r="J42" i="71" s="1"/>
  <c r="D28" i="71"/>
  <c r="D42" i="71" s="1"/>
  <c r="T28" i="68" l="1"/>
  <c r="T42" i="68" s="1"/>
  <c r="T24" i="71"/>
  <c r="T28" i="71" s="1"/>
  <c r="T42" i="71" s="1"/>
  <c r="AB28" i="72"/>
  <c r="AB42" i="72" s="1"/>
  <c r="AB24" i="75"/>
  <c r="AB28" i="75" s="1"/>
  <c r="AB42" i="75" s="1"/>
  <c r="U24" i="71"/>
  <c r="U28" i="71" s="1"/>
  <c r="U42" i="71" s="1"/>
  <c r="U28" i="68"/>
  <c r="U42" i="68" s="1"/>
  <c r="X24" i="63"/>
  <c r="X28" i="63" s="1"/>
  <c r="X42" i="63" s="1"/>
  <c r="X28" i="54"/>
  <c r="X42" i="54" s="1"/>
  <c r="Z28" i="54"/>
  <c r="Z42" i="54" s="1"/>
  <c r="Z24" i="63"/>
  <c r="Z28" i="63" s="1"/>
  <c r="Z42" i="63" s="1"/>
  <c r="S24" i="63"/>
  <c r="S28" i="63" s="1"/>
  <c r="S42" i="63" s="1"/>
  <c r="S28" i="54"/>
  <c r="S42" i="54" s="1"/>
  <c r="AC28" i="72"/>
  <c r="AC42" i="72" s="1"/>
  <c r="AC24" i="75"/>
  <c r="AC28" i="75" s="1"/>
  <c r="AC42" i="75" s="1"/>
  <c r="Y24" i="75"/>
  <c r="Y28" i="75" s="1"/>
  <c r="Y42" i="75" s="1"/>
  <c r="Y28" i="72"/>
  <c r="Y42" i="72" s="1"/>
  <c r="P24" i="63"/>
  <c r="P28" i="63" s="1"/>
  <c r="P42" i="63" s="1"/>
  <c r="P28" i="54"/>
  <c r="P42" i="54" s="1"/>
  <c r="AA24" i="75"/>
  <c r="AA28" i="75" s="1"/>
  <c r="AA42" i="75" s="1"/>
  <c r="AA28" i="72"/>
  <c r="AA42" i="72" s="1"/>
  <c r="AC28" i="68"/>
  <c r="AC42" i="68" s="1"/>
  <c r="AC24" i="71"/>
  <c r="AC28" i="71" s="1"/>
  <c r="AC42" i="71" s="1"/>
  <c r="T24" i="75"/>
  <c r="T28" i="75" s="1"/>
  <c r="T42" i="75" s="1"/>
  <c r="T28" i="72"/>
  <c r="T42" i="72" s="1"/>
  <c r="N24" i="75"/>
  <c r="N28" i="75" s="1"/>
  <c r="N42" i="75" s="1"/>
  <c r="N28" i="72"/>
  <c r="N42" i="72" s="1"/>
  <c r="V24" i="63"/>
  <c r="V28" i="63" s="1"/>
  <c r="V42" i="63" s="1"/>
  <c r="V28" i="54"/>
  <c r="V42" i="54" s="1"/>
  <c r="AC28" i="54"/>
  <c r="AC42" i="54" s="1"/>
  <c r="AC24" i="63"/>
  <c r="AC28" i="63" s="1"/>
  <c r="AC42" i="63" s="1"/>
  <c r="O24" i="71"/>
  <c r="O28" i="71" s="1"/>
  <c r="O42" i="71" s="1"/>
  <c r="O28" i="68"/>
  <c r="O42" i="68" s="1"/>
  <c r="AA24" i="63"/>
  <c r="AA28" i="63" s="1"/>
  <c r="AA42" i="63" s="1"/>
  <c r="AA28" i="54"/>
  <c r="AA42" i="54" s="1"/>
  <c r="Z28" i="72"/>
  <c r="Z42" i="72" s="1"/>
  <c r="Z24" i="75"/>
  <c r="Z28" i="75" s="1"/>
  <c r="Z42" i="75" s="1"/>
  <c r="N28" i="68"/>
  <c r="N42" i="68" s="1"/>
  <c r="N24" i="71"/>
  <c r="N28" i="71" s="1"/>
  <c r="N42" i="71" s="1"/>
  <c r="W28" i="72"/>
  <c r="W42" i="72" s="1"/>
  <c r="W24" i="75"/>
  <c r="W28" i="75" s="1"/>
  <c r="W42" i="75" s="1"/>
  <c r="S28" i="68"/>
  <c r="S42" i="68" s="1"/>
  <c r="S24" i="71"/>
  <c r="S28" i="71" s="1"/>
  <c r="S42" i="71" s="1"/>
  <c r="X28" i="72"/>
  <c r="X42" i="72" s="1"/>
  <c r="X24" i="75"/>
  <c r="X28" i="75" s="1"/>
  <c r="X42" i="75" s="1"/>
  <c r="N28" i="54"/>
  <c r="N42" i="54" s="1"/>
  <c r="N24" i="63"/>
  <c r="N28" i="63" s="1"/>
  <c r="N42" i="63" s="1"/>
  <c r="X24" i="71"/>
  <c r="X28" i="71" s="1"/>
  <c r="X42" i="71" s="1"/>
  <c r="X28" i="68"/>
  <c r="X42" i="68" s="1"/>
  <c r="T24" i="63"/>
  <c r="T28" i="63" s="1"/>
  <c r="T42" i="63" s="1"/>
  <c r="T28" i="54"/>
  <c r="T42" i="54" s="1"/>
  <c r="O24" i="75"/>
  <c r="O28" i="75" s="1"/>
  <c r="O42" i="75" s="1"/>
  <c r="O28" i="72"/>
  <c r="O42" i="72" s="1"/>
  <c r="U28" i="54"/>
  <c r="U42" i="54" s="1"/>
  <c r="U24" i="63"/>
  <c r="U28" i="63" s="1"/>
  <c r="U42" i="63" s="1"/>
  <c r="AB28" i="68"/>
  <c r="AB42" i="68" s="1"/>
  <c r="AB24" i="71"/>
  <c r="AB28" i="71" s="1"/>
  <c r="AB42" i="71" s="1"/>
  <c r="W28" i="54"/>
  <c r="W42" i="54" s="1"/>
  <c r="W24" i="63"/>
  <c r="W28" i="63" s="1"/>
  <c r="W42" i="63" s="1"/>
  <c r="Y24" i="71"/>
  <c r="Y28" i="71" s="1"/>
  <c r="Y42" i="71" s="1"/>
  <c r="Y28" i="68"/>
  <c r="Y42" i="68" s="1"/>
  <c r="AA24" i="71"/>
  <c r="AA28" i="71" s="1"/>
  <c r="AA42" i="71" s="1"/>
  <c r="AA28" i="68"/>
  <c r="AA42" i="68" s="1"/>
  <c r="AB24" i="63"/>
  <c r="AB28" i="63" s="1"/>
  <c r="AB42" i="63" s="1"/>
  <c r="AB28" i="54"/>
  <c r="AB42" i="54" s="1"/>
  <c r="J28" i="67"/>
  <c r="J42" i="67" s="1"/>
  <c r="O24" i="67"/>
  <c r="O28" i="67" s="1"/>
  <c r="O42" i="67" s="1"/>
  <c r="Q24" i="67"/>
  <c r="Q28" i="67" s="1"/>
  <c r="Q42" i="67" s="1"/>
  <c r="P24" i="67"/>
  <c r="P28" i="67" s="1"/>
  <c r="P42" i="67" s="1"/>
  <c r="N24" i="67"/>
  <c r="N28" i="67" s="1"/>
  <c r="N42" i="67" s="1"/>
  <c r="S28" i="72"/>
  <c r="S42" i="72" s="1"/>
  <c r="S24" i="75"/>
  <c r="S28" i="75" s="1"/>
  <c r="S42" i="75" s="1"/>
  <c r="P28" i="72"/>
  <c r="P42" i="72" s="1"/>
  <c r="P24" i="75"/>
  <c r="P28" i="75" s="1"/>
  <c r="P42" i="75" s="1"/>
  <c r="Z28" i="68"/>
  <c r="Z42" i="68" s="1"/>
  <c r="Z24" i="71"/>
  <c r="Z28" i="71" s="1"/>
  <c r="Z42" i="71" s="1"/>
  <c r="V24" i="71"/>
  <c r="V28" i="71" s="1"/>
  <c r="V42" i="71" s="1"/>
  <c r="V28" i="68"/>
  <c r="V42" i="68" s="1"/>
  <c r="O28" i="54"/>
  <c r="O42" i="54" s="1"/>
  <c r="O24" i="63"/>
  <c r="O28" i="63" s="1"/>
  <c r="O42" i="63" s="1"/>
  <c r="P28" i="68"/>
  <c r="P42" i="68" s="1"/>
  <c r="P24" i="71"/>
  <c r="P28" i="71" s="1"/>
  <c r="P42" i="71" s="1"/>
  <c r="W28" i="68"/>
  <c r="W42" i="68" s="1"/>
  <c r="W24" i="71"/>
  <c r="W28" i="71" s="1"/>
  <c r="W42" i="71" s="1"/>
  <c r="Y24" i="63"/>
  <c r="Y28" i="63" s="1"/>
  <c r="Y42" i="63" s="1"/>
  <c r="Y28" i="54"/>
  <c r="Y42" i="54" s="1"/>
  <c r="U28" i="72"/>
  <c r="U42" i="72" s="1"/>
  <c r="U24" i="75"/>
  <c r="U28" i="75" s="1"/>
  <c r="U42" i="75" s="1"/>
  <c r="V24" i="75"/>
  <c r="V28" i="75" s="1"/>
  <c r="V42" i="75" s="1"/>
  <c r="V28" i="72"/>
  <c r="V42" i="72" s="1"/>
  <c r="D18" i="51" l="1"/>
  <c r="J19" i="51"/>
  <c r="T159" i="50" s="1"/>
  <c r="H19" i="51"/>
  <c r="R159" i="50" s="1"/>
  <c r="F19" i="51"/>
  <c r="P159" i="50" s="1"/>
  <c r="AE159" i="50" l="1"/>
  <c r="H21" i="51"/>
  <c r="F21" i="51"/>
  <c r="AC159" i="50"/>
  <c r="AG159" i="50"/>
  <c r="J21" i="51"/>
  <c r="D19" i="51"/>
  <c r="D21" i="51" l="1"/>
  <c r="J22" i="51" s="1"/>
  <c r="F22" i="51"/>
  <c r="H22" i="51" l="1"/>
  <c r="T103" i="50"/>
  <c r="T104" i="50" s="1"/>
  <c r="T33" i="50"/>
  <c r="T160" i="50"/>
  <c r="T55" i="50"/>
  <c r="T57" i="50" s="1"/>
  <c r="T108" i="50"/>
  <c r="T110" i="50" s="1"/>
  <c r="R55" i="50"/>
  <c r="R57" i="50" s="1"/>
  <c r="R108" i="50"/>
  <c r="R110" i="50" s="1"/>
  <c r="R103" i="50"/>
  <c r="R104" i="50" s="1"/>
  <c r="R33" i="50"/>
  <c r="R160" i="50"/>
  <c r="D22" i="51"/>
  <c r="P160" i="50"/>
  <c r="P108" i="50"/>
  <c r="P110" i="50" s="1"/>
  <c r="P55" i="50"/>
  <c r="P57" i="50" s="1"/>
  <c r="P103" i="50"/>
  <c r="P104" i="50" s="1"/>
  <c r="P33" i="50"/>
  <c r="AE160" i="50" l="1"/>
  <c r="AE162" i="50" s="1"/>
  <c r="R162" i="50"/>
  <c r="R77" i="50"/>
  <c r="R79" i="50" s="1"/>
  <c r="R92" i="50" s="1"/>
  <c r="R97" i="50" s="1"/>
  <c r="R35" i="50"/>
  <c r="AC160" i="50"/>
  <c r="AC162" i="50" s="1"/>
  <c r="P162" i="50"/>
  <c r="AG160" i="50"/>
  <c r="AG162" i="50" s="1"/>
  <c r="T162" i="50"/>
  <c r="P35" i="50"/>
  <c r="P77" i="50"/>
  <c r="P79" i="50" s="1"/>
  <c r="P92" i="50" s="1"/>
  <c r="P97" i="50" s="1"/>
  <c r="T35" i="50"/>
  <c r="T77" i="50"/>
  <c r="T79" i="50" s="1"/>
  <c r="T92" i="50" s="1"/>
  <c r="T97" i="50" s="1"/>
  <c r="T164" i="50" l="1"/>
  <c r="P164" i="50"/>
  <c r="R164" i="50"/>
  <c r="R180" i="50" l="1"/>
  <c r="D54" i="52"/>
  <c r="D54" i="61" s="1"/>
  <c r="P180" i="50"/>
  <c r="D53" i="52"/>
  <c r="D55" i="52"/>
  <c r="D55" i="61" s="1"/>
  <c r="T180" i="50"/>
  <c r="D53" i="61" l="1"/>
  <c r="D57" i="61" s="1"/>
  <c r="D59" i="61" s="1"/>
  <c r="D57" i="52"/>
  <c r="D59" i="52" s="1"/>
  <c r="F55" i="52"/>
  <c r="D29" i="76"/>
  <c r="D27" i="76"/>
  <c r="F53" i="52"/>
  <c r="D28" i="76"/>
  <c r="F54" i="52"/>
  <c r="F54" i="61" l="1"/>
  <c r="L54" i="61" s="1"/>
  <c r="L54" i="52"/>
  <c r="D27" i="79"/>
  <c r="J27" i="76"/>
  <c r="D31" i="76"/>
  <c r="L55" i="52"/>
  <c r="F55" i="61"/>
  <c r="L55" i="61" s="1"/>
  <c r="J28" i="76"/>
  <c r="D28" i="79"/>
  <c r="J28" i="79" s="1"/>
  <c r="F53" i="61"/>
  <c r="F57" i="52"/>
  <c r="F59" i="52" s="1"/>
  <c r="L53" i="52"/>
  <c r="J29" i="76"/>
  <c r="D29" i="79"/>
  <c r="J29" i="79" s="1"/>
  <c r="L57" i="52" l="1"/>
  <c r="L59" i="52" s="1"/>
  <c r="T29" i="76"/>
  <c r="O29" i="76"/>
  <c r="AD29" i="76"/>
  <c r="P29" i="76"/>
  <c r="W29" i="76"/>
  <c r="V29" i="76"/>
  <c r="U29" i="76"/>
  <c r="AG29" i="76"/>
  <c r="Y29" i="76"/>
  <c r="Z29" i="76"/>
  <c r="AC29" i="76"/>
  <c r="AF29" i="76"/>
  <c r="S29" i="76"/>
  <c r="N29" i="76"/>
  <c r="X29" i="76"/>
  <c r="AE29" i="76"/>
  <c r="AB29" i="76"/>
  <c r="AA29" i="76"/>
  <c r="AD29" i="79"/>
  <c r="V29" i="79"/>
  <c r="AA29" i="79"/>
  <c r="AC29" i="79"/>
  <c r="AG29" i="79"/>
  <c r="Y29" i="79"/>
  <c r="N29" i="79"/>
  <c r="AE29" i="79"/>
  <c r="P29" i="79"/>
  <c r="AF29" i="79"/>
  <c r="Z29" i="79"/>
  <c r="O29" i="79"/>
  <c r="X29" i="79"/>
  <c r="AB29" i="79"/>
  <c r="S29" i="79"/>
  <c r="U29" i="79"/>
  <c r="W29" i="79"/>
  <c r="T29" i="79"/>
  <c r="D31" i="79"/>
  <c r="J27" i="79"/>
  <c r="L53" i="61"/>
  <c r="L57" i="61" s="1"/>
  <c r="L59" i="61" s="1"/>
  <c r="F57" i="61"/>
  <c r="F59" i="61" s="1"/>
  <c r="N28" i="76"/>
  <c r="V28" i="76"/>
  <c r="AC28" i="76"/>
  <c r="X28" i="76"/>
  <c r="AA28" i="76"/>
  <c r="W28" i="76"/>
  <c r="T28" i="76"/>
  <c r="O28" i="76"/>
  <c r="AE28" i="76"/>
  <c r="S28" i="76"/>
  <c r="P28" i="76"/>
  <c r="AD28" i="76"/>
  <c r="AF28" i="76"/>
  <c r="AG28" i="76"/>
  <c r="AB28" i="76"/>
  <c r="U28" i="76"/>
  <c r="Z28" i="76"/>
  <c r="Y28" i="76"/>
  <c r="W28" i="79"/>
  <c r="S28" i="79"/>
  <c r="AE28" i="79"/>
  <c r="Y28" i="79"/>
  <c r="AA28" i="79"/>
  <c r="O28" i="79"/>
  <c r="X28" i="79"/>
  <c r="T28" i="79"/>
  <c r="AB28" i="79"/>
  <c r="AC28" i="79"/>
  <c r="V28" i="79"/>
  <c r="AD28" i="79"/>
  <c r="N28" i="79"/>
  <c r="AF28" i="79"/>
  <c r="AG28" i="79"/>
  <c r="U28" i="79"/>
  <c r="P28" i="79"/>
  <c r="Z28" i="79"/>
  <c r="Z27" i="76"/>
  <c r="Z31" i="76" s="1"/>
  <c r="X27" i="76"/>
  <c r="AB27" i="76"/>
  <c r="N27" i="76"/>
  <c r="U27" i="76"/>
  <c r="AC27" i="76"/>
  <c r="AC31" i="76" s="1"/>
  <c r="W27" i="76"/>
  <c r="W31" i="76" s="1"/>
  <c r="T27" i="76"/>
  <c r="Y27" i="76"/>
  <c r="AA27" i="76"/>
  <c r="P27" i="76"/>
  <c r="P31" i="76" s="1"/>
  <c r="AG27" i="76"/>
  <c r="AG31" i="76" s="1"/>
  <c r="J31" i="76"/>
  <c r="AE27" i="76"/>
  <c r="AE31" i="76" s="1"/>
  <c r="AD27" i="76"/>
  <c r="O27" i="76"/>
  <c r="O31" i="76" s="1"/>
  <c r="AF27" i="76"/>
  <c r="V27" i="76"/>
  <c r="S27" i="76"/>
  <c r="V31" i="76" l="1"/>
  <c r="X31" i="76"/>
  <c r="U31" i="76"/>
  <c r="T31" i="76"/>
  <c r="X27" i="79"/>
  <c r="X31" i="79" s="1"/>
  <c r="O27" i="79"/>
  <c r="O31" i="79" s="1"/>
  <c r="AG27" i="79"/>
  <c r="AG31" i="79" s="1"/>
  <c r="U27" i="79"/>
  <c r="U31" i="79" s="1"/>
  <c r="S27" i="79"/>
  <c r="S31" i="79" s="1"/>
  <c r="J31" i="79"/>
  <c r="N27" i="79"/>
  <c r="N31" i="79" s="1"/>
  <c r="P27" i="79"/>
  <c r="P31" i="79" s="1"/>
  <c r="AE27" i="79"/>
  <c r="AE31" i="79" s="1"/>
  <c r="Z27" i="79"/>
  <c r="Z31" i="79" s="1"/>
  <c r="AA27" i="79"/>
  <c r="AA31" i="79" s="1"/>
  <c r="AD27" i="79"/>
  <c r="AD31" i="79" s="1"/>
  <c r="T27" i="79"/>
  <c r="T31" i="79" s="1"/>
  <c r="AF27" i="79"/>
  <c r="AF31" i="79" s="1"/>
  <c r="V27" i="79"/>
  <c r="V31" i="79" s="1"/>
  <c r="AC27" i="79"/>
  <c r="AC31" i="79" s="1"/>
  <c r="AB27" i="79"/>
  <c r="AB31" i="79" s="1"/>
  <c r="Y27" i="79"/>
  <c r="Y31" i="79" s="1"/>
  <c r="W27" i="79"/>
  <c r="W31" i="79" s="1"/>
  <c r="AF31" i="76"/>
  <c r="AB31" i="76"/>
  <c r="N31" i="76"/>
  <c r="AD31" i="76"/>
  <c r="S31" i="76"/>
  <c r="AA31" i="76"/>
  <c r="Y31" i="76"/>
</calcChain>
</file>

<file path=xl/sharedStrings.xml><?xml version="1.0" encoding="utf-8"?>
<sst xmlns="http://schemas.openxmlformats.org/spreadsheetml/2006/main" count="4215" uniqueCount="527">
  <si>
    <t>2024 Cost Allocation Study - Three Rate Zones - With One Rate Zone Distribution</t>
  </si>
  <si>
    <t>Functionalization</t>
  </si>
  <si>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</si>
  <si>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</si>
  <si>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</si>
  <si>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</si>
  <si>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</si>
  <si>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</si>
  <si>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</si>
  <si>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</si>
  <si>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</si>
  <si>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</si>
  <si>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Particulars ($000s)</t>
  </si>
  <si>
    <t>Requirement</t>
  </si>
  <si>
    <t>Factor</t>
  </si>
  <si>
    <t xml:space="preserve">Match </t>
  </si>
  <si>
    <t>Functionalized</t>
  </si>
  <si>
    <t>Gas Supply</t>
  </si>
  <si>
    <t>Storage</t>
  </si>
  <si>
    <t>Transmission</t>
  </si>
  <si>
    <t>Distribution</t>
  </si>
  <si>
    <t>Check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</si>
  <si>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</si>
  <si>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</si>
  <si>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</si>
  <si>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</si>
  <si>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</si>
  <si>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</si>
  <si>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</si>
  <si>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</si>
  <si>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</si>
  <si>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</si>
  <si>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</si>
  <si>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</si>
  <si>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</si>
  <si>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</si>
  <si>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</si>
  <si>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</si>
  <si>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</si>
  <si>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</si>
  <si>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</si>
  <si>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</si>
  <si>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</si>
  <si>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</si>
  <si>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</si>
  <si>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</si>
  <si>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</si>
  <si>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</si>
  <si>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</si>
  <si>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</si>
  <si>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</si>
  <si>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</si>
  <si>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</si>
  <si>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</si>
  <si>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</si>
  <si>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</si>
  <si>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</si>
  <si>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</si>
  <si>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</si>
  <si>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</si>
  <si>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</si>
  <si>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</si>
  <si>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</si>
  <si>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</si>
  <si>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</si>
  <si>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</si>
  <si>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</si>
  <si>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</si>
  <si>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</si>
  <si>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</si>
  <si>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</si>
  <si>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</si>
  <si>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</si>
  <si>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</si>
  <si>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</si>
  <si>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</si>
  <si>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</si>
  <si>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</si>
  <si>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</si>
  <si>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</si>
  <si>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</si>
  <si>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Depreciation Expense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</si>
  <si>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</si>
  <si>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</si>
  <si>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</si>
  <si>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</si>
  <si>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</si>
  <si>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</si>
  <si>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</si>
  <si>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</si>
  <si>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</si>
  <si>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</si>
  <si>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Labour</t>
  </si>
  <si>
    <t xml:space="preserve">Labour </t>
  </si>
  <si>
    <t>Cost</t>
  </si>
  <si>
    <t>Percent</t>
  </si>
  <si>
    <t xml:space="preserve">Cost of Gas 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</si>
  <si>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</si>
  <si>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</si>
  <si>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</si>
  <si>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</si>
  <si>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</si>
  <si>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</si>
  <si>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</si>
  <si>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</si>
  <si>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</si>
  <si>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</si>
  <si>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</si>
  <si>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</si>
  <si>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</si>
  <si>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</si>
  <si>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</si>
  <si>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</si>
  <si>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</si>
  <si>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</si>
  <si>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</si>
  <si>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</si>
  <si>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</si>
  <si>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</si>
  <si>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</si>
  <si>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</si>
  <si>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</si>
  <si>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</si>
  <si>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</si>
  <si>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</si>
  <si>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</si>
  <si>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</si>
  <si>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</si>
  <si>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DP_GS_GENOPS</t>
  </si>
  <si>
    <t>GENOPS&amp;ENG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</si>
  <si>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</si>
  <si>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</si>
  <si>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</si>
  <si>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</si>
  <si>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</si>
  <si>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</si>
  <si>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</si>
  <si>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</si>
  <si>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</si>
  <si>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</si>
  <si>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</si>
  <si>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</si>
  <si>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</si>
  <si>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Administrative &amp; General Expense</t>
  </si>
  <si>
    <t xml:space="preserve">Employee Benefits </t>
  </si>
  <si>
    <t>DP_GS_EMPBEN</t>
  </si>
  <si>
    <t>LABOUR</t>
  </si>
  <si>
    <t>Administrative &amp; General</t>
  </si>
  <si>
    <t>DP_GS_A&amp;G</t>
  </si>
  <si>
    <t>O&amp;M</t>
  </si>
  <si>
    <t>Total O&amp;M Expenses (sum line 64 to 101)</t>
  </si>
  <si>
    <t>Total Revenue Requirement (lines 57+60+63+102)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</si>
  <si>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</si>
  <si>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</si>
  <si>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</si>
  <si>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</si>
  <si>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</si>
  <si>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</si>
  <si>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</si>
  <si>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</si>
  <si>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</si>
  <si>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Total Revenue Requirement Less Other Revenue</t>
  </si>
  <si>
    <t>(line 103 - line 111)</t>
  </si>
  <si>
    <t>Functionalization Factors</t>
  </si>
  <si>
    <t xml:space="preserve">Functionalization </t>
  </si>
  <si>
    <t>(d)</t>
  </si>
  <si>
    <t>EXT</t>
  </si>
  <si>
    <t>INT</t>
  </si>
  <si>
    <t>Net Plant (Excl. Gen Plant)</t>
  </si>
  <si>
    <t>GENPLANT FACTOR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</si>
  <si>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</si>
  <si>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</si>
  <si>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</si>
  <si>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</si>
  <si>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</si>
  <si>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</si>
  <si>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</si>
  <si>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</si>
  <si>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</si>
  <si>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</si>
  <si>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(j)</t>
  </si>
  <si>
    <t>(k)</t>
  </si>
  <si>
    <t>(l) = (f+g+h+i+j+k)</t>
  </si>
  <si>
    <t xml:space="preserve">Gross Plant </t>
  </si>
  <si>
    <t>GASSUPPLY_CLASS</t>
  </si>
  <si>
    <t xml:space="preserve"> </t>
  </si>
  <si>
    <t>ADMIN</t>
  </si>
  <si>
    <t>OPTIMIZATION</t>
  </si>
  <si>
    <t>(lines 10 - line 111)</t>
  </si>
  <si>
    <t>Gas Supply Classification Factors</t>
  </si>
  <si>
    <t>Gas</t>
  </si>
  <si>
    <t>Classification Factor</t>
  </si>
  <si>
    <t>Supply</t>
  </si>
  <si>
    <t>Storage Classification</t>
  </si>
  <si>
    <t>Storage Demand</t>
  </si>
  <si>
    <t>Operational</t>
  </si>
  <si>
    <t>Deliverability</t>
  </si>
  <si>
    <t>Space</t>
  </si>
  <si>
    <t>Contingency</t>
  </si>
  <si>
    <t>Depreciation</t>
  </si>
  <si>
    <t>System</t>
  </si>
  <si>
    <t>Expense</t>
  </si>
  <si>
    <t>Integrity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</si>
  <si>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</si>
  <si>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</si>
  <si>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</si>
  <si>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</si>
  <si>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</si>
  <si>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</si>
  <si>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</si>
  <si>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</si>
  <si>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</si>
  <si>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</si>
  <si>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</si>
  <si>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Gas in Storage &amp; Balancing Gas Costs</t>
  </si>
  <si>
    <t>Rate Base Amount</t>
  </si>
  <si>
    <t>Rate of Return</t>
  </si>
  <si>
    <t>Return on Rate Base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</si>
  <si>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</si>
  <si>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</si>
  <si>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</si>
  <si>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</si>
  <si>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</si>
  <si>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</si>
  <si>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</si>
  <si>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</si>
  <si>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</si>
  <si>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</si>
  <si>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</si>
  <si>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Storage Classification Factors</t>
  </si>
  <si>
    <t>STOR_GENPLANT FACTOR</t>
  </si>
  <si>
    <t>Transmission Classification</t>
  </si>
  <si>
    <t>Transmission Demand</t>
  </si>
  <si>
    <t>Dawn</t>
  </si>
  <si>
    <t>Kirkwall</t>
  </si>
  <si>
    <t>Parkway</t>
  </si>
  <si>
    <t>Match</t>
  </si>
  <si>
    <t>Station</t>
  </si>
  <si>
    <t>Albion</t>
  </si>
  <si>
    <t>Panhandle</t>
  </si>
  <si>
    <t>St. Clair</t>
  </si>
  <si>
    <t>(l)</t>
  </si>
  <si>
    <t>(m)</t>
  </si>
  <si>
    <t>(n) = (sum f to m)</t>
  </si>
  <si>
    <t>Dawn-</t>
  </si>
  <si>
    <t>Parkway-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</si>
  <si>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</si>
  <si>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</si>
  <si>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</si>
  <si>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</si>
  <si>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</si>
  <si>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</si>
  <si>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</si>
  <si>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</si>
  <si>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</si>
  <si>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</si>
  <si>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</si>
  <si>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</si>
  <si>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</si>
  <si>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</si>
  <si>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</si>
  <si>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</si>
  <si>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</si>
  <si>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</si>
  <si>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</si>
  <si>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STCLAIR</t>
  </si>
  <si>
    <t>DAWN_O&amp;M</t>
  </si>
  <si>
    <t>TRANS_SUPER</t>
  </si>
  <si>
    <t>TRANS_LABOUR</t>
  </si>
  <si>
    <t>TRANS_O&amp;M</t>
  </si>
  <si>
    <t>Transmission Classification Factors</t>
  </si>
  <si>
    <t>Net Plant (excl. Gen Plant)</t>
  </si>
  <si>
    <t>TRANS_GENPLANT FACTOR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</si>
  <si>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</si>
  <si>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</si>
  <si>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</si>
  <si>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</si>
  <si>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</si>
  <si>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</si>
  <si>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</si>
  <si>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</si>
  <si>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</si>
  <si>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</si>
  <si>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</si>
  <si>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</si>
  <si>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(n)</t>
  </si>
  <si>
    <t>(o)</t>
  </si>
  <si>
    <t>(p) = (sum f to o)</t>
  </si>
  <si>
    <t>Capacity &gt; 4"</t>
  </si>
  <si>
    <t>Capacity &lt;= 4"</t>
  </si>
  <si>
    <t>Capacity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</si>
  <si>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</si>
  <si>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</si>
  <si>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</si>
  <si>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</si>
  <si>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</si>
  <si>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</si>
  <si>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</si>
  <si>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</si>
  <si>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</si>
  <si>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</si>
  <si>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</si>
  <si>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</si>
  <si>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</si>
  <si>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</si>
  <si>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</si>
  <si>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</si>
  <si>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</si>
  <si>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</si>
  <si>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</si>
  <si>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</si>
  <si>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</si>
  <si>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Distribution Classification Factors</t>
  </si>
  <si>
    <t xml:space="preserve">Distribution </t>
  </si>
  <si>
    <t>Pressure &gt; 4"</t>
  </si>
  <si>
    <t>Net Plant (Before Gen Plant)</t>
  </si>
  <si>
    <t>DIST_GENPLANT FACTOR</t>
  </si>
  <si>
    <t>Enbridge Gas Inc.</t>
  </si>
  <si>
    <t>Harmonized Cost Allocation Study</t>
  </si>
  <si>
    <t>Distribution Customer Specific Classification Summary</t>
  </si>
  <si>
    <t>Large Volume</t>
  </si>
  <si>
    <t>Uncollectible</t>
  </si>
  <si>
    <t>Accounts</t>
  </si>
  <si>
    <t>Accounting</t>
  </si>
  <si>
    <t>Care</t>
  </si>
  <si>
    <t>DISTCUST_O&amp;M</t>
  </si>
  <si>
    <t>General Service</t>
  </si>
  <si>
    <t>Contract</t>
  </si>
  <si>
    <t>Customers</t>
  </si>
  <si>
    <t>CONTRACT_CUST</t>
  </si>
  <si>
    <t>TOTAL_CUSTOMERS</t>
  </si>
  <si>
    <t>DISTCUST_SUPER</t>
  </si>
  <si>
    <t>BAD_DEBT</t>
  </si>
  <si>
    <t>DISTCUST_LABOUR</t>
  </si>
  <si>
    <t>Distribution Customer Specific</t>
  </si>
  <si>
    <t>Uncollectable</t>
  </si>
  <si>
    <t>Total Allocation by Rate Zone</t>
  </si>
  <si>
    <t xml:space="preserve">Total Revenue </t>
  </si>
  <si>
    <t xml:space="preserve">Total Direct </t>
  </si>
  <si>
    <t>Direct Assignment</t>
  </si>
  <si>
    <t>Balance to be</t>
  </si>
  <si>
    <t xml:space="preserve">Requirement </t>
  </si>
  <si>
    <t>Net of Other Revenue</t>
  </si>
  <si>
    <t xml:space="preserve">Allocated </t>
  </si>
  <si>
    <t>North</t>
  </si>
  <si>
    <t>Central</t>
  </si>
  <si>
    <t>South</t>
  </si>
  <si>
    <t>Ex-franchise</t>
  </si>
  <si>
    <t>Gas Supply Revenue Requirement</t>
  </si>
  <si>
    <t>Gas Supply Commodity</t>
  </si>
  <si>
    <t>SUPPLY_VOL_SA</t>
  </si>
  <si>
    <t>Load Balancing - Transportation</t>
  </si>
  <si>
    <t>LOAD_BALANCING_SA</t>
  </si>
  <si>
    <t>Load Balancing - Commodity</t>
  </si>
  <si>
    <t>NETFROMSTOR_SA</t>
  </si>
  <si>
    <t>Transportation Demand</t>
  </si>
  <si>
    <t>TRANSPT_DEM_OPT_SA</t>
  </si>
  <si>
    <t>TRANS_DEMAND_SA</t>
  </si>
  <si>
    <t>Transportation Commodity</t>
  </si>
  <si>
    <t>TRANS_FUEL_SA</t>
  </si>
  <si>
    <t>ADMIN SA</t>
  </si>
  <si>
    <t>Total Gas Supply Revenue Requirement</t>
  </si>
  <si>
    <t>Storage Revenue Requirement</t>
  </si>
  <si>
    <t>Storage Demand - Deliverability</t>
  </si>
  <si>
    <t>Storage Demand - Space</t>
  </si>
  <si>
    <t>GASSTORALLO_SA</t>
  </si>
  <si>
    <t>STORAGEXCESS_SA</t>
  </si>
  <si>
    <t>Storage Demand - Operational Contingency</t>
  </si>
  <si>
    <t>OP_CONTINGENCY_SA</t>
  </si>
  <si>
    <t>Storage Commodity</t>
  </si>
  <si>
    <t>STORCOMM_SA</t>
  </si>
  <si>
    <t>Total Storage Revenue Requirement</t>
  </si>
  <si>
    <t>Transmission Revenue Requirement</t>
  </si>
  <si>
    <t>Transmission Demand - Dawn Station</t>
  </si>
  <si>
    <t>DAWNDEMAND_SA</t>
  </si>
  <si>
    <t>Transmission Demand - Kirkwall Station</t>
  </si>
  <si>
    <t>KIRKWALL_SA</t>
  </si>
  <si>
    <t>Transmission Demand - Parkway Station</t>
  </si>
  <si>
    <t>PKWY_SA</t>
  </si>
  <si>
    <t>Transmission Demand - Dawn Parkway</t>
  </si>
  <si>
    <t>D-PTRANS_SA</t>
  </si>
  <si>
    <t>Transmission Demand - Albion</t>
  </si>
  <si>
    <t>ALBIONTRANS_SA</t>
  </si>
  <si>
    <t>Transmission Demand - Panhandle</t>
  </si>
  <si>
    <t>PAN_STCLAIR_SA</t>
  </si>
  <si>
    <t>Transmission Demand - St. Clair</t>
  </si>
  <si>
    <t>Transmission Commodity</t>
  </si>
  <si>
    <t>TRANS_COMPFUEL_SA</t>
  </si>
  <si>
    <t>TRANSCOMM_SA</t>
  </si>
  <si>
    <t>Total Transmission Revenue Requirement</t>
  </si>
  <si>
    <t>Distribution Revenue Requirement</t>
  </si>
  <si>
    <t>Distribution Demand - High Pressure &gt; 4"</t>
  </si>
  <si>
    <t>HIGHPRESS&gt;4_SA</t>
  </si>
  <si>
    <t>Distribution Demand - High Pressure &lt;= 4"</t>
  </si>
  <si>
    <t>HIGHPRESS&lt;=4_SA</t>
  </si>
  <si>
    <t>Distribution Demand - Low Pressure</t>
  </si>
  <si>
    <t>LOWPRESS_SA</t>
  </si>
  <si>
    <t>Distribution Demand - Specific Allocation</t>
  </si>
  <si>
    <t>Distribution Demand Specific - DSM Program</t>
  </si>
  <si>
    <t>DSM_PRO_SA</t>
  </si>
  <si>
    <t>Distribution Demand Specific - DSM Admin</t>
  </si>
  <si>
    <t>DSM_ADM_SA</t>
  </si>
  <si>
    <t>Distribution Customer - Mains</t>
  </si>
  <si>
    <t>DIST_MAINS_SA</t>
  </si>
  <si>
    <t>Distribution Customer - Services</t>
  </si>
  <si>
    <t>DIST_SERVICES_SA</t>
  </si>
  <si>
    <t>Distribution Customer - Meters</t>
  </si>
  <si>
    <t>METERREPLCOST_SA</t>
  </si>
  <si>
    <t>Distribution Customer - Stations</t>
  </si>
  <si>
    <t>STATIONREPLCOST_SA</t>
  </si>
  <si>
    <t xml:space="preserve">Distribution Customer- Specific </t>
  </si>
  <si>
    <t>BAD_DEBT_SA</t>
  </si>
  <si>
    <t>SALESPROMO</t>
  </si>
  <si>
    <t>TOTAL_CUSTOMERS_SA</t>
  </si>
  <si>
    <t>CUST_EXCL_GS_SA</t>
  </si>
  <si>
    <t>Distribution Commodity</t>
  </si>
  <si>
    <t>DISTCOMM_SA</t>
  </si>
  <si>
    <t>Total Distribution Revenue Requirement</t>
  </si>
  <si>
    <t xml:space="preserve">Total Revenue Requirement </t>
  </si>
  <si>
    <t>Allocation of Delivery Requirement - by Rate Zone</t>
  </si>
  <si>
    <t>Allocation of Gas Cost Revenue Requirement - by Rate Zone</t>
  </si>
  <si>
    <t>Allocation Factors - All Rate Zones</t>
  </si>
  <si>
    <t>Rate Zones</t>
  </si>
  <si>
    <t>Allocation Factors</t>
  </si>
  <si>
    <t>Ex-Franchise</t>
  </si>
  <si>
    <t>Total Allocation - North Rate Zone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</si>
  <si>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</si>
  <si>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</si>
  <si>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</si>
  <si>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</si>
  <si>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</si>
  <si>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</si>
  <si>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</si>
  <si>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</si>
  <si>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</si>
  <si>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</si>
  <si>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</si>
  <si>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</si>
  <si>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</si>
  <si>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</si>
  <si>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</si>
  <si>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>(p)</t>
  </si>
  <si>
    <t>(q)</t>
  </si>
  <si>
    <t>(r)</t>
  </si>
  <si>
    <t>(s)</t>
  </si>
  <si>
    <t>SUPPLY_VOL</t>
  </si>
  <si>
    <t>LOAD_BALANCING</t>
  </si>
  <si>
    <t>NETFROMSTOR</t>
  </si>
  <si>
    <t>TRANSPT_DEM_OPT</t>
  </si>
  <si>
    <t>TRANSDEMAND</t>
  </si>
  <si>
    <t>TRANS_FUEL</t>
  </si>
  <si>
    <t>GASSTORALLO</t>
  </si>
  <si>
    <t>STORAGEXCESS</t>
  </si>
  <si>
    <t>OP_CONTINGENCY</t>
  </si>
  <si>
    <t>STORCOMM</t>
  </si>
  <si>
    <t>DAWN_DEMAND</t>
  </si>
  <si>
    <t>KIRKWALL_DEMAND</t>
  </si>
  <si>
    <t>PKWY_DEMAND</t>
  </si>
  <si>
    <t>D-PTRANS</t>
  </si>
  <si>
    <t>ALBIONTRANS</t>
  </si>
  <si>
    <t>PAN_DEMAND</t>
  </si>
  <si>
    <t>SC_DEMAND</t>
  </si>
  <si>
    <t>TRANS_COMPFUEL</t>
  </si>
  <si>
    <t>TRANSCOMM</t>
  </si>
  <si>
    <t>Total Revenue Requirement Excluding Distribution</t>
  </si>
  <si>
    <t>Allocation of Delivery Revenue Requirement - North Rate Zone</t>
  </si>
  <si>
    <t>Allocation of Gas Cost Revenue Requirement - North Rate Zone</t>
  </si>
  <si>
    <t>Allocation Factors - North Rate Zone</t>
  </si>
  <si>
    <t>Total Allocation - Central Rate Zone</t>
  </si>
  <si>
    <t>Allocation of Delivery Revenue Requirement - Central Rate Zone</t>
  </si>
  <si>
    <t>Allocation of Gas Cost Revenue Requirement - Central Rate Zone</t>
  </si>
  <si>
    <t>Allocation Factors - Central Rate Zone</t>
  </si>
  <si>
    <t>Total Allocation - South Rate Zone</t>
  </si>
  <si>
    <t>Allocation of Delivery Revenue Requirement - South Rate Zone</t>
  </si>
  <si>
    <t>Allocation of Gas Cost Revenue Requirement - South Rate Zone</t>
  </si>
  <si>
    <t>Allocation Factors - South Rate Zone</t>
  </si>
  <si>
    <t xml:space="preserve">Total Allocation - Ex Franchise </t>
  </si>
  <si>
    <t>E60</t>
  </si>
  <si>
    <t>E70</t>
  </si>
  <si>
    <t>E72</t>
  </si>
  <si>
    <t>E80</t>
  </si>
  <si>
    <t>E82</t>
  </si>
  <si>
    <t xml:space="preserve">Allocation of Delivery Revenue Requirement - Ex Franchise </t>
  </si>
  <si>
    <t xml:space="preserve">Allocation of Gas Cost Revenue Requirement - Ex Franchise </t>
  </si>
  <si>
    <t>Allocation Factors - Ex-Franchise</t>
  </si>
  <si>
    <t>TRANS_DEMAND</t>
  </si>
  <si>
    <t>Total Allocation - Distribution</t>
  </si>
  <si>
    <t>(t)</t>
  </si>
  <si>
    <t>(u)</t>
  </si>
  <si>
    <t>(v)</t>
  </si>
  <si>
    <t>(w)</t>
  </si>
  <si>
    <t>(x)</t>
  </si>
  <si>
    <t>HIGHPRESS&gt;4</t>
  </si>
  <si>
    <t>HIGHPRESS&lt;=4</t>
  </si>
  <si>
    <t>LOWPRESS</t>
  </si>
  <si>
    <t>DSM_PRO</t>
  </si>
  <si>
    <t>DSM_ADM</t>
  </si>
  <si>
    <t>METERREPLCOST</t>
  </si>
  <si>
    <t>STATIONREPLCOST</t>
  </si>
  <si>
    <t>CUST_EXCL_GS</t>
  </si>
  <si>
    <t>DISTCOMM</t>
  </si>
  <si>
    <t>Allocation of Delivery Revenue Requirement - Distribution</t>
  </si>
  <si>
    <t>Allocation of Gas Cost Revenue Requirement - Distribution</t>
  </si>
  <si>
    <t>Cost Allocation Study - Three Rate Zones - With One Rate Zone Distribution</t>
  </si>
  <si>
    <t>Allocation Factors - Distribution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</si>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</sst>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6" fillId="0" borderId="0"/>
    <xf numFmtId="0" fontId="4" fillId="0" borderId="0"/>
    <xf numFmtId="0" fontId="1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4" xfId="0" applyFont="1" applyBorder="1"/>
    <xf numFmtId="164" fontId="2" fillId="0" borderId="0" xfId="1" applyNumberFormat="1" applyFont="1" applyFill="1" applyBorder="1"/>
    <xf numFmtId="43" fontId="2" fillId="0" borderId="0" xfId="1" applyFont="1" applyFill="1" applyBorder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2" xfId="1" applyNumberFormat="1" applyFont="1" applyFill="1" applyBorder="1"/>
    <xf numFmtId="43" fontId="2" fillId="0" borderId="2" xfId="1" applyFont="1" applyFill="1" applyBorder="1"/>
    <xf numFmtId="165" fontId="4" fillId="0" borderId="0" xfId="3" applyNumberFormat="1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5" xfId="0" applyNumberFormat="1" applyFont="1" applyBorder="1"/>
    <xf numFmtId="0" fontId="2" fillId="0" borderId="0" xfId="0" applyFont="1" applyAlignment="1">
      <alignment horizontal="left" indent="2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5" fillId="0" borderId="0" xfId="0" applyFont="1"/>
    <xf numFmtId="164" fontId="4" fillId="0" borderId="2" xfId="0" applyNumberFormat="1" applyFont="1" applyBorder="1"/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2" fillId="2" borderId="0" xfId="1" applyNumberFormat="1" applyFont="1" applyFill="1"/>
    <xf numFmtId="164" fontId="0" fillId="0" borderId="0" xfId="1" applyNumberFormat="1" applyFont="1" applyFill="1"/>
    <xf numFmtId="10" fontId="2" fillId="0" borderId="0" xfId="2" applyNumberFormat="1" applyFont="1"/>
    <xf numFmtId="164" fontId="4" fillId="0" borderId="0" xfId="0" applyNumberFormat="1" applyFont="1"/>
    <xf numFmtId="0" fontId="9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9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10" fontId="2" fillId="0" borderId="0" xfId="2" applyNumberFormat="1" applyFont="1" applyFill="1" applyBorder="1"/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43" fontId="4" fillId="0" borderId="0" xfId="1" applyFont="1" applyFill="1" applyBorder="1"/>
    <xf numFmtId="43" fontId="4" fillId="0" borderId="0" xfId="3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167" fontId="4" fillId="0" borderId="0" xfId="2" applyNumberFormat="1" applyFont="1" applyFill="1" applyBorder="1"/>
    <xf numFmtId="164" fontId="0" fillId="0" borderId="0" xfId="1" applyNumberFormat="1" applyFont="1" applyFill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1" fillId="2" borderId="0" xfId="0" applyFont="1" applyFill="1"/>
    <xf numFmtId="10" fontId="21" fillId="0" borderId="0" xfId="0" applyNumberFormat="1" applyFont="1"/>
    <xf numFmtId="0" fontId="15" fillId="0" borderId="0" xfId="0" applyFont="1"/>
    <xf numFmtId="0" fontId="23" fillId="0" borderId="0" xfId="0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2" xfId="1" applyNumberFormat="1" applyFont="1" applyFill="1" applyBorder="1"/>
    <xf numFmtId="0" fontId="4" fillId="0" borderId="0" xfId="0" applyFont="1" applyAlignment="1">
      <alignment horizontal="left" indent="2"/>
    </xf>
    <xf numFmtId="164" fontId="4" fillId="0" borderId="5" xfId="0" applyNumberFormat="1" applyFont="1" applyBorder="1"/>
    <xf numFmtId="0" fontId="4" fillId="0" borderId="0" xfId="0" quotePrefix="1" applyFont="1" applyAlignment="1">
      <alignment horizontal="center"/>
    </xf>
    <xf numFmtId="166" fontId="4" fillId="0" borderId="0" xfId="2" applyNumberFormat="1" applyFont="1" applyFill="1"/>
    <xf numFmtId="10" fontId="4" fillId="0" borderId="0" xfId="2" applyNumberFormat="1" applyFont="1" applyFill="1"/>
    <xf numFmtId="164" fontId="4" fillId="0" borderId="1" xfId="0" applyNumberFormat="1" applyFont="1" applyBorder="1"/>
    <xf numFmtId="10" fontId="4" fillId="0" borderId="0" xfId="0" applyNumberFormat="1" applyFont="1"/>
    <xf numFmtId="9" fontId="4" fillId="0" borderId="0" xfId="2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164" fontId="4" fillId="2" borderId="0" xfId="1" applyNumberFormat="1" applyFont="1" applyFill="1"/>
    <xf numFmtId="164" fontId="4" fillId="0" borderId="2" xfId="1" applyNumberFormat="1" applyFont="1" applyBorder="1"/>
    <xf numFmtId="43" fontId="4" fillId="0" borderId="0" xfId="1" applyFont="1"/>
    <xf numFmtId="164" fontId="4" fillId="0" borderId="0" xfId="1" applyNumberFormat="1" applyFont="1"/>
    <xf numFmtId="164" fontId="4" fillId="0" borderId="3" xfId="1" applyNumberFormat="1" applyFont="1" applyBorder="1"/>
    <xf numFmtId="0" fontId="23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10" fontId="4" fillId="0" borderId="0" xfId="2" applyNumberFormat="1" applyFont="1"/>
    <xf numFmtId="0" fontId="10" fillId="0" borderId="0" xfId="0" applyFont="1" applyAlignment="1">
      <alignment horizontal="center"/>
    </xf>
    <xf numFmtId="10" fontId="13" fillId="0" borderId="0" xfId="2" applyNumberFormat="1" applyFont="1" applyFill="1"/>
    <xf numFmtId="167" fontId="13" fillId="0" borderId="0" xfId="2" applyNumberFormat="1" applyFont="1" applyFill="1"/>
    <xf numFmtId="10" fontId="4" fillId="0" borderId="2" xfId="2" applyNumberFormat="1" applyFont="1" applyFill="1" applyBorder="1"/>
    <xf numFmtId="167" fontId="2" fillId="0" borderId="0" xfId="2" applyNumberFormat="1" applyFont="1" applyFill="1"/>
    <xf numFmtId="167" fontId="4" fillId="0" borderId="0" xfId="2" applyNumberFormat="1" applyFont="1" applyFill="1"/>
    <xf numFmtId="43" fontId="4" fillId="0" borderId="0" xfId="0" applyNumberFormat="1" applyFont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0" fontId="4" fillId="0" borderId="1" xfId="2" applyNumberFormat="1" applyFont="1" applyBorder="1"/>
    <xf numFmtId="0" fontId="13" fillId="0" borderId="0" xfId="0" applyFont="1"/>
    <xf numFmtId="0" fontId="20" fillId="0" borderId="0" xfId="1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4" applyNumberFormat="1"/>
    <xf numFmtId="0" fontId="4" fillId="0" borderId="0" xfId="4"/>
    <xf numFmtId="164" fontId="5" fillId="0" borderId="0" xfId="1" applyNumberFormat="1" applyFont="1" applyFill="1"/>
    <xf numFmtId="164" fontId="21" fillId="0" borderId="0" xfId="1" applyNumberFormat="1" applyFont="1" applyFill="1"/>
    <xf numFmtId="164" fontId="21" fillId="0" borderId="0" xfId="0" applyNumberFormat="1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9" fontId="2" fillId="0" borderId="0" xfId="2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13" fillId="0" borderId="0" xfId="1" applyNumberFormat="1" applyFont="1" applyFill="1"/>
    <xf numFmtId="0" fontId="25" fillId="0" borderId="0" xfId="4" applyFont="1"/>
    <xf numFmtId="0" fontId="22" fillId="0" borderId="0" xfId="0" applyFont="1" applyAlignment="1">
      <alignment horizontal="center"/>
    </xf>
    <xf numFmtId="166" fontId="4" fillId="0" borderId="0" xfId="0" applyNumberFormat="1" applyFont="1"/>
    <xf numFmtId="164" fontId="2" fillId="2" borderId="0" xfId="0" applyNumberFormat="1" applyFont="1" applyFill="1"/>
    <xf numFmtId="170" fontId="2" fillId="0" borderId="0" xfId="0" applyNumberFormat="1" applyFont="1"/>
    <xf numFmtId="164" fontId="4" fillId="0" borderId="3" xfId="0" applyNumberFormat="1" applyFont="1" applyBorder="1"/>
    <xf numFmtId="0" fontId="1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" fontId="4" fillId="0" borderId="0" xfId="0" applyNumberFormat="1" applyFont="1" applyAlignment="1">
      <alignment horizontal="right"/>
    </xf>
    <xf numFmtId="10" fontId="4" fillId="0" borderId="0" xfId="2" applyNumberFormat="1" applyFont="1" applyFill="1" applyAlignment="1">
      <alignment horizontal="right"/>
    </xf>
    <xf numFmtId="0" fontId="15" fillId="0" borderId="0" xfId="0" applyFont="1" applyAlignment="1">
      <alignment horizontal="left"/>
    </xf>
    <xf numFmtId="43" fontId="2" fillId="0" borderId="0" xfId="0" applyNumberFormat="1" applyFont="1" applyAlignment="1">
      <alignment horizontal="right"/>
    </xf>
    <xf numFmtId="43" fontId="2" fillId="0" borderId="0" xfId="1" applyFont="1" applyFill="1" applyAlignment="1">
      <alignment horizontal="right"/>
    </xf>
    <xf numFmtId="10" fontId="4" fillId="0" borderId="4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tabSelected="1" topLeftCell="A4" zoomScale="80" zoomScaleNormal="80" workbookViewId="0">
      <pane xSplit="4" ySplit="10" topLeftCell="E137" activePane="bottomRight" state="frozen"/>
      <selection pane="topRight" activeCell="H100" sqref="H100"/>
      <selection pane="bottomLeft" activeCell="H100" sqref="H100"/>
      <selection pane="bottomRight" activeCell="V159" sqref="V159"/>
    </sheetView>
  </sheetViews>
  <sheetFormatPr defaultColWidth="9.1796875" defaultRowHeight="12.5" x14ac:dyDescent="0.25"/>
  <cols>
    <col min="1" max="1" width="1.7265625" style="1" customWidth="1"/>
    <col min="2" max="2" width="5.54296875" style="18" bestFit="1" customWidth="1"/>
    <col min="3" max="3" width="1.7265625" style="1" customWidth="1"/>
    <col min="4" max="4" width="46" style="1" bestFit="1" customWidth="1"/>
    <col min="5" max="5" width="1.7265625" style="31" customWidth="1"/>
    <col min="6" max="6" width="19.7265625" style="31" customWidth="1"/>
    <col min="7" max="7" width="1.7265625" style="31" customWidth="1"/>
    <col min="8" max="8" width="13.1796875" style="31" customWidth="1"/>
    <col min="9" max="9" width="1.7265625" style="31" customWidth="1"/>
    <col min="10" max="10" width="19.26953125" style="2" customWidth="1"/>
    <col min="11" max="11" width="1.7265625" style="71" customWidth="1"/>
    <col min="12" max="12" width="13.26953125" style="31" customWidth="1"/>
    <col min="13" max="13" width="1.7265625" style="31" customWidth="1"/>
    <col min="14" max="14" width="19.81640625" style="31" customWidth="1"/>
    <col min="15" max="15" width="1.7265625" style="71" customWidth="1"/>
    <col min="16" max="16" width="15.453125" style="31" customWidth="1"/>
    <col min="17" max="17" width="1.7265625" style="31" customWidth="1"/>
    <col min="18" max="18" width="15.453125" style="31" customWidth="1"/>
    <col min="19" max="19" width="1.7265625" style="31" customWidth="1"/>
    <col min="20" max="20" width="15.453125" style="31" customWidth="1"/>
    <col min="21" max="21" width="1.7265625" style="31" customWidth="1"/>
    <col min="22" max="22" width="15.453125" style="31" customWidth="1"/>
    <col min="23" max="23" width="1.7265625" style="31" customWidth="1"/>
    <col min="24" max="24" width="15.453125" style="31" hidden="1" customWidth="1"/>
    <col min="25" max="25" width="9.1796875" style="1" customWidth="1"/>
    <col min="26" max="26" width="9.1796875" style="1" hidden="1" customWidth="1"/>
    <col min="27" max="28" width="9.1796875" style="1"/>
    <col min="29" max="29" width="9.81640625" style="31" customWidth="1"/>
    <col min="30" max="30" width="9.1796875" style="1"/>
    <col min="31" max="31" width="1.7265625" style="1" customWidth="1"/>
    <col min="32" max="32" width="11.453125" style="1" customWidth="1"/>
    <col min="33" max="33" width="2.1796875" style="1" customWidth="1"/>
    <col min="34" max="34" width="11.453125" style="1" customWidth="1"/>
    <col min="35" max="35" width="2" style="1" customWidth="1"/>
    <col min="36" max="36" width="11.453125" style="1" customWidth="1"/>
    <col min="37" max="37" width="1.81640625" style="1" customWidth="1"/>
    <col min="38" max="38" width="11.453125" style="1" customWidth="1"/>
    <col min="39" max="39" width="1.81640625" style="1" customWidth="1"/>
    <col min="40" max="40" width="11.453125" style="1" customWidth="1"/>
    <col min="41" max="42" width="10.54296875" style="1" bestFit="1" customWidth="1"/>
    <col min="43" max="46" width="11.54296875" style="1" bestFit="1" customWidth="1"/>
    <col min="47" max="16384" width="9.1796875" style="1"/>
  </cols>
  <sheetData>
    <row r="5" spans="2:29" ht="15" customHeight="1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</row>
    <row r="6" spans="2:29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</row>
    <row r="7" spans="2:29" ht="15" customHeight="1" x14ac:dyDescent="0.25">
      <c r="B7" s="155" t="s">
        <v>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10" spans="2:29" x14ac:dyDescent="0.25">
      <c r="H10" s="2" t="s">
        <v>2</v>
      </c>
      <c r="J10" s="2" t="s">
        <v>3</v>
      </c>
      <c r="L10" s="2" t="s">
        <v>4</v>
      </c>
      <c r="N10" s="2" t="s">
        <v>5</v>
      </c>
      <c r="R10" s="2"/>
      <c r="S10" s="2"/>
      <c r="T10" s="2"/>
      <c r="U10" s="2"/>
    </row>
    <row r="11" spans="2:29" x14ac:dyDescent="0.25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10</v>
      </c>
      <c r="P11" s="2"/>
      <c r="Q11" s="2"/>
      <c r="R11" s="2"/>
      <c r="S11" s="2"/>
      <c r="T11" s="2"/>
      <c r="U11" s="2"/>
    </row>
    <row r="12" spans="2:29" ht="13" x14ac:dyDescent="0.3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K12" s="70" t="s">
        <v>15</v>
      </c>
      <c r="L12" s="33" t="s">
        <v>16</v>
      </c>
      <c r="N12" s="33" t="s">
        <v>14</v>
      </c>
      <c r="O12" s="70" t="s">
        <v>15</v>
      </c>
      <c r="P12" s="33" t="s">
        <v>17</v>
      </c>
      <c r="Q12" s="2"/>
      <c r="R12" s="33" t="s">
        <v>18</v>
      </c>
      <c r="S12" s="2"/>
      <c r="T12" s="33" t="s">
        <v>19</v>
      </c>
      <c r="U12" s="2"/>
      <c r="V12" s="33" t="s">
        <v>20</v>
      </c>
      <c r="X12" s="33" t="s">
        <v>2</v>
      </c>
      <c r="Z12" s="100" t="s">
        <v>21</v>
      </c>
      <c r="AB12" s="19"/>
    </row>
    <row r="13" spans="2:29" x14ac:dyDescent="0.25">
      <c r="F13" s="2" t="s">
        <v>22</v>
      </c>
      <c r="H13" s="2" t="s">
        <v>23</v>
      </c>
      <c r="J13" s="2" t="s">
        <v>24</v>
      </c>
      <c r="K13" s="70"/>
      <c r="L13" s="2" t="s">
        <v>25</v>
      </c>
      <c r="N13" s="2" t="s">
        <v>26</v>
      </c>
      <c r="O13" s="70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  <c r="X13" s="2" t="s">
        <v>31</v>
      </c>
    </row>
    <row r="14" spans="2:29" s="71" customFormat="1" ht="13" x14ac:dyDescent="0.3">
      <c r="B14" s="70"/>
      <c r="E14" s="31"/>
      <c r="F14" s="31"/>
      <c r="G14" s="31"/>
      <c r="H14" s="31"/>
      <c r="I14" s="31"/>
      <c r="J14" s="2"/>
      <c r="L14" s="31"/>
      <c r="M14" s="31"/>
      <c r="N14" s="31"/>
      <c r="P14" s="71">
        <v>4</v>
      </c>
      <c r="R14" s="71">
        <v>6</v>
      </c>
      <c r="T14" s="71">
        <v>8</v>
      </c>
      <c r="V14" s="71">
        <v>10</v>
      </c>
      <c r="Z14" s="136" t="str">
        <f t="shared" ref="Z14:Z61" si="0">IF(ROUND(F14,4)=ROUND(X14,4), "", "check")</f>
        <v/>
      </c>
      <c r="AC14" s="31"/>
    </row>
    <row r="15" spans="2:29" ht="13" x14ac:dyDescent="0.3">
      <c r="D15" s="6"/>
      <c r="E15" s="74"/>
      <c r="F15" s="74"/>
      <c r="Z15" s="49" t="str">
        <f t="shared" si="0"/>
        <v/>
      </c>
    </row>
    <row r="16" spans="2:29" ht="13" x14ac:dyDescent="0.3">
      <c r="D16" s="6" t="s">
        <v>32</v>
      </c>
      <c r="E16" s="75"/>
      <c r="F16" s="75"/>
      <c r="Z16" s="49" t="str">
        <f t="shared" si="0"/>
        <v/>
      </c>
    </row>
    <row r="17" spans="2:37" ht="13" x14ac:dyDescent="0.3">
      <c r="Z17" s="49" t="str">
        <f t="shared" si="0"/>
        <v/>
      </c>
    </row>
    <row r="18" spans="2:37" ht="13" x14ac:dyDescent="0.3">
      <c r="B18" s="18">
        <v>1</v>
      </c>
      <c r="D18" s="1" t="s">
        <v>33</v>
      </c>
      <c r="F18" s="48">
        <v>203561.2984920314</v>
      </c>
      <c r="H18" s="48"/>
      <c r="K18" s="70">
        <f>_xlfn.IFNA(MATCH(J18,'Function Factors'!$B$9:$B$455,0),0)</f>
        <v>0</v>
      </c>
      <c r="L18" s="48">
        <f>F18-H18</f>
        <v>203561.2984920314</v>
      </c>
      <c r="N18" s="2" t="s">
        <v>34</v>
      </c>
      <c r="O18" s="70">
        <f>_xlfn.IFNA(MATCH(N18,'Function Factors'!$B$9:$B$455,0),0)</f>
        <v>54</v>
      </c>
      <c r="P18" s="76">
        <f ca="1">OFFSET('Function Factors'!$B$9,$O18-1,P$14)*$L18+OFFSET('Function Factors'!$B$9,$K18-1,P$14)*$H18</f>
        <v>0</v>
      </c>
      <c r="R18" s="76">
        <f ca="1">OFFSET('Function Factors'!$B$9,$O18-1,R$14)*$L18+OFFSET('Function Factors'!$B$9,$K18-1,R$14)*$H18</f>
        <v>13017.78562077151</v>
      </c>
      <c r="S18" s="76"/>
      <c r="T18" s="76">
        <f ca="1">OFFSET('Function Factors'!$B$9,$O18-1,T$14)*$L18+OFFSET('Function Factors'!$B$9,$K18-1,T$14)*$H18</f>
        <v>79166.942309318154</v>
      </c>
      <c r="U18" s="76"/>
      <c r="V18" s="76">
        <f ca="1">OFFSET('Function Factors'!$B$9,$O18-1,V$14)*$L18+OFFSET('Function Factors'!$B$9,$K18-1,V$14)*$H18</f>
        <v>111376.57056194174</v>
      </c>
      <c r="X18" s="76">
        <f ca="1">P18+R18+T18+V18</f>
        <v>203561.2984920314</v>
      </c>
      <c r="Z18" s="49" t="str">
        <f ca="1">IF(ROUND(F18,4)=ROUND(X18,4), "", "check")</f>
        <v/>
      </c>
    </row>
    <row r="19" spans="2:37" ht="13" x14ac:dyDescent="0.3">
      <c r="B19" s="18">
        <f>B18+1</f>
        <v>2</v>
      </c>
      <c r="D19" s="1" t="s">
        <v>35</v>
      </c>
      <c r="F19" s="48">
        <v>232661.74701999093</v>
      </c>
      <c r="H19" s="48"/>
      <c r="K19" s="70">
        <f>_xlfn.IFNA(MATCH(J19,'Function Factors'!$B$9:$B$455,0),0)</f>
        <v>0</v>
      </c>
      <c r="L19" s="48">
        <f>F19-H19</f>
        <v>232661.74701999093</v>
      </c>
      <c r="N19" s="2" t="s">
        <v>36</v>
      </c>
      <c r="O19" s="70">
        <f>_xlfn.IFNA(MATCH(N19,'Function Factors'!$B$9:$B$455,0),0)</f>
        <v>57</v>
      </c>
      <c r="P19" s="76">
        <f ca="1">OFFSET('Function Factors'!$B$9,$O19-1,P$14)*$L19+OFFSET('Function Factors'!$B$9,$K19-1,P$14)*$H19</f>
        <v>0</v>
      </c>
      <c r="R19" s="76">
        <f ca="1">OFFSET('Function Factors'!$B$9,$O19-1,R$14)*$L19+OFFSET('Function Factors'!$B$9,$K19-1,R$14)*$H19</f>
        <v>74787.01496</v>
      </c>
      <c r="S19" s="76"/>
      <c r="T19" s="76">
        <f ca="1">OFFSET('Function Factors'!$B$9,$O19-1,T$14)*$L19+OFFSET('Function Factors'!$B$9,$K19-1,T$14)*$H19</f>
        <v>66946.67524576078</v>
      </c>
      <c r="U19" s="76"/>
      <c r="V19" s="76">
        <f ca="1">OFFSET('Function Factors'!$B$9,$O19-1,V$14)*$L19+OFFSET('Function Factors'!$B$9,$K19-1,V$14)*$H19</f>
        <v>90928.056814230149</v>
      </c>
      <c r="X19" s="76">
        <f ca="1">P19+R19+T19+V19</f>
        <v>232661.74701999093</v>
      </c>
      <c r="Z19" s="49" t="str">
        <f t="shared" ref="Z19:Z39" ca="1" si="1">IF(ROUND(F19,4)=ROUND(X19,4), "", "check")</f>
        <v/>
      </c>
    </row>
    <row r="20" spans="2:37" ht="13" x14ac:dyDescent="0.3">
      <c r="B20" s="18">
        <f t="shared" ref="B20:B31" si="2">B19+1</f>
        <v>3</v>
      </c>
      <c r="D20" s="1" t="s">
        <v>37</v>
      </c>
      <c r="F20" s="48">
        <v>626100.87781287322</v>
      </c>
      <c r="H20" s="48"/>
      <c r="K20" s="70">
        <f>_xlfn.IFNA(MATCH(J20,'Function Factors'!$B$9:$B$455,0),0)</f>
        <v>0</v>
      </c>
      <c r="L20" s="48">
        <f t="shared" ref="L20:L30" si="3">F20-H20</f>
        <v>626100.87781287322</v>
      </c>
      <c r="N20" s="2" t="s">
        <v>38</v>
      </c>
      <c r="O20" s="70">
        <f>_xlfn.IFNA(MATCH(N20,'Function Factors'!$B$9:$B$455,0),0)</f>
        <v>99</v>
      </c>
      <c r="P20" s="76">
        <f ca="1">OFFSET('Function Factors'!$B$9,$O20-1,P$14)*$L20+OFFSET('Function Factors'!$B$9,$K20-1,P$14)*$H20</f>
        <v>0</v>
      </c>
      <c r="R20" s="76">
        <f ca="1">OFFSET('Function Factors'!$B$9,$O20-1,R$14)*$L20+OFFSET('Function Factors'!$B$9,$K20-1,R$14)*$H20</f>
        <v>79798.549934962299</v>
      </c>
      <c r="S20" s="76"/>
      <c r="T20" s="76">
        <f ca="1">OFFSET('Function Factors'!$B$9,$O20-1,T$14)*$L20+OFFSET('Function Factors'!$B$9,$K20-1,T$14)*$H20</f>
        <v>211517.76996137522</v>
      </c>
      <c r="U20" s="76"/>
      <c r="V20" s="76">
        <f ca="1">OFFSET('Function Factors'!$B$9,$O20-1,V$14)*$L20+OFFSET('Function Factors'!$B$9,$K20-1,V$14)*$H20</f>
        <v>334784.5579165357</v>
      </c>
      <c r="X20" s="76">
        <f t="shared" ref="X20:X30" ca="1" si="4">P20+R20+T20+V20</f>
        <v>626100.87781287322</v>
      </c>
      <c r="Z20" s="49" t="str">
        <f t="shared" ca="1" si="1"/>
        <v/>
      </c>
    </row>
    <row r="21" spans="2:37" ht="13" x14ac:dyDescent="0.3">
      <c r="B21" s="18">
        <f t="shared" si="2"/>
        <v>4</v>
      </c>
      <c r="D21" s="1" t="s">
        <v>39</v>
      </c>
      <c r="F21" s="48">
        <v>1330757.548565086</v>
      </c>
      <c r="H21" s="48"/>
      <c r="K21" s="70">
        <f>_xlfn.IFNA(MATCH(J21,'Function Factors'!$B$9:$B$455,0),0)</f>
        <v>0</v>
      </c>
      <c r="L21" s="48">
        <f t="shared" si="3"/>
        <v>1330757.548565086</v>
      </c>
      <c r="N21" s="2" t="s">
        <v>40</v>
      </c>
      <c r="O21" s="70">
        <f>_xlfn.IFNA(MATCH(N21,'Function Factors'!$B$9:$B$455,0),0)</f>
        <v>72</v>
      </c>
      <c r="P21" s="76">
        <f ca="1">OFFSET('Function Factors'!$B$9,$O21-1,P$14)*$L21+OFFSET('Function Factors'!$B$9,$K21-1,P$14)*$H21</f>
        <v>0</v>
      </c>
      <c r="R21" s="76">
        <f ca="1">OFFSET('Function Factors'!$B$9,$O21-1,R$14)*$L21+OFFSET('Function Factors'!$B$9,$K21-1,R$14)*$H21</f>
        <v>40301.815387977447</v>
      </c>
      <c r="S21" s="76"/>
      <c r="T21" s="76">
        <f ca="1">OFFSET('Function Factors'!$B$9,$O21-1,T$14)*$L21+OFFSET('Function Factors'!$B$9,$K21-1,T$14)*$H21</f>
        <v>251233.18487320884</v>
      </c>
      <c r="U21" s="76"/>
      <c r="V21" s="76">
        <f ca="1">OFFSET('Function Factors'!$B$9,$O21-1,V$14)*$L21+OFFSET('Function Factors'!$B$9,$K21-1,V$14)*$H21</f>
        <v>1039222.5483038996</v>
      </c>
      <c r="X21" s="76">
        <f t="shared" ca="1" si="4"/>
        <v>1330757.548565086</v>
      </c>
      <c r="Z21" s="49" t="str">
        <f t="shared" ca="1" si="1"/>
        <v/>
      </c>
    </row>
    <row r="22" spans="2:37" ht="13" x14ac:dyDescent="0.3">
      <c r="B22" s="18">
        <f t="shared" si="2"/>
        <v>5</v>
      </c>
      <c r="D22" s="1" t="s">
        <v>41</v>
      </c>
      <c r="F22" s="48">
        <v>10785857.555032887</v>
      </c>
      <c r="H22" s="48"/>
      <c r="K22" s="70">
        <f>_xlfn.IFNA(MATCH(J22,'Function Factors'!$B$9:$B$455,0),0)</f>
        <v>0</v>
      </c>
      <c r="L22" s="48">
        <f t="shared" si="3"/>
        <v>10785857.555032887</v>
      </c>
      <c r="N22" s="2" t="s">
        <v>42</v>
      </c>
      <c r="O22" s="70">
        <f>_xlfn.IFNA(MATCH(N22,'Function Factors'!$B$9:$B$455,0),0)</f>
        <v>66</v>
      </c>
      <c r="P22" s="76">
        <f ca="1">OFFSET('Function Factors'!$B$9,$O22-1,P$14)*$L22+OFFSET('Function Factors'!$B$9,$K22-1,P$14)*$H22</f>
        <v>0</v>
      </c>
      <c r="R22" s="76">
        <f ca="1">OFFSET('Function Factors'!$B$9,$O22-1,R$14)*$L22+OFFSET('Function Factors'!$B$9,$K22-1,R$14)*$H22</f>
        <v>0</v>
      </c>
      <c r="S22" s="76"/>
      <c r="T22" s="76">
        <f ca="1">OFFSET('Function Factors'!$B$9,$O22-1,T$14)*$L22+OFFSET('Function Factors'!$B$9,$K22-1,T$14)*$H22</f>
        <v>1996976.7673333895</v>
      </c>
      <c r="U22" s="76"/>
      <c r="V22" s="76">
        <f ca="1">OFFSET('Function Factors'!$B$9,$O22-1,V$14)*$L22+OFFSET('Function Factors'!$B$9,$K22-1,V$14)*$H22</f>
        <v>8788880.7876994964</v>
      </c>
      <c r="X22" s="76">
        <f t="shared" ca="1" si="4"/>
        <v>10785857.555032887</v>
      </c>
      <c r="Z22" s="49" t="str">
        <f t="shared" ca="1" si="1"/>
        <v/>
      </c>
    </row>
    <row r="23" spans="2:37" ht="13" x14ac:dyDescent="0.3">
      <c r="B23" s="18">
        <f t="shared" si="2"/>
        <v>6</v>
      </c>
      <c r="D23" s="1" t="s">
        <v>43</v>
      </c>
      <c r="F23" s="48">
        <v>1791346.1557923511</v>
      </c>
      <c r="H23" s="48"/>
      <c r="K23" s="70">
        <f>_xlfn.IFNA(MATCH(J23,'Function Factors'!$B$9:$B$455,0),0)</f>
        <v>0</v>
      </c>
      <c r="L23" s="48">
        <f t="shared" si="3"/>
        <v>1791346.1557923511</v>
      </c>
      <c r="N23" s="2" t="s">
        <v>44</v>
      </c>
      <c r="O23" s="70">
        <f>_xlfn.IFNA(MATCH(N23,'Function Factors'!$B$9:$B$455,0),0)</f>
        <v>24</v>
      </c>
      <c r="P23" s="76">
        <f ca="1">OFFSET('Function Factors'!$B$9,$O23-1,P$14)*$L23+OFFSET('Function Factors'!$B$9,$K23-1,P$14)*$H23</f>
        <v>0</v>
      </c>
      <c r="R23" s="76">
        <f ca="1">OFFSET('Function Factors'!$B$9,$O23-1,R$14)*$L23+OFFSET('Function Factors'!$B$9,$K23-1,R$14)*$H23</f>
        <v>376124.00347801473</v>
      </c>
      <c r="S23" s="76"/>
      <c r="T23" s="76">
        <f ca="1">OFFSET('Function Factors'!$B$9,$O23-1,T$14)*$L23+OFFSET('Function Factors'!$B$9,$K23-1,T$14)*$H23</f>
        <v>1377669.911911838</v>
      </c>
      <c r="U23" s="76"/>
      <c r="V23" s="76">
        <f ca="1">OFFSET('Function Factors'!$B$9,$O23-1,V$14)*$L23+OFFSET('Function Factors'!$B$9,$K23-1,V$14)*$H23</f>
        <v>37552.240402498595</v>
      </c>
      <c r="X23" s="76">
        <f t="shared" ca="1" si="4"/>
        <v>1791346.1557923511</v>
      </c>
      <c r="Z23" s="49" t="str">
        <f t="shared" ca="1" si="1"/>
        <v/>
      </c>
      <c r="AK23" s="59"/>
    </row>
    <row r="24" spans="2:37" ht="13" x14ac:dyDescent="0.3">
      <c r="B24" s="18">
        <f t="shared" si="2"/>
        <v>7</v>
      </c>
      <c r="D24" s="1" t="s">
        <v>45</v>
      </c>
      <c r="F24" s="48">
        <v>30022.717863727081</v>
      </c>
      <c r="H24" s="48"/>
      <c r="K24" s="70">
        <f>_xlfn.IFNA(MATCH(J24,'Function Factors'!$B$9:$B$455,0),0)</f>
        <v>0</v>
      </c>
      <c r="L24" s="48">
        <f t="shared" si="3"/>
        <v>30022.717863727081</v>
      </c>
      <c r="N24" s="2" t="s">
        <v>46</v>
      </c>
      <c r="O24" s="70">
        <f>_xlfn.IFNA(MATCH(N24,'Function Factors'!$B$9:$B$455,0),0)</f>
        <v>96</v>
      </c>
      <c r="P24" s="76">
        <f ca="1">OFFSET('Function Factors'!$B$9,$O24-1,P$14)*$L24+OFFSET('Function Factors'!$B$9,$K24-1,P$14)*$H24</f>
        <v>0</v>
      </c>
      <c r="R24" s="76">
        <f ca="1">OFFSET('Function Factors'!$B$9,$O24-1,R$14)*$L24+OFFSET('Function Factors'!$B$9,$K24-1,R$14)*$H24</f>
        <v>30022.717863727081</v>
      </c>
      <c r="S24" s="76"/>
      <c r="T24" s="76">
        <f ca="1">OFFSET('Function Factors'!$B$9,$O24-1,T$14)*$L24+OFFSET('Function Factors'!$B$9,$K24-1,T$14)*$H24</f>
        <v>0</v>
      </c>
      <c r="U24" s="76"/>
      <c r="V24" s="76">
        <f ca="1">OFFSET('Function Factors'!$B$9,$O24-1,V$14)*$L24+OFFSET('Function Factors'!$B$9,$K24-1,V$14)*$H24</f>
        <v>0</v>
      </c>
      <c r="X24" s="76">
        <f t="shared" ca="1" si="4"/>
        <v>30022.717863727081</v>
      </c>
      <c r="Z24" s="49" t="str">
        <f t="shared" ca="1" si="1"/>
        <v/>
      </c>
      <c r="AK24" s="59"/>
    </row>
    <row r="25" spans="2:37" ht="13" x14ac:dyDescent="0.3">
      <c r="B25" s="18">
        <f t="shared" si="2"/>
        <v>8</v>
      </c>
      <c r="D25" s="1" t="s">
        <v>47</v>
      </c>
      <c r="F25" s="48">
        <v>385344.82101507834</v>
      </c>
      <c r="H25" s="48"/>
      <c r="K25" s="70">
        <f>_xlfn.IFNA(MATCH(J25,'Function Factors'!$B$9:$B$455,0),0)</f>
        <v>0</v>
      </c>
      <c r="L25" s="48">
        <f t="shared" si="3"/>
        <v>385344.82101507834</v>
      </c>
      <c r="N25" s="2" t="s">
        <v>46</v>
      </c>
      <c r="O25" s="70">
        <f>_xlfn.IFNA(MATCH(N25,'Function Factors'!$B$9:$B$455,0),0)</f>
        <v>96</v>
      </c>
      <c r="P25" s="76">
        <f ca="1">OFFSET('Function Factors'!$B$9,$O25-1,P$14)*$L25+OFFSET('Function Factors'!$B$9,$K25-1,P$14)*$H25</f>
        <v>0</v>
      </c>
      <c r="R25" s="76">
        <f ca="1">OFFSET('Function Factors'!$B$9,$O25-1,R$14)*$L25+OFFSET('Function Factors'!$B$9,$K25-1,R$14)*$H25</f>
        <v>385344.82101507834</v>
      </c>
      <c r="S25" s="76"/>
      <c r="T25" s="76">
        <f ca="1">OFFSET('Function Factors'!$B$9,$O25-1,T$14)*$L25+OFFSET('Function Factors'!$B$9,$K25-1,T$14)*$H25</f>
        <v>0</v>
      </c>
      <c r="U25" s="76"/>
      <c r="V25" s="76">
        <f ca="1">OFFSET('Function Factors'!$B$9,$O25-1,V$14)*$L25+OFFSET('Function Factors'!$B$9,$K25-1,V$14)*$H25</f>
        <v>0</v>
      </c>
      <c r="X25" s="76">
        <f t="shared" ca="1" si="4"/>
        <v>385344.82101507834</v>
      </c>
      <c r="Z25" s="49" t="str">
        <f t="shared" ca="1" si="1"/>
        <v/>
      </c>
    </row>
    <row r="26" spans="2:37" ht="13" x14ac:dyDescent="0.3">
      <c r="B26" s="18">
        <f t="shared" si="2"/>
        <v>9</v>
      </c>
      <c r="D26" s="1" t="s">
        <v>48</v>
      </c>
      <c r="F26" s="48">
        <v>68466.485990000001</v>
      </c>
      <c r="H26" s="48"/>
      <c r="K26" s="70">
        <f>_xlfn.IFNA(MATCH(J26,'Function Factors'!$B$9:$B$455,0),0)</f>
        <v>0</v>
      </c>
      <c r="L26" s="48">
        <f t="shared" si="3"/>
        <v>68466.485990000001</v>
      </c>
      <c r="N26" s="2" t="s">
        <v>46</v>
      </c>
      <c r="O26" s="70">
        <f>_xlfn.IFNA(MATCH(N26,'Function Factors'!$B$9:$B$455,0),0)</f>
        <v>96</v>
      </c>
      <c r="P26" s="76">
        <f ca="1">OFFSET('Function Factors'!$B$9,$O26-1,P$14)*$L26+OFFSET('Function Factors'!$B$9,$K26-1,P$14)*$H26</f>
        <v>0</v>
      </c>
      <c r="R26" s="76">
        <f ca="1">OFFSET('Function Factors'!$B$9,$O26-1,R$14)*$L26+OFFSET('Function Factors'!$B$9,$K26-1,R$14)*$H26</f>
        <v>68466.485990000001</v>
      </c>
      <c r="S26" s="76"/>
      <c r="T26" s="76">
        <f ca="1">OFFSET('Function Factors'!$B$9,$O26-1,T$14)*$L26+OFFSET('Function Factors'!$B$9,$K26-1,T$14)*$H26</f>
        <v>0</v>
      </c>
      <c r="U26" s="76"/>
      <c r="V26" s="76">
        <f ca="1">OFFSET('Function Factors'!$B$9,$O26-1,V$14)*$L26+OFFSET('Function Factors'!$B$9,$K26-1,V$14)*$H26</f>
        <v>0</v>
      </c>
      <c r="X26" s="76">
        <f t="shared" ca="1" si="4"/>
        <v>68466.485990000001</v>
      </c>
      <c r="Z26" s="49" t="str">
        <f t="shared" ca="1" si="1"/>
        <v/>
      </c>
    </row>
    <row r="27" spans="2:37" ht="13" x14ac:dyDescent="0.3">
      <c r="B27" s="18">
        <f t="shared" si="2"/>
        <v>10</v>
      </c>
      <c r="D27" s="1" t="s">
        <v>49</v>
      </c>
      <c r="F27" s="48">
        <v>5648597.565263316</v>
      </c>
      <c r="H27" s="48"/>
      <c r="K27" s="70">
        <f>_xlfn.IFNA(MATCH(J27,'Function Factors'!$B$9:$B$455,0),0)</f>
        <v>0</v>
      </c>
      <c r="L27" s="48">
        <f t="shared" si="3"/>
        <v>5648597.565263316</v>
      </c>
      <c r="N27" s="2" t="s">
        <v>50</v>
      </c>
      <c r="O27" s="70">
        <f>_xlfn.IFNA(MATCH(N27,'Function Factors'!$B$9:$B$455,0),0)</f>
        <v>36</v>
      </c>
      <c r="P27" s="76">
        <f ca="1">OFFSET('Function Factors'!$B$9,$O27-1,P$14)*$L27+OFFSET('Function Factors'!$B$9,$K27-1,P$14)*$H27</f>
        <v>0</v>
      </c>
      <c r="R27" s="76">
        <f ca="1">OFFSET('Function Factors'!$B$9,$O27-1,R$14)*$L27+OFFSET('Function Factors'!$B$9,$K27-1,R$14)*$H27</f>
        <v>0</v>
      </c>
      <c r="S27" s="76"/>
      <c r="T27" s="76">
        <f ca="1">OFFSET('Function Factors'!$B$9,$O27-1,T$14)*$L27+OFFSET('Function Factors'!$B$9,$K27-1,T$14)*$H27</f>
        <v>0</v>
      </c>
      <c r="U27" s="76"/>
      <c r="V27" s="76">
        <f ca="1">OFFSET('Function Factors'!$B$9,$O27-1,V$14)*$L27+OFFSET('Function Factors'!$B$9,$K27-1,V$14)*$H27</f>
        <v>5648597.565263316</v>
      </c>
      <c r="X27" s="76">
        <f t="shared" ca="1" si="4"/>
        <v>5648597.565263316</v>
      </c>
      <c r="Z27" s="49" t="str">
        <f t="shared" ca="1" si="1"/>
        <v/>
      </c>
    </row>
    <row r="28" spans="2:37" ht="13" x14ac:dyDescent="0.3">
      <c r="B28" s="18">
        <f t="shared" si="2"/>
        <v>11</v>
      </c>
      <c r="D28" s="1" t="s">
        <v>51</v>
      </c>
      <c r="F28" s="48">
        <v>1686509.739595745</v>
      </c>
      <c r="H28" s="48"/>
      <c r="K28" s="70">
        <f>_xlfn.IFNA(MATCH(J28,'Function Factors'!$B$9:$B$455,0),0)</f>
        <v>0</v>
      </c>
      <c r="L28" s="48">
        <f t="shared" si="3"/>
        <v>1686509.739595745</v>
      </c>
      <c r="N28" s="2" t="s">
        <v>50</v>
      </c>
      <c r="O28" s="70">
        <f>_xlfn.IFNA(MATCH(N28,'Function Factors'!$B$9:$B$455,0),0)</f>
        <v>36</v>
      </c>
      <c r="P28" s="76">
        <f ca="1">OFFSET('Function Factors'!$B$9,$O28-1,P$14)*$L28+OFFSET('Function Factors'!$B$9,$K28-1,P$14)*$H28</f>
        <v>0</v>
      </c>
      <c r="R28" s="76">
        <f ca="1">OFFSET('Function Factors'!$B$9,$O28-1,R$14)*$L28+OFFSET('Function Factors'!$B$9,$K28-1,R$14)*$H28</f>
        <v>0</v>
      </c>
      <c r="S28" s="76"/>
      <c r="T28" s="76">
        <f ca="1">OFFSET('Function Factors'!$B$9,$O28-1,T$14)*$L28+OFFSET('Function Factors'!$B$9,$K28-1,T$14)*$H28</f>
        <v>0</v>
      </c>
      <c r="U28" s="76"/>
      <c r="V28" s="76">
        <f ca="1">OFFSET('Function Factors'!$B$9,$O28-1,V$14)*$L28+OFFSET('Function Factors'!$B$9,$K28-1,V$14)*$H28</f>
        <v>1686509.739595745</v>
      </c>
      <c r="X28" s="76">
        <f t="shared" ca="1" si="4"/>
        <v>1686509.739595745</v>
      </c>
      <c r="Z28" s="49" t="str">
        <f t="shared" ca="1" si="1"/>
        <v/>
      </c>
    </row>
    <row r="29" spans="2:37" ht="13" x14ac:dyDescent="0.3">
      <c r="B29" s="18">
        <f>B28+1</f>
        <v>12</v>
      </c>
      <c r="D29" s="1" t="s">
        <v>52</v>
      </c>
      <c r="F29" s="48">
        <v>421046.57844368438</v>
      </c>
      <c r="H29" s="48"/>
      <c r="K29" s="70">
        <f>_xlfn.IFNA(MATCH(J29,'Function Factors'!$B$9:$B$455,0),0)</f>
        <v>0</v>
      </c>
      <c r="L29" s="48">
        <f t="shared" si="3"/>
        <v>421046.57844368438</v>
      </c>
      <c r="N29" s="2" t="s">
        <v>50</v>
      </c>
      <c r="O29" s="70">
        <f>_xlfn.IFNA(MATCH(N29,'Function Factors'!$B$9:$B$455,0),0)</f>
        <v>36</v>
      </c>
      <c r="P29" s="76">
        <f ca="1">OFFSET('Function Factors'!$B$9,$O29-1,P$14)*$L29+OFFSET('Function Factors'!$B$9,$K29-1,P$14)*$H29</f>
        <v>0</v>
      </c>
      <c r="R29" s="76">
        <f ca="1">OFFSET('Function Factors'!$B$9,$O29-1,R$14)*$L29+OFFSET('Function Factors'!$B$9,$K29-1,R$14)*$H29</f>
        <v>0</v>
      </c>
      <c r="S29" s="76"/>
      <c r="T29" s="76">
        <f ca="1">OFFSET('Function Factors'!$B$9,$O29-1,T$14)*$L29+OFFSET('Function Factors'!$B$9,$K29-1,T$14)*$H29</f>
        <v>0</v>
      </c>
      <c r="U29" s="76"/>
      <c r="V29" s="76">
        <f ca="1">OFFSET('Function Factors'!$B$9,$O29-1,V$14)*$L29+OFFSET('Function Factors'!$B$9,$K29-1,V$14)*$H29</f>
        <v>421046.57844368438</v>
      </c>
      <c r="X29" s="76">
        <f t="shared" ca="1" si="4"/>
        <v>421046.57844368438</v>
      </c>
      <c r="Z29" s="49" t="str">
        <f t="shared" ca="1" si="1"/>
        <v/>
      </c>
    </row>
    <row r="30" spans="2:37" ht="13" x14ac:dyDescent="0.3">
      <c r="B30" s="18">
        <f>B29+1</f>
        <v>13</v>
      </c>
      <c r="D30" s="1" t="s">
        <v>53</v>
      </c>
      <c r="F30" s="48">
        <v>7182.6654800000015</v>
      </c>
      <c r="H30" s="48"/>
      <c r="K30" s="70">
        <f>_xlfn.IFNA(MATCH(J30,'Function Factors'!$B$9:$B$455,0),0)</f>
        <v>0</v>
      </c>
      <c r="L30" s="48">
        <f t="shared" si="3"/>
        <v>7182.6654800000015</v>
      </c>
      <c r="N30" s="2" t="s">
        <v>54</v>
      </c>
      <c r="O30" s="70">
        <f>_xlfn.IFNA(MATCH(N30,'Function Factors'!$B$9:$B$455,0),0)</f>
        <v>63</v>
      </c>
      <c r="P30" s="76">
        <f ca="1">OFFSET('Function Factors'!$B$9,$O30-1,P$14)*$L30+OFFSET('Function Factors'!$B$9,$K30-1,P$14)*$H30</f>
        <v>0</v>
      </c>
      <c r="R30" s="76">
        <f ca="1">OFFSET('Function Factors'!$B$9,$O30-1,R$14)*$L30+OFFSET('Function Factors'!$B$9,$K30-1,R$14)*$H30</f>
        <v>477.03131475162303</v>
      </c>
      <c r="S30" s="76"/>
      <c r="T30" s="76">
        <f ca="1">OFFSET('Function Factors'!$B$9,$O30-1,T$14)*$L30+OFFSET('Function Factors'!$B$9,$K30-1,T$14)*$H30</f>
        <v>4318.2255996879157</v>
      </c>
      <c r="U30" s="76"/>
      <c r="V30" s="76">
        <f ca="1">OFFSET('Function Factors'!$B$9,$O30-1,V$14)*$L30+OFFSET('Function Factors'!$B$9,$K30-1,V$14)*$H30</f>
        <v>2387.408565560464</v>
      </c>
      <c r="X30" s="76">
        <f t="shared" ca="1" si="4"/>
        <v>7182.6654800000024</v>
      </c>
      <c r="Z30" s="49" t="str">
        <f t="shared" ca="1" si="1"/>
        <v/>
      </c>
    </row>
    <row r="31" spans="2:37" ht="13" x14ac:dyDescent="0.3">
      <c r="B31" s="18">
        <f t="shared" si="2"/>
        <v>14</v>
      </c>
      <c r="D31" s="1" t="s">
        <v>55</v>
      </c>
      <c r="F31" s="40">
        <f>SUM(F18:F30)</f>
        <v>23217455.756366771</v>
      </c>
      <c r="H31" s="40">
        <f>SUM(H18:H30)</f>
        <v>0</v>
      </c>
      <c r="L31" s="40">
        <f>SUM(L18:L30)</f>
        <v>23217455.756366771</v>
      </c>
      <c r="P31" s="78">
        <f ca="1">SUM(P18:P30)</f>
        <v>0</v>
      </c>
      <c r="Q31" s="64"/>
      <c r="R31" s="78">
        <f ca="1">SUM(R18:R30)</f>
        <v>1068340.2255652831</v>
      </c>
      <c r="S31" s="37"/>
      <c r="T31" s="78">
        <f ca="1">SUM(T18:T30)</f>
        <v>3987829.4772345782</v>
      </c>
      <c r="U31" s="37"/>
      <c r="V31" s="78">
        <f ca="1">SUM(V18:V30)</f>
        <v>18161286.05356691</v>
      </c>
      <c r="X31" s="78">
        <f ca="1">SUM(X18:X30)</f>
        <v>23217455.756366771</v>
      </c>
      <c r="Z31" s="49" t="str">
        <f t="shared" ca="1" si="1"/>
        <v/>
      </c>
    </row>
    <row r="32" spans="2:37" ht="13" x14ac:dyDescent="0.3">
      <c r="X32" s="48"/>
      <c r="Z32" s="49" t="str">
        <f t="shared" si="1"/>
        <v/>
      </c>
    </row>
    <row r="33" spans="2:37" ht="13" x14ac:dyDescent="0.3">
      <c r="B33" s="18">
        <f>B31+1</f>
        <v>15</v>
      </c>
      <c r="D33" s="1" t="s">
        <v>56</v>
      </c>
      <c r="F33" s="48">
        <v>824120.01861700765</v>
      </c>
      <c r="H33" s="48"/>
      <c r="K33" s="70">
        <f>_xlfn.IFNA(MATCH(J33,'Function Factors'!$B$9:$B$455,0),0)</f>
        <v>0</v>
      </c>
      <c r="L33" s="48">
        <f t="shared" ref="L33" si="5">F33-H33</f>
        <v>824120.01861700765</v>
      </c>
      <c r="N33" s="2" t="s">
        <v>57</v>
      </c>
      <c r="O33" s="70">
        <f>_xlfn.IFNA(MATCH(N33,'Function Factors'!$B$9:$B$455,0),0)</f>
        <v>45</v>
      </c>
      <c r="P33" s="76">
        <f ca="1">OFFSET('Function Factors'!$B$9,$O33-1,P$14)*$L33+OFFSET('Function Factors'!$B$9,$K33-1,P$14)*$H33</f>
        <v>0</v>
      </c>
      <c r="R33" s="76">
        <f ca="1">OFFSET('Function Factors'!$B$9,$O33-1,R$14)*$L33+OFFSET('Function Factors'!$B$9,$K33-1,R$14)*$H33</f>
        <v>43180.327429206613</v>
      </c>
      <c r="S33" s="76"/>
      <c r="T33" s="76">
        <f ca="1">OFFSET('Function Factors'!$B$9,$O33-1,T$14)*$L33+OFFSET('Function Factors'!$B$9,$K33-1,T$14)*$H33</f>
        <v>101710.50916156213</v>
      </c>
      <c r="U33" s="76"/>
      <c r="V33" s="76">
        <f ca="1">OFFSET('Function Factors'!$B$9,$O33-1,V$14)*$L33+OFFSET('Function Factors'!$B$9,$K33-1,V$14)*$H33</f>
        <v>679229.182026239</v>
      </c>
      <c r="W33" s="76"/>
      <c r="X33" s="76">
        <f ca="1">P33+R33+T33+V33</f>
        <v>824120.01861700776</v>
      </c>
      <c r="Z33" s="49" t="str">
        <f t="shared" ca="1" si="1"/>
        <v/>
      </c>
    </row>
    <row r="34" spans="2:37" ht="13" x14ac:dyDescent="0.3">
      <c r="X34" s="48"/>
      <c r="Z34" s="49" t="str">
        <f t="shared" si="1"/>
        <v/>
      </c>
    </row>
    <row r="35" spans="2:37" ht="13" x14ac:dyDescent="0.3">
      <c r="B35" s="18">
        <f>B33+1</f>
        <v>16</v>
      </c>
      <c r="D35" s="1" t="s">
        <v>58</v>
      </c>
      <c r="F35" s="40">
        <f>F31+F33</f>
        <v>24041575.774983779</v>
      </c>
      <c r="H35" s="40">
        <f>H31+H33</f>
        <v>0</v>
      </c>
      <c r="L35" s="40">
        <f>L31+L33</f>
        <v>24041575.774983779</v>
      </c>
      <c r="P35" s="40">
        <f ca="1">P31+P33</f>
        <v>0</v>
      </c>
      <c r="Q35" s="106"/>
      <c r="R35" s="40">
        <f ca="1">R31+R33</f>
        <v>1111520.5529944897</v>
      </c>
      <c r="S35" s="48"/>
      <c r="T35" s="40">
        <f ca="1">T31+T33</f>
        <v>4089539.9863961404</v>
      </c>
      <c r="U35" s="48"/>
      <c r="V35" s="40">
        <f ca="1">V31+V33</f>
        <v>18840515.235593148</v>
      </c>
      <c r="X35" s="40">
        <f ca="1">X31+X33</f>
        <v>24041575.774983779</v>
      </c>
      <c r="Z35" s="49" t="str">
        <f t="shared" ca="1" si="1"/>
        <v/>
      </c>
    </row>
    <row r="36" spans="2:37" ht="13" x14ac:dyDescent="0.3">
      <c r="D36" s="6"/>
      <c r="E36" s="74"/>
      <c r="F36" s="74"/>
      <c r="H36" s="74"/>
      <c r="L36" s="74"/>
      <c r="Z36" s="49" t="str">
        <f t="shared" si="1"/>
        <v/>
      </c>
    </row>
    <row r="37" spans="2:37" ht="13" x14ac:dyDescent="0.3">
      <c r="F37" s="48"/>
      <c r="Z37" s="49" t="str">
        <f t="shared" si="1"/>
        <v/>
      </c>
    </row>
    <row r="38" spans="2:37" ht="13" x14ac:dyDescent="0.3">
      <c r="D38" s="6" t="s">
        <v>59</v>
      </c>
      <c r="E38" s="75"/>
      <c r="F38" s="75"/>
      <c r="Z38" s="49" t="str">
        <f t="shared" si="1"/>
        <v/>
      </c>
    </row>
    <row r="39" spans="2:37" ht="13" x14ac:dyDescent="0.3">
      <c r="Z39" s="49" t="str">
        <f t="shared" si="1"/>
        <v/>
      </c>
    </row>
    <row r="40" spans="2:37" ht="13" x14ac:dyDescent="0.3">
      <c r="B40" s="18">
        <f>B35+1</f>
        <v>17</v>
      </c>
      <c r="D40" s="1" t="s">
        <v>33</v>
      </c>
      <c r="F40" s="48">
        <v>0</v>
      </c>
      <c r="H40" s="48"/>
      <c r="K40" s="70">
        <f>_xlfn.IFNA(MATCH(J40,'Function Factors'!$B$9:$B$455,0),0)</f>
        <v>0</v>
      </c>
      <c r="L40" s="48">
        <f>F40-H40</f>
        <v>0</v>
      </c>
      <c r="N40" s="2" t="s">
        <v>34</v>
      </c>
      <c r="O40" s="70">
        <f>_xlfn.IFNA(MATCH(N40,'Function Factors'!$B$9:$B$455,0),0)</f>
        <v>54</v>
      </c>
      <c r="P40" s="76">
        <f ca="1">OFFSET('Function Factors'!$B$9,$O40-1,P$14)*$L40+OFFSET('Function Factors'!$B$9,$K40-1,P$14)*$H40</f>
        <v>0</v>
      </c>
      <c r="R40" s="76">
        <f ca="1">OFFSET('Function Factors'!$B$9,$O40-1,R$14)*$L40+OFFSET('Function Factors'!$B$9,$K40-1,R$14)*$H40</f>
        <v>0</v>
      </c>
      <c r="S40" s="76"/>
      <c r="T40" s="76">
        <f ca="1">OFFSET('Function Factors'!$B$9,$O40-1,T$14)*$L40+OFFSET('Function Factors'!$B$9,$K40-1,T$14)*$H40</f>
        <v>0</v>
      </c>
      <c r="U40" s="76"/>
      <c r="V40" s="76">
        <f ca="1">OFFSET('Function Factors'!$B$9,$O40-1,V$14)*$L40+OFFSET('Function Factors'!$B$9,$K40-1,V$14)*$H40</f>
        <v>0</v>
      </c>
      <c r="X40" s="76">
        <f ca="1">P40+R40+T40+V40</f>
        <v>0</v>
      </c>
      <c r="Z40" s="49" t="str">
        <f ca="1">IF(ROUND(F40,4)=ROUND(X40,4), "", "check")</f>
        <v/>
      </c>
    </row>
    <row r="41" spans="2:37" ht="13" x14ac:dyDescent="0.3">
      <c r="B41" s="18">
        <f>B40+1</f>
        <v>18</v>
      </c>
      <c r="D41" s="1" t="s">
        <v>35</v>
      </c>
      <c r="F41" s="48">
        <v>-87329.187361001794</v>
      </c>
      <c r="H41" s="48"/>
      <c r="K41" s="70">
        <f>_xlfn.IFNA(MATCH(J41,'Function Factors'!$B$9:$B$455,0),0)</f>
        <v>0</v>
      </c>
      <c r="L41" s="48">
        <f>F41-H41</f>
        <v>-87329.187361001794</v>
      </c>
      <c r="N41" s="2" t="s">
        <v>60</v>
      </c>
      <c r="O41" s="70">
        <f>_xlfn.IFNA(MATCH(N41,'Function Factors'!$B$9:$B$455,0),0)</f>
        <v>60</v>
      </c>
      <c r="P41" s="76">
        <f ca="1">OFFSET('Function Factors'!$B$9,$O41-1,P$14)*$L41+OFFSET('Function Factors'!$B$9,$K41-1,P$14)*$H41</f>
        <v>0</v>
      </c>
      <c r="R41" s="76">
        <f ca="1">OFFSET('Function Factors'!$B$9,$O41-1,R$14)*$L41+OFFSET('Function Factors'!$B$9,$K41-1,R$14)*$H41</f>
        <v>-48713.415889674274</v>
      </c>
      <c r="S41" s="76"/>
      <c r="T41" s="76">
        <f ca="1">OFFSET('Function Factors'!$B$9,$O41-1,T$14)*$L41+OFFSET('Function Factors'!$B$9,$K41-1,T$14)*$H41</f>
        <v>-17684.967853226444</v>
      </c>
      <c r="U41" s="76"/>
      <c r="V41" s="76">
        <f ca="1">OFFSET('Function Factors'!$B$9,$O41-1,V$14)*$L41+OFFSET('Function Factors'!$B$9,$K41-1,V$14)*$H41</f>
        <v>-20930.803618101087</v>
      </c>
      <c r="X41" s="76">
        <f ca="1">P41+R41+T41+V41</f>
        <v>-87329.187361001794</v>
      </c>
      <c r="Z41" s="49" t="str">
        <f t="shared" ref="Z41:Z59" ca="1" si="6">IF(ROUND(F41,4)=ROUND(X41,4), "", "check")</f>
        <v/>
      </c>
    </row>
    <row r="42" spans="2:37" ht="13" x14ac:dyDescent="0.3">
      <c r="B42" s="18">
        <f t="shared" ref="B42:B53" si="7">B41+1</f>
        <v>19</v>
      </c>
      <c r="D42" s="1" t="s">
        <v>37</v>
      </c>
      <c r="F42" s="48">
        <v>-215727.48722479556</v>
      </c>
      <c r="H42" s="48"/>
      <c r="K42" s="70">
        <f>_xlfn.IFNA(MATCH(J42,'Function Factors'!$B$9:$B$455,0),0)</f>
        <v>0</v>
      </c>
      <c r="L42" s="48">
        <f t="shared" ref="L42:L52" si="8">F42-H42</f>
        <v>-215727.48722479556</v>
      </c>
      <c r="N42" s="2" t="s">
        <v>61</v>
      </c>
      <c r="O42" s="70">
        <f>_xlfn.IFNA(MATCH(N42,'Function Factors'!$B$9:$B$455,0),0)</f>
        <v>102</v>
      </c>
      <c r="P42" s="76">
        <f ca="1">OFFSET('Function Factors'!$B$9,$O42-1,P$14)*$L42+OFFSET('Function Factors'!$B$9,$K42-1,P$14)*$H42</f>
        <v>0</v>
      </c>
      <c r="R42" s="76">
        <f ca="1">OFFSET('Function Factors'!$B$9,$O42-1,R$14)*$L42+OFFSET('Function Factors'!$B$9,$K42-1,R$14)*$H42</f>
        <v>-30467.610982604227</v>
      </c>
      <c r="S42" s="76"/>
      <c r="T42" s="76">
        <f ca="1">OFFSET('Function Factors'!$B$9,$O42-1,T$14)*$L42+OFFSET('Function Factors'!$B$9,$K42-1,T$14)*$H42</f>
        <v>-77738.765516644649</v>
      </c>
      <c r="U42" s="76"/>
      <c r="V42" s="76">
        <f ca="1">OFFSET('Function Factors'!$B$9,$O42-1,V$14)*$L42+OFFSET('Function Factors'!$B$9,$K42-1,V$14)*$H42</f>
        <v>-107521.11072554668</v>
      </c>
      <c r="X42" s="76">
        <f t="shared" ref="X42:X52" ca="1" si="9">P42+R42+T42+V42</f>
        <v>-215727.48722479556</v>
      </c>
      <c r="Z42" s="49" t="str">
        <f t="shared" ca="1" si="6"/>
        <v/>
      </c>
    </row>
    <row r="43" spans="2:37" ht="13" x14ac:dyDescent="0.3">
      <c r="B43" s="18">
        <f t="shared" si="7"/>
        <v>20</v>
      </c>
      <c r="D43" s="1" t="s">
        <v>39</v>
      </c>
      <c r="F43" s="48">
        <v>-493428.31677845947</v>
      </c>
      <c r="H43" s="48"/>
      <c r="K43" s="70">
        <f>_xlfn.IFNA(MATCH(J43,'Function Factors'!$B$9:$B$455,0),0)</f>
        <v>0</v>
      </c>
      <c r="L43" s="48">
        <f t="shared" si="8"/>
        <v>-493428.31677845947</v>
      </c>
      <c r="N43" s="2" t="s">
        <v>62</v>
      </c>
      <c r="O43" s="70">
        <f>_xlfn.IFNA(MATCH(N43,'Function Factors'!$B$9:$B$455,0),0)</f>
        <v>75</v>
      </c>
      <c r="P43" s="76">
        <f ca="1">OFFSET('Function Factors'!$B$9,$O43-1,P$14)*$L43+OFFSET('Function Factors'!$B$9,$K43-1,P$14)*$H43</f>
        <v>0</v>
      </c>
      <c r="R43" s="76">
        <f ca="1">OFFSET('Function Factors'!$B$9,$O43-1,R$14)*$L43+OFFSET('Function Factors'!$B$9,$K43-1,R$14)*$H43</f>
        <v>-30169.664755768776</v>
      </c>
      <c r="S43" s="76"/>
      <c r="T43" s="76">
        <f ca="1">OFFSET('Function Factors'!$B$9,$O43-1,T$14)*$L43+OFFSET('Function Factors'!$B$9,$K43-1,T$14)*$H43</f>
        <v>-91934.117047230378</v>
      </c>
      <c r="U43" s="76"/>
      <c r="V43" s="76">
        <f ca="1">OFFSET('Function Factors'!$B$9,$O43-1,V$14)*$L43+OFFSET('Function Factors'!$B$9,$K43-1,V$14)*$H43</f>
        <v>-371324.53497546032</v>
      </c>
      <c r="X43" s="76">
        <f t="shared" ca="1" si="9"/>
        <v>-493428.31677845947</v>
      </c>
      <c r="Z43" s="49" t="str">
        <f t="shared" ca="1" si="6"/>
        <v/>
      </c>
    </row>
    <row r="44" spans="2:37" ht="13" x14ac:dyDescent="0.3">
      <c r="B44" s="18">
        <f t="shared" si="7"/>
        <v>21</v>
      </c>
      <c r="D44" s="1" t="s">
        <v>41</v>
      </c>
      <c r="F44" s="48">
        <v>-3864910.4766098866</v>
      </c>
      <c r="H44" s="48"/>
      <c r="K44" s="70">
        <f>_xlfn.IFNA(MATCH(J44,'Function Factors'!$B$9:$B$455,0),0)</f>
        <v>0</v>
      </c>
      <c r="L44" s="48">
        <f t="shared" si="8"/>
        <v>-3864910.4766098866</v>
      </c>
      <c r="N44" s="2" t="s">
        <v>63</v>
      </c>
      <c r="O44" s="70">
        <f>_xlfn.IFNA(MATCH(N44,'Function Factors'!$B$9:$B$455,0),0)</f>
        <v>69</v>
      </c>
      <c r="P44" s="76">
        <f ca="1">OFFSET('Function Factors'!$B$9,$O44-1,P$14)*$L44+OFFSET('Function Factors'!$B$9,$K44-1,P$14)*$H44</f>
        <v>0</v>
      </c>
      <c r="R44" s="76">
        <f ca="1">OFFSET('Function Factors'!$B$9,$O44-1,R$14)*$L44+OFFSET('Function Factors'!$B$9,$K44-1,R$14)*$H44</f>
        <v>0</v>
      </c>
      <c r="S44" s="76"/>
      <c r="T44" s="76">
        <f ca="1">OFFSET('Function Factors'!$B$9,$O44-1,T$14)*$L44+OFFSET('Function Factors'!$B$9,$K44-1,T$14)*$H44</f>
        <v>-700300.98840433965</v>
      </c>
      <c r="U44" s="76"/>
      <c r="V44" s="76">
        <f ca="1">OFFSET('Function Factors'!$B$9,$O44-1,V$14)*$L44+OFFSET('Function Factors'!$B$9,$K44-1,V$14)*$H44</f>
        <v>-3164609.488205547</v>
      </c>
      <c r="X44" s="76">
        <f t="shared" ca="1" si="9"/>
        <v>-3864910.4766098866</v>
      </c>
      <c r="Z44" s="49" t="str">
        <f t="shared" ca="1" si="6"/>
        <v/>
      </c>
    </row>
    <row r="45" spans="2:37" ht="13" x14ac:dyDescent="0.3">
      <c r="B45" s="18">
        <f t="shared" si="7"/>
        <v>22</v>
      </c>
      <c r="D45" s="1" t="s">
        <v>43</v>
      </c>
      <c r="F45" s="48">
        <v>-690225.13613837527</v>
      </c>
      <c r="H45" s="48"/>
      <c r="K45" s="70">
        <f>_xlfn.IFNA(MATCH(J45,'Function Factors'!$B$9:$B$455,0),0)</f>
        <v>0</v>
      </c>
      <c r="L45" s="48">
        <f t="shared" si="8"/>
        <v>-690225.13613837527</v>
      </c>
      <c r="N45" s="2" t="s">
        <v>64</v>
      </c>
      <c r="O45" s="70">
        <f>_xlfn.IFNA(MATCH(N45,'Function Factors'!$B$9:$B$455,0),0)</f>
        <v>27</v>
      </c>
      <c r="P45" s="76">
        <f ca="1">OFFSET('Function Factors'!$B$9,$O45-1,P$14)*$L45+OFFSET('Function Factors'!$B$9,$K45-1,P$14)*$H45</f>
        <v>0</v>
      </c>
      <c r="R45" s="76">
        <f ca="1">OFFSET('Function Factors'!$B$9,$O45-1,R$14)*$L45+OFFSET('Function Factors'!$B$9,$K45-1,R$14)*$H45</f>
        <v>-153844.17287634031</v>
      </c>
      <c r="S45" s="76"/>
      <c r="T45" s="76">
        <f ca="1">OFFSET('Function Factors'!$B$9,$O45-1,T$14)*$L45+OFFSET('Function Factors'!$B$9,$K45-1,T$14)*$H45</f>
        <v>-529309.68232222286</v>
      </c>
      <c r="U45" s="76"/>
      <c r="V45" s="76">
        <f ca="1">OFFSET('Function Factors'!$B$9,$O45-1,V$14)*$L45+OFFSET('Function Factors'!$B$9,$K45-1,V$14)*$H45</f>
        <v>-7071.2809398120935</v>
      </c>
      <c r="X45" s="76">
        <f t="shared" ca="1" si="9"/>
        <v>-690225.13613837527</v>
      </c>
      <c r="Z45" s="49" t="str">
        <f t="shared" ca="1" si="6"/>
        <v/>
      </c>
      <c r="AK45" s="59"/>
    </row>
    <row r="46" spans="2:37" ht="13" x14ac:dyDescent="0.3">
      <c r="B46" s="18">
        <f t="shared" si="7"/>
        <v>23</v>
      </c>
      <c r="D46" s="1" t="s">
        <v>45</v>
      </c>
      <c r="F46" s="48">
        <v>-17354.751934163171</v>
      </c>
      <c r="H46" s="48"/>
      <c r="K46" s="70">
        <f>_xlfn.IFNA(MATCH(J46,'Function Factors'!$B$9:$B$455,0),0)</f>
        <v>0</v>
      </c>
      <c r="L46" s="48">
        <f t="shared" si="8"/>
        <v>-17354.751934163171</v>
      </c>
      <c r="N46" s="2" t="s">
        <v>46</v>
      </c>
      <c r="O46" s="70">
        <f>_xlfn.IFNA(MATCH(N46,'Function Factors'!$B$9:$B$455,0),0)</f>
        <v>96</v>
      </c>
      <c r="P46" s="76">
        <f ca="1">OFFSET('Function Factors'!$B$9,$O46-1,P$14)*$L46+OFFSET('Function Factors'!$B$9,$K46-1,P$14)*$H46</f>
        <v>0</v>
      </c>
      <c r="R46" s="76">
        <f ca="1">OFFSET('Function Factors'!$B$9,$O46-1,R$14)*$L46+OFFSET('Function Factors'!$B$9,$K46-1,R$14)*$H46</f>
        <v>-17354.751934163171</v>
      </c>
      <c r="S46" s="76"/>
      <c r="T46" s="76">
        <f ca="1">OFFSET('Function Factors'!$B$9,$O46-1,T$14)*$L46+OFFSET('Function Factors'!$B$9,$K46-1,T$14)*$H46</f>
        <v>0</v>
      </c>
      <c r="U46" s="76"/>
      <c r="V46" s="76">
        <f ca="1">OFFSET('Function Factors'!$B$9,$O46-1,V$14)*$L46+OFFSET('Function Factors'!$B$9,$K46-1,V$14)*$H46</f>
        <v>0</v>
      </c>
      <c r="X46" s="76">
        <f t="shared" ca="1" si="9"/>
        <v>-17354.751934163171</v>
      </c>
      <c r="Z46" s="49" t="str">
        <f t="shared" ca="1" si="6"/>
        <v/>
      </c>
      <c r="AK46" s="59"/>
    </row>
    <row r="47" spans="2:37" ht="13" x14ac:dyDescent="0.3">
      <c r="B47" s="18">
        <f t="shared" si="7"/>
        <v>24</v>
      </c>
      <c r="D47" s="1" t="s">
        <v>47</v>
      </c>
      <c r="F47" s="48">
        <v>-127950.16722804983</v>
      </c>
      <c r="H47" s="48"/>
      <c r="K47" s="70">
        <f>_xlfn.IFNA(MATCH(J47,'Function Factors'!$B$9:$B$455,0),0)</f>
        <v>0</v>
      </c>
      <c r="L47" s="48">
        <f t="shared" si="8"/>
        <v>-127950.16722804983</v>
      </c>
      <c r="N47" s="2" t="s">
        <v>46</v>
      </c>
      <c r="O47" s="70">
        <f>_xlfn.IFNA(MATCH(N47,'Function Factors'!$B$9:$B$455,0),0)</f>
        <v>96</v>
      </c>
      <c r="P47" s="76">
        <f ca="1">OFFSET('Function Factors'!$B$9,$O47-1,P$14)*$L47+OFFSET('Function Factors'!$B$9,$K47-1,P$14)*$H47</f>
        <v>0</v>
      </c>
      <c r="R47" s="76">
        <f ca="1">OFFSET('Function Factors'!$B$9,$O47-1,R$14)*$L47+OFFSET('Function Factors'!$B$9,$K47-1,R$14)*$H47</f>
        <v>-127950.16722804983</v>
      </c>
      <c r="S47" s="76"/>
      <c r="T47" s="76">
        <f ca="1">OFFSET('Function Factors'!$B$9,$O47-1,T$14)*$L47+OFFSET('Function Factors'!$B$9,$K47-1,T$14)*$H47</f>
        <v>0</v>
      </c>
      <c r="U47" s="76"/>
      <c r="V47" s="76">
        <f ca="1">OFFSET('Function Factors'!$B$9,$O47-1,V$14)*$L47+OFFSET('Function Factors'!$B$9,$K47-1,V$14)*$H47</f>
        <v>0</v>
      </c>
      <c r="X47" s="76">
        <f t="shared" ca="1" si="9"/>
        <v>-127950.16722804983</v>
      </c>
      <c r="Z47" s="49" t="str">
        <f t="shared" ca="1" si="6"/>
        <v/>
      </c>
    </row>
    <row r="48" spans="2:37" ht="13" x14ac:dyDescent="0.3">
      <c r="B48" s="18">
        <f t="shared" si="7"/>
        <v>25</v>
      </c>
      <c r="D48" s="1" t="s">
        <v>48</v>
      </c>
      <c r="F48" s="48">
        <v>0</v>
      </c>
      <c r="H48" s="48"/>
      <c r="K48" s="70">
        <f>_xlfn.IFNA(MATCH(J48,'Function Factors'!$B$9:$B$455,0),0)</f>
        <v>0</v>
      </c>
      <c r="L48" s="48">
        <f t="shared" si="8"/>
        <v>0</v>
      </c>
      <c r="N48" s="2"/>
      <c r="O48" s="70">
        <f>_xlfn.IFNA(MATCH(N48,'Function Factors'!$B$9:$B$455,0),0)</f>
        <v>0</v>
      </c>
      <c r="P48" s="76">
        <f ca="1">OFFSET('Function Factors'!$B$9,$O48-1,P$14)*$L48+OFFSET('Function Factors'!$B$9,$K48-1,P$14)*$H48</f>
        <v>0</v>
      </c>
      <c r="R48" s="76">
        <f ca="1">OFFSET('Function Factors'!$B$9,$O48-1,R$14)*$L48+OFFSET('Function Factors'!$B$9,$K48-1,R$14)*$H48</f>
        <v>0</v>
      </c>
      <c r="S48" s="76"/>
      <c r="T48" s="76">
        <f ca="1">OFFSET('Function Factors'!$B$9,$O48-1,T$14)*$L48+OFFSET('Function Factors'!$B$9,$K48-1,T$14)*$H48</f>
        <v>0</v>
      </c>
      <c r="U48" s="76"/>
      <c r="V48" s="76">
        <f ca="1">OFFSET('Function Factors'!$B$9,$O48-1,V$14)*$L48+OFFSET('Function Factors'!$B$9,$K48-1,V$14)*$H48</f>
        <v>0</v>
      </c>
      <c r="X48" s="76">
        <f t="shared" ca="1" si="9"/>
        <v>0</v>
      </c>
      <c r="Z48" s="49" t="str">
        <f t="shared" ca="1" si="6"/>
        <v/>
      </c>
    </row>
    <row r="49" spans="2:26" ht="13" x14ac:dyDescent="0.3">
      <c r="B49" s="18">
        <f t="shared" si="7"/>
        <v>26</v>
      </c>
      <c r="D49" s="1" t="s">
        <v>49</v>
      </c>
      <c r="F49" s="48">
        <v>-2151619.3783299127</v>
      </c>
      <c r="H49" s="48"/>
      <c r="K49" s="70">
        <f>_xlfn.IFNA(MATCH(J49,'Function Factors'!$B$9:$B$455,0),0)</f>
        <v>0</v>
      </c>
      <c r="L49" s="48">
        <f t="shared" si="8"/>
        <v>-2151619.3783299127</v>
      </c>
      <c r="N49" s="2" t="s">
        <v>50</v>
      </c>
      <c r="O49" s="70">
        <f>_xlfn.IFNA(MATCH(N49,'Function Factors'!$B$9:$B$455,0),0)</f>
        <v>36</v>
      </c>
      <c r="P49" s="76">
        <f ca="1">OFFSET('Function Factors'!$B$9,$O49-1,P$14)*$L49+OFFSET('Function Factors'!$B$9,$K49-1,P$14)*$H49</f>
        <v>0</v>
      </c>
      <c r="R49" s="76">
        <f ca="1">OFFSET('Function Factors'!$B$9,$O49-1,R$14)*$L49+OFFSET('Function Factors'!$B$9,$K49-1,R$14)*$H49</f>
        <v>0</v>
      </c>
      <c r="S49" s="76"/>
      <c r="T49" s="76">
        <f ca="1">OFFSET('Function Factors'!$B$9,$O49-1,T$14)*$L49+OFFSET('Function Factors'!$B$9,$K49-1,T$14)*$H49</f>
        <v>0</v>
      </c>
      <c r="U49" s="76"/>
      <c r="V49" s="76">
        <f ca="1">OFFSET('Function Factors'!$B$9,$O49-1,V$14)*$L49+OFFSET('Function Factors'!$B$9,$K49-1,V$14)*$H49</f>
        <v>-2151619.3783299127</v>
      </c>
      <c r="X49" s="76">
        <f t="shared" ca="1" si="9"/>
        <v>-2151619.3783299127</v>
      </c>
      <c r="Z49" s="49" t="str">
        <f t="shared" ca="1" si="6"/>
        <v/>
      </c>
    </row>
    <row r="50" spans="2:26" ht="13" x14ac:dyDescent="0.3">
      <c r="B50" s="18">
        <f t="shared" si="7"/>
        <v>27</v>
      </c>
      <c r="D50" s="1" t="s">
        <v>51</v>
      </c>
      <c r="F50" s="48">
        <v>-656728.98608636635</v>
      </c>
      <c r="H50" s="48"/>
      <c r="K50" s="70">
        <f>_xlfn.IFNA(MATCH(J50,'Function Factors'!$B$9:$B$455,0),0)</f>
        <v>0</v>
      </c>
      <c r="L50" s="48">
        <f t="shared" si="8"/>
        <v>-656728.98608636635</v>
      </c>
      <c r="N50" s="2" t="s">
        <v>50</v>
      </c>
      <c r="O50" s="70">
        <f>_xlfn.IFNA(MATCH(N50,'Function Factors'!$B$9:$B$455,0),0)</f>
        <v>36</v>
      </c>
      <c r="P50" s="76">
        <f ca="1">OFFSET('Function Factors'!$B$9,$O50-1,P$14)*$L50+OFFSET('Function Factors'!$B$9,$K50-1,P$14)*$H50</f>
        <v>0</v>
      </c>
      <c r="R50" s="76">
        <f ca="1">OFFSET('Function Factors'!$B$9,$O50-1,R$14)*$L50+OFFSET('Function Factors'!$B$9,$K50-1,R$14)*$H50</f>
        <v>0</v>
      </c>
      <c r="S50" s="76"/>
      <c r="T50" s="76">
        <f ca="1">OFFSET('Function Factors'!$B$9,$O50-1,T$14)*$L50+OFFSET('Function Factors'!$B$9,$K50-1,T$14)*$H50</f>
        <v>0</v>
      </c>
      <c r="U50" s="76"/>
      <c r="V50" s="76">
        <f ca="1">OFFSET('Function Factors'!$B$9,$O50-1,V$14)*$L50+OFFSET('Function Factors'!$B$9,$K50-1,V$14)*$H50</f>
        <v>-656728.98608636635</v>
      </c>
      <c r="X50" s="76">
        <f t="shared" ca="1" si="9"/>
        <v>-656728.98608636635</v>
      </c>
      <c r="Z50" s="49" t="str">
        <f t="shared" ca="1" si="6"/>
        <v/>
      </c>
    </row>
    <row r="51" spans="2:26" ht="13" x14ac:dyDescent="0.3">
      <c r="B51" s="18">
        <f>B50+1</f>
        <v>28</v>
      </c>
      <c r="D51" s="1" t="s">
        <v>52</v>
      </c>
      <c r="F51" s="48">
        <v>-167236.19894237144</v>
      </c>
      <c r="H51" s="48"/>
      <c r="K51" s="70">
        <f>_xlfn.IFNA(MATCH(J51,'Function Factors'!$B$9:$B$455,0),0)</f>
        <v>0</v>
      </c>
      <c r="L51" s="48">
        <f t="shared" si="8"/>
        <v>-167236.19894237144</v>
      </c>
      <c r="N51" s="2" t="s">
        <v>50</v>
      </c>
      <c r="O51" s="70">
        <f>_xlfn.IFNA(MATCH(N51,'Function Factors'!$B$9:$B$455,0),0)</f>
        <v>36</v>
      </c>
      <c r="P51" s="76">
        <f ca="1">OFFSET('Function Factors'!$B$9,$O51-1,P$14)*$L51+OFFSET('Function Factors'!$B$9,$K51-1,P$14)*$H51</f>
        <v>0</v>
      </c>
      <c r="R51" s="76">
        <f ca="1">OFFSET('Function Factors'!$B$9,$O51-1,R$14)*$L51+OFFSET('Function Factors'!$B$9,$K51-1,R$14)*$H51</f>
        <v>0</v>
      </c>
      <c r="S51" s="76"/>
      <c r="T51" s="76">
        <f ca="1">OFFSET('Function Factors'!$B$9,$O51-1,T$14)*$L51+OFFSET('Function Factors'!$B$9,$K51-1,T$14)*$H51</f>
        <v>0</v>
      </c>
      <c r="U51" s="76"/>
      <c r="V51" s="76">
        <f ca="1">OFFSET('Function Factors'!$B$9,$O51-1,V$14)*$L51+OFFSET('Function Factors'!$B$9,$K51-1,V$14)*$H51</f>
        <v>-167236.19894237144</v>
      </c>
      <c r="X51" s="76">
        <f t="shared" ca="1" si="9"/>
        <v>-167236.19894237144</v>
      </c>
      <c r="Z51" s="49" t="str">
        <f t="shared" ca="1" si="6"/>
        <v/>
      </c>
    </row>
    <row r="52" spans="2:26" ht="13" x14ac:dyDescent="0.3">
      <c r="B52" s="18">
        <f>B51+1</f>
        <v>29</v>
      </c>
      <c r="D52" s="1" t="s">
        <v>53</v>
      </c>
      <c r="F52" s="48">
        <v>0</v>
      </c>
      <c r="H52" s="48"/>
      <c r="K52" s="70">
        <f>_xlfn.IFNA(MATCH(J52,'Function Factors'!$B$9:$B$455,0),0)</f>
        <v>0</v>
      </c>
      <c r="L52" s="48">
        <f t="shared" si="8"/>
        <v>0</v>
      </c>
      <c r="N52" s="2"/>
      <c r="O52" s="70">
        <f>_xlfn.IFNA(MATCH(N52,'Function Factors'!$B$9:$B$455,0),0)</f>
        <v>0</v>
      </c>
      <c r="P52" s="76">
        <f ca="1">OFFSET('Function Factors'!$B$9,$O52-1,P$14)*$L52+OFFSET('Function Factors'!$B$9,$K52-1,P$14)*$H52</f>
        <v>0</v>
      </c>
      <c r="R52" s="76">
        <f ca="1">OFFSET('Function Factors'!$B$9,$O52-1,R$14)*$L52+OFFSET('Function Factors'!$B$9,$K52-1,R$14)*$H52</f>
        <v>0</v>
      </c>
      <c r="S52" s="76"/>
      <c r="T52" s="76">
        <f ca="1">OFFSET('Function Factors'!$B$9,$O52-1,T$14)*$L52+OFFSET('Function Factors'!$B$9,$K52-1,T$14)*$H52</f>
        <v>0</v>
      </c>
      <c r="U52" s="76"/>
      <c r="V52" s="76">
        <f ca="1">OFFSET('Function Factors'!$B$9,$O52-1,V$14)*$L52+OFFSET('Function Factors'!$B$9,$K52-1,V$14)*$H52</f>
        <v>0</v>
      </c>
      <c r="X52" s="76">
        <f t="shared" ca="1" si="9"/>
        <v>0</v>
      </c>
      <c r="Z52" s="49" t="str">
        <f t="shared" ca="1" si="6"/>
        <v/>
      </c>
    </row>
    <row r="53" spans="2:26" ht="13" x14ac:dyDescent="0.3">
      <c r="B53" s="18">
        <f t="shared" si="7"/>
        <v>30</v>
      </c>
      <c r="D53" s="1" t="s">
        <v>65</v>
      </c>
      <c r="F53" s="40">
        <f>SUM(F40:F52)</f>
        <v>-8472510.0866333805</v>
      </c>
      <c r="H53" s="40">
        <f>SUM(H40:H52)</f>
        <v>0</v>
      </c>
      <c r="L53" s="40">
        <f>SUM(L40:L52)</f>
        <v>-8472510.0866333805</v>
      </c>
      <c r="P53" s="78">
        <f ca="1">SUM(P40:P52)</f>
        <v>0</v>
      </c>
      <c r="Q53" s="64"/>
      <c r="R53" s="78">
        <f ca="1">SUM(R40:R52)</f>
        <v>-408499.78366660059</v>
      </c>
      <c r="S53" s="37"/>
      <c r="T53" s="78">
        <f ca="1">SUM(T40:T52)</f>
        <v>-1416968.5211436641</v>
      </c>
      <c r="U53" s="37"/>
      <c r="V53" s="78">
        <f ca="1">SUM(V40:V52)</f>
        <v>-6647041.7818231182</v>
      </c>
      <c r="X53" s="78">
        <f ca="1">SUM(X40:X52)</f>
        <v>-8472510.0866333805</v>
      </c>
      <c r="Z53" s="49" t="str">
        <f t="shared" ca="1" si="6"/>
        <v/>
      </c>
    </row>
    <row r="54" spans="2:26" ht="13" x14ac:dyDescent="0.3">
      <c r="X54" s="48"/>
      <c r="Z54" s="49" t="str">
        <f t="shared" si="6"/>
        <v/>
      </c>
    </row>
    <row r="55" spans="2:26" ht="13" x14ac:dyDescent="0.3">
      <c r="B55" s="18">
        <f>B53+1</f>
        <v>31</v>
      </c>
      <c r="D55" s="1" t="s">
        <v>56</v>
      </c>
      <c r="F55" s="48">
        <v>-412039.15295051294</v>
      </c>
      <c r="H55" s="48"/>
      <c r="K55" s="70">
        <f>_xlfn.IFNA(MATCH(J55,'Function Factors'!$B$9:$B$455,0),0)</f>
        <v>0</v>
      </c>
      <c r="L55" s="48">
        <f t="shared" ref="L55" si="10">F55-H55</f>
        <v>-412039.15295051294</v>
      </c>
      <c r="N55" s="2" t="s">
        <v>57</v>
      </c>
      <c r="O55" s="70">
        <f>_xlfn.IFNA(MATCH(N55,'Function Factors'!$B$9:$B$455,0),0)</f>
        <v>45</v>
      </c>
      <c r="P55" s="76">
        <f ca="1">OFFSET('Function Factors'!$B$9,$O55-1,P$14)*$L55+OFFSET('Function Factors'!$B$9,$K55-1,P$14)*$H55</f>
        <v>0</v>
      </c>
      <c r="R55" s="76">
        <f ca="1">OFFSET('Function Factors'!$B$9,$O55-1,R$14)*$L55+OFFSET('Function Factors'!$B$9,$K55-1,R$14)*$H55</f>
        <v>-21589.070931578161</v>
      </c>
      <c r="S55" s="76"/>
      <c r="T55" s="76">
        <f ca="1">OFFSET('Function Factors'!$B$9,$O55-1,T$14)*$L55+OFFSET('Function Factors'!$B$9,$K55-1,T$14)*$H55</f>
        <v>-50852.680549399003</v>
      </c>
      <c r="U55" s="76"/>
      <c r="V55" s="76">
        <f ca="1">OFFSET('Function Factors'!$B$9,$O55-1,V$14)*$L55+OFFSET('Function Factors'!$B$9,$K55-1,V$14)*$H55</f>
        <v>-339597.40146953578</v>
      </c>
      <c r="W55" s="76"/>
      <c r="X55" s="76">
        <f ca="1">P55+R55+T55+V55</f>
        <v>-412039.15295051294</v>
      </c>
      <c r="Z55" s="49" t="str">
        <f t="shared" ca="1" si="6"/>
        <v/>
      </c>
    </row>
    <row r="56" spans="2:26" ht="13" x14ac:dyDescent="0.3">
      <c r="X56" s="48"/>
      <c r="Z56" s="49" t="str">
        <f t="shared" si="6"/>
        <v/>
      </c>
    </row>
    <row r="57" spans="2:26" ht="13" x14ac:dyDescent="0.3">
      <c r="B57" s="18">
        <f>B55+1</f>
        <v>32</v>
      </c>
      <c r="D57" s="1" t="s">
        <v>66</v>
      </c>
      <c r="F57" s="40">
        <f>F53+F55</f>
        <v>-8884549.2395838927</v>
      </c>
      <c r="H57" s="40">
        <f>H53+H55</f>
        <v>0</v>
      </c>
      <c r="L57" s="40">
        <f>L53+L55</f>
        <v>-8884549.2395838927</v>
      </c>
      <c r="P57" s="40">
        <f ca="1">P53+P55</f>
        <v>0</v>
      </c>
      <c r="Q57" s="106"/>
      <c r="R57" s="40">
        <f ca="1">R53+R55</f>
        <v>-430088.85459817876</v>
      </c>
      <c r="S57" s="48"/>
      <c r="T57" s="40">
        <f ca="1">T53+T55</f>
        <v>-1467821.2016930631</v>
      </c>
      <c r="U57" s="48"/>
      <c r="V57" s="40">
        <f ca="1">V53+V55</f>
        <v>-6986639.1832926543</v>
      </c>
      <c r="X57" s="40">
        <f ca="1">X53+X55</f>
        <v>-8884549.2395838927</v>
      </c>
      <c r="Z57" s="49" t="str">
        <f t="shared" ca="1" si="6"/>
        <v/>
      </c>
    </row>
    <row r="58" spans="2:26" ht="13" x14ac:dyDescent="0.3">
      <c r="D58" s="6"/>
      <c r="E58" s="74"/>
      <c r="F58" s="74"/>
      <c r="H58" s="74"/>
      <c r="L58" s="74"/>
      <c r="Z58" s="49" t="str">
        <f t="shared" si="6"/>
        <v/>
      </c>
    </row>
    <row r="59" spans="2:26" ht="13" x14ac:dyDescent="0.3">
      <c r="F59" s="48"/>
      <c r="Z59" s="49" t="str">
        <f t="shared" si="6"/>
        <v/>
      </c>
    </row>
    <row r="60" spans="2:26" ht="13" x14ac:dyDescent="0.3">
      <c r="D60" s="6" t="s">
        <v>67</v>
      </c>
      <c r="E60" s="75"/>
      <c r="F60" s="75"/>
      <c r="Z60" s="49" t="str">
        <f t="shared" si="0"/>
        <v/>
      </c>
    </row>
    <row r="61" spans="2:26" ht="13" x14ac:dyDescent="0.3">
      <c r="Z61" s="49" t="str">
        <f t="shared" si="0"/>
        <v/>
      </c>
    </row>
    <row r="62" spans="2:26" ht="13" x14ac:dyDescent="0.3">
      <c r="B62" s="18">
        <f>B57+1</f>
        <v>33</v>
      </c>
      <c r="D62" s="1" t="s">
        <v>33</v>
      </c>
      <c r="F62" s="48">
        <f>F18+F40</f>
        <v>203561.2984920314</v>
      </c>
      <c r="H62" s="48"/>
      <c r="K62" s="70">
        <f>_xlfn.IFNA(MATCH(J62,'Function Factors'!$B$9:$B$455,0),0)</f>
        <v>0</v>
      </c>
      <c r="L62" s="48">
        <f>F62-H62</f>
        <v>203561.2984920314</v>
      </c>
      <c r="N62" s="2"/>
      <c r="O62" s="70">
        <f>_xlfn.IFNA(MATCH(N62,'Function Factors'!$B$9:$B$455,0),0)</f>
        <v>0</v>
      </c>
      <c r="P62" s="76">
        <f ca="1">P18+P40</f>
        <v>0</v>
      </c>
      <c r="R62" s="76">
        <f ca="1">R18+R40</f>
        <v>13017.78562077151</v>
      </c>
      <c r="S62" s="76"/>
      <c r="T62" s="76">
        <f ca="1">T18+T40</f>
        <v>79166.942309318154</v>
      </c>
      <c r="U62" s="76"/>
      <c r="V62" s="76">
        <f ca="1">V18+V40</f>
        <v>111376.57056194174</v>
      </c>
      <c r="X62" s="76">
        <f ca="1">P62+R62+T62+V62</f>
        <v>203561.2984920314</v>
      </c>
      <c r="Z62" s="49" t="str">
        <f ca="1">IF(ROUND(F62,4)=ROUND(X62,4), "", "check")</f>
        <v/>
      </c>
    </row>
    <row r="63" spans="2:26" ht="13" x14ac:dyDescent="0.3">
      <c r="B63" s="18">
        <f>B62+1</f>
        <v>34</v>
      </c>
      <c r="D63" s="1" t="s">
        <v>35</v>
      </c>
      <c r="F63" s="48">
        <f t="shared" ref="F63:F74" si="11">F19+F41</f>
        <v>145332.55965898914</v>
      </c>
      <c r="H63" s="48"/>
      <c r="K63" s="70">
        <f>_xlfn.IFNA(MATCH(J63,'Function Factors'!$B$9:$B$455,0),0)</f>
        <v>0</v>
      </c>
      <c r="L63" s="48">
        <f>F63-H63</f>
        <v>145332.55965898914</v>
      </c>
      <c r="N63" s="2"/>
      <c r="O63" s="70">
        <f>_xlfn.IFNA(MATCH(N63,'Function Factors'!$B$9:$B$455,0),0)</f>
        <v>0</v>
      </c>
      <c r="P63" s="76">
        <f t="shared" ref="P63:R74" ca="1" si="12">P19+P41</f>
        <v>0</v>
      </c>
      <c r="R63" s="76">
        <f t="shared" ca="1" si="12"/>
        <v>26073.599070325727</v>
      </c>
      <c r="S63" s="76"/>
      <c r="T63" s="76">
        <f t="shared" ref="T63:T74" ca="1" si="13">T19+T41</f>
        <v>49261.707392534336</v>
      </c>
      <c r="U63" s="76"/>
      <c r="V63" s="76">
        <f t="shared" ref="V63:V74" ca="1" si="14">V19+V41</f>
        <v>69997.253196129066</v>
      </c>
      <c r="X63" s="76">
        <f ca="1">P63+R63+T63+V63</f>
        <v>145332.55965898914</v>
      </c>
      <c r="Z63" s="49" t="str">
        <f t="shared" ref="Z63:Z126" ca="1" si="15">IF(ROUND(F63,4)=ROUND(X63,4), "", "check")</f>
        <v/>
      </c>
    </row>
    <row r="64" spans="2:26" ht="13" x14ac:dyDescent="0.3">
      <c r="B64" s="18">
        <f t="shared" ref="B64:B75" si="16">B63+1</f>
        <v>35</v>
      </c>
      <c r="D64" s="1" t="s">
        <v>37</v>
      </c>
      <c r="F64" s="48">
        <f t="shared" si="11"/>
        <v>410373.39058807766</v>
      </c>
      <c r="H64" s="48"/>
      <c r="K64" s="70">
        <f>_xlfn.IFNA(MATCH(J64,'Function Factors'!$B$9:$B$455,0),0)</f>
        <v>0</v>
      </c>
      <c r="L64" s="48">
        <f t="shared" ref="L64:L74" si="17">F64-H64</f>
        <v>410373.39058807766</v>
      </c>
      <c r="N64" s="2"/>
      <c r="O64" s="70">
        <f>_xlfn.IFNA(MATCH(N64,'Function Factors'!$B$9:$B$455,0),0)</f>
        <v>0</v>
      </c>
      <c r="P64" s="76">
        <f t="shared" ca="1" si="12"/>
        <v>0</v>
      </c>
      <c r="R64" s="76">
        <f t="shared" ca="1" si="12"/>
        <v>49330.938952358076</v>
      </c>
      <c r="S64" s="76"/>
      <c r="T64" s="76">
        <f t="shared" ca="1" si="13"/>
        <v>133779.00444473058</v>
      </c>
      <c r="U64" s="76"/>
      <c r="V64" s="76">
        <f t="shared" ca="1" si="14"/>
        <v>227263.44719098904</v>
      </c>
      <c r="X64" s="76">
        <f t="shared" ref="X64:X74" ca="1" si="18">P64+R64+T64+V64</f>
        <v>410373.39058807772</v>
      </c>
      <c r="Z64" s="49" t="str">
        <f t="shared" ca="1" si="15"/>
        <v/>
      </c>
    </row>
    <row r="65" spans="2:37" ht="13" x14ac:dyDescent="0.3">
      <c r="B65" s="18">
        <f t="shared" si="16"/>
        <v>36</v>
      </c>
      <c r="D65" s="1" t="s">
        <v>39</v>
      </c>
      <c r="F65" s="48">
        <f t="shared" si="11"/>
        <v>837329.23178662651</v>
      </c>
      <c r="H65" s="48"/>
      <c r="K65" s="70">
        <f>_xlfn.IFNA(MATCH(J65,'Function Factors'!$B$9:$B$455,0),0)</f>
        <v>0</v>
      </c>
      <c r="L65" s="48">
        <f t="shared" si="17"/>
        <v>837329.23178662651</v>
      </c>
      <c r="N65" s="2"/>
      <c r="O65" s="70">
        <f>_xlfn.IFNA(MATCH(N65,'Function Factors'!$B$9:$B$455,0),0)</f>
        <v>0</v>
      </c>
      <c r="P65" s="76">
        <f t="shared" ca="1" si="12"/>
        <v>0</v>
      </c>
      <c r="R65" s="76">
        <f t="shared" ca="1" si="12"/>
        <v>10132.150632208672</v>
      </c>
      <c r="S65" s="76"/>
      <c r="T65" s="76">
        <f t="shared" ca="1" si="13"/>
        <v>159299.06782597845</v>
      </c>
      <c r="U65" s="76"/>
      <c r="V65" s="76">
        <f t="shared" ca="1" si="14"/>
        <v>667898.01332843932</v>
      </c>
      <c r="X65" s="76">
        <f t="shared" ca="1" si="18"/>
        <v>837329.23178662639</v>
      </c>
      <c r="Z65" s="49" t="str">
        <f t="shared" ca="1" si="15"/>
        <v/>
      </c>
    </row>
    <row r="66" spans="2:37" ht="13" x14ac:dyDescent="0.3">
      <c r="B66" s="18">
        <f t="shared" si="16"/>
        <v>37</v>
      </c>
      <c r="D66" s="1" t="s">
        <v>41</v>
      </c>
      <c r="F66" s="48">
        <f t="shared" si="11"/>
        <v>6920947.0784229999</v>
      </c>
      <c r="H66" s="48"/>
      <c r="K66" s="70">
        <f>_xlfn.IFNA(MATCH(J66,'Function Factors'!$B$9:$B$455,0),0)</f>
        <v>0</v>
      </c>
      <c r="L66" s="48">
        <f t="shared" si="17"/>
        <v>6920947.0784229999</v>
      </c>
      <c r="N66" s="2"/>
      <c r="O66" s="70">
        <f>_xlfn.IFNA(MATCH(N66,'Function Factors'!$B$9:$B$455,0),0)</f>
        <v>0</v>
      </c>
      <c r="P66" s="76">
        <f t="shared" ca="1" si="12"/>
        <v>0</v>
      </c>
      <c r="R66" s="76">
        <f t="shared" ca="1" si="12"/>
        <v>0</v>
      </c>
      <c r="S66" s="76"/>
      <c r="T66" s="76">
        <f t="shared" ca="1" si="13"/>
        <v>1296675.7789290498</v>
      </c>
      <c r="U66" s="76"/>
      <c r="V66" s="76">
        <f t="shared" ca="1" si="14"/>
        <v>5624271.2994939499</v>
      </c>
      <c r="X66" s="76">
        <f t="shared" ca="1" si="18"/>
        <v>6920947.0784229999</v>
      </c>
      <c r="Z66" s="49" t="str">
        <f t="shared" ca="1" si="15"/>
        <v/>
      </c>
    </row>
    <row r="67" spans="2:37" ht="13" x14ac:dyDescent="0.3">
      <c r="B67" s="18">
        <f t="shared" si="16"/>
        <v>38</v>
      </c>
      <c r="D67" s="1" t="s">
        <v>43</v>
      </c>
      <c r="F67" s="48">
        <f t="shared" si="11"/>
        <v>1101121.019653976</v>
      </c>
      <c r="H67" s="48"/>
      <c r="K67" s="70">
        <f>_xlfn.IFNA(MATCH(J67,'Function Factors'!$B$9:$B$455,0),0)</f>
        <v>0</v>
      </c>
      <c r="L67" s="48">
        <f t="shared" si="17"/>
        <v>1101121.019653976</v>
      </c>
      <c r="N67" s="2"/>
      <c r="O67" s="70">
        <f>_xlfn.IFNA(MATCH(N67,'Function Factors'!$B$9:$B$455,0),0)</f>
        <v>0</v>
      </c>
      <c r="P67" s="76">
        <f t="shared" ca="1" si="12"/>
        <v>0</v>
      </c>
      <c r="R67" s="76">
        <f t="shared" ca="1" si="12"/>
        <v>222279.83060167442</v>
      </c>
      <c r="S67" s="76"/>
      <c r="T67" s="76">
        <f t="shared" ca="1" si="13"/>
        <v>848360.22958961513</v>
      </c>
      <c r="U67" s="76"/>
      <c r="V67" s="76">
        <f t="shared" ca="1" si="14"/>
        <v>30480.9594626865</v>
      </c>
      <c r="X67" s="76">
        <f t="shared" ca="1" si="18"/>
        <v>1101121.019653976</v>
      </c>
      <c r="Z67" s="49" t="str">
        <f t="shared" ca="1" si="15"/>
        <v/>
      </c>
      <c r="AK67" s="59"/>
    </row>
    <row r="68" spans="2:37" ht="13" x14ac:dyDescent="0.3">
      <c r="B68" s="18">
        <f t="shared" si="16"/>
        <v>39</v>
      </c>
      <c r="D68" s="1" t="s">
        <v>45</v>
      </c>
      <c r="F68" s="48">
        <f t="shared" si="11"/>
        <v>12667.96592956391</v>
      </c>
      <c r="H68" s="48"/>
      <c r="K68" s="70">
        <f>_xlfn.IFNA(MATCH(J68,'Function Factors'!$B$9:$B$455,0),0)</f>
        <v>0</v>
      </c>
      <c r="L68" s="48">
        <f t="shared" si="17"/>
        <v>12667.96592956391</v>
      </c>
      <c r="N68" s="2"/>
      <c r="O68" s="70">
        <f>_xlfn.IFNA(MATCH(N68,'Function Factors'!$B$9:$B$455,0),0)</f>
        <v>0</v>
      </c>
      <c r="P68" s="76">
        <f t="shared" ca="1" si="12"/>
        <v>0</v>
      </c>
      <c r="R68" s="76">
        <f t="shared" ca="1" si="12"/>
        <v>12667.96592956391</v>
      </c>
      <c r="S68" s="76"/>
      <c r="T68" s="76">
        <f t="shared" ca="1" si="13"/>
        <v>0</v>
      </c>
      <c r="U68" s="76"/>
      <c r="V68" s="76">
        <f t="shared" ca="1" si="14"/>
        <v>0</v>
      </c>
      <c r="X68" s="76">
        <f t="shared" ca="1" si="18"/>
        <v>12667.96592956391</v>
      </c>
      <c r="Z68" s="49" t="str">
        <f t="shared" ca="1" si="15"/>
        <v/>
      </c>
      <c r="AK68" s="59"/>
    </row>
    <row r="69" spans="2:37" ht="13" x14ac:dyDescent="0.3">
      <c r="B69" s="18">
        <f t="shared" si="16"/>
        <v>40</v>
      </c>
      <c r="D69" s="1" t="s">
        <v>47</v>
      </c>
      <c r="F69" s="48">
        <f t="shared" si="11"/>
        <v>257394.65378702851</v>
      </c>
      <c r="H69" s="48"/>
      <c r="K69" s="70">
        <f>_xlfn.IFNA(MATCH(J69,'Function Factors'!$B$9:$B$455,0),0)</f>
        <v>0</v>
      </c>
      <c r="L69" s="48">
        <f t="shared" si="17"/>
        <v>257394.65378702851</v>
      </c>
      <c r="N69" s="2"/>
      <c r="O69" s="70">
        <f>_xlfn.IFNA(MATCH(N69,'Function Factors'!$B$9:$B$455,0),0)</f>
        <v>0</v>
      </c>
      <c r="P69" s="76">
        <f t="shared" ca="1" si="12"/>
        <v>0</v>
      </c>
      <c r="R69" s="76">
        <f t="shared" ca="1" si="12"/>
        <v>257394.65378702851</v>
      </c>
      <c r="S69" s="76"/>
      <c r="T69" s="76">
        <f t="shared" ca="1" si="13"/>
        <v>0</v>
      </c>
      <c r="U69" s="76"/>
      <c r="V69" s="76">
        <f t="shared" ca="1" si="14"/>
        <v>0</v>
      </c>
      <c r="X69" s="76">
        <f t="shared" ca="1" si="18"/>
        <v>257394.65378702851</v>
      </c>
      <c r="Z69" s="49" t="str">
        <f t="shared" ca="1" si="15"/>
        <v/>
      </c>
    </row>
    <row r="70" spans="2:37" ht="13" x14ac:dyDescent="0.3">
      <c r="B70" s="18">
        <f t="shared" si="16"/>
        <v>41</v>
      </c>
      <c r="D70" s="1" t="s">
        <v>48</v>
      </c>
      <c r="F70" s="48">
        <f t="shared" si="11"/>
        <v>68466.485990000001</v>
      </c>
      <c r="H70" s="48"/>
      <c r="K70" s="70">
        <f>_xlfn.IFNA(MATCH(J70,'Function Factors'!$B$9:$B$455,0),0)</f>
        <v>0</v>
      </c>
      <c r="L70" s="48">
        <f t="shared" si="17"/>
        <v>68466.485990000001</v>
      </c>
      <c r="N70" s="2"/>
      <c r="O70" s="70">
        <f>_xlfn.IFNA(MATCH(N70,'Function Factors'!$B$9:$B$455,0),0)</f>
        <v>0</v>
      </c>
      <c r="P70" s="76">
        <f t="shared" ca="1" si="12"/>
        <v>0</v>
      </c>
      <c r="R70" s="76">
        <f t="shared" ca="1" si="12"/>
        <v>68466.485990000001</v>
      </c>
      <c r="S70" s="76"/>
      <c r="T70" s="76">
        <f t="shared" ca="1" si="13"/>
        <v>0</v>
      </c>
      <c r="U70" s="76"/>
      <c r="V70" s="76">
        <f t="shared" ca="1" si="14"/>
        <v>0</v>
      </c>
      <c r="X70" s="76">
        <f t="shared" ca="1" si="18"/>
        <v>68466.485990000001</v>
      </c>
      <c r="Z70" s="49" t="str">
        <f t="shared" ca="1" si="15"/>
        <v/>
      </c>
    </row>
    <row r="71" spans="2:37" ht="13" x14ac:dyDescent="0.3">
      <c r="B71" s="18">
        <f t="shared" si="16"/>
        <v>42</v>
      </c>
      <c r="D71" s="1" t="s">
        <v>49</v>
      </c>
      <c r="F71" s="48">
        <f t="shared" si="11"/>
        <v>3496978.1869334034</v>
      </c>
      <c r="H71" s="48"/>
      <c r="K71" s="70">
        <f>_xlfn.IFNA(MATCH(J71,'Function Factors'!$B$9:$B$455,0),0)</f>
        <v>0</v>
      </c>
      <c r="L71" s="48">
        <f t="shared" si="17"/>
        <v>3496978.1869334034</v>
      </c>
      <c r="N71" s="2"/>
      <c r="O71" s="70">
        <f>_xlfn.IFNA(MATCH(N71,'Function Factors'!$B$9:$B$455,0),0)</f>
        <v>0</v>
      </c>
      <c r="P71" s="76">
        <f t="shared" ca="1" si="12"/>
        <v>0</v>
      </c>
      <c r="R71" s="76">
        <f t="shared" ca="1" si="12"/>
        <v>0</v>
      </c>
      <c r="S71" s="76"/>
      <c r="T71" s="76">
        <f t="shared" ca="1" si="13"/>
        <v>0</v>
      </c>
      <c r="U71" s="76"/>
      <c r="V71" s="76">
        <f t="shared" ca="1" si="14"/>
        <v>3496978.1869334034</v>
      </c>
      <c r="X71" s="76">
        <f t="shared" ca="1" si="18"/>
        <v>3496978.1869334034</v>
      </c>
      <c r="Z71" s="49" t="str">
        <f t="shared" ca="1" si="15"/>
        <v/>
      </c>
    </row>
    <row r="72" spans="2:37" ht="13" x14ac:dyDescent="0.3">
      <c r="B72" s="18">
        <f t="shared" si="16"/>
        <v>43</v>
      </c>
      <c r="D72" s="1" t="s">
        <v>51</v>
      </c>
      <c r="F72" s="48">
        <f t="shared" si="11"/>
        <v>1029780.7535093786</v>
      </c>
      <c r="H72" s="48"/>
      <c r="K72" s="70">
        <f>_xlfn.IFNA(MATCH(J72,'Function Factors'!$B$9:$B$455,0),0)</f>
        <v>0</v>
      </c>
      <c r="L72" s="48">
        <f t="shared" si="17"/>
        <v>1029780.7535093786</v>
      </c>
      <c r="N72" s="2"/>
      <c r="O72" s="70">
        <f>_xlfn.IFNA(MATCH(N72,'Function Factors'!$B$9:$B$455,0),0)</f>
        <v>0</v>
      </c>
      <c r="P72" s="76">
        <f t="shared" ca="1" si="12"/>
        <v>0</v>
      </c>
      <c r="R72" s="76">
        <f t="shared" ca="1" si="12"/>
        <v>0</v>
      </c>
      <c r="S72" s="76"/>
      <c r="T72" s="76">
        <f t="shared" ca="1" si="13"/>
        <v>0</v>
      </c>
      <c r="U72" s="76"/>
      <c r="V72" s="76">
        <f t="shared" ca="1" si="14"/>
        <v>1029780.7535093786</v>
      </c>
      <c r="X72" s="76">
        <f t="shared" ca="1" si="18"/>
        <v>1029780.7535093786</v>
      </c>
      <c r="Z72" s="49" t="str">
        <f t="shared" ca="1" si="15"/>
        <v/>
      </c>
    </row>
    <row r="73" spans="2:37" ht="13" x14ac:dyDescent="0.3">
      <c r="B73" s="18">
        <f>B72+1</f>
        <v>44</v>
      </c>
      <c r="D73" s="1" t="s">
        <v>52</v>
      </c>
      <c r="F73" s="48">
        <f t="shared" si="11"/>
        <v>253810.37950131294</v>
      </c>
      <c r="H73" s="48"/>
      <c r="K73" s="70">
        <f>_xlfn.IFNA(MATCH(J73,'Function Factors'!$B$9:$B$455,0),0)</f>
        <v>0</v>
      </c>
      <c r="L73" s="48">
        <f t="shared" si="17"/>
        <v>253810.37950131294</v>
      </c>
      <c r="N73" s="2"/>
      <c r="O73" s="70">
        <f>_xlfn.IFNA(MATCH(N73,'Function Factors'!$B$9:$B$455,0),0)</f>
        <v>0</v>
      </c>
      <c r="P73" s="76">
        <f t="shared" ca="1" si="12"/>
        <v>0</v>
      </c>
      <c r="R73" s="76">
        <f t="shared" ca="1" si="12"/>
        <v>0</v>
      </c>
      <c r="S73" s="76"/>
      <c r="T73" s="76">
        <f t="shared" ca="1" si="13"/>
        <v>0</v>
      </c>
      <c r="U73" s="76"/>
      <c r="V73" s="76">
        <f t="shared" ca="1" si="14"/>
        <v>253810.37950131294</v>
      </c>
      <c r="X73" s="76">
        <f t="shared" ca="1" si="18"/>
        <v>253810.37950131294</v>
      </c>
      <c r="Z73" s="49" t="str">
        <f t="shared" ca="1" si="15"/>
        <v/>
      </c>
    </row>
    <row r="74" spans="2:37" ht="13" x14ac:dyDescent="0.3">
      <c r="B74" s="18">
        <f>B73+1</f>
        <v>45</v>
      </c>
      <c r="D74" s="1" t="s">
        <v>53</v>
      </c>
      <c r="F74" s="48">
        <f t="shared" si="11"/>
        <v>7182.6654800000015</v>
      </c>
      <c r="H74" s="48"/>
      <c r="K74" s="70">
        <f>_xlfn.IFNA(MATCH(J74,'Function Factors'!$B$9:$B$455,0),0)</f>
        <v>0</v>
      </c>
      <c r="L74" s="48">
        <f t="shared" si="17"/>
        <v>7182.6654800000015</v>
      </c>
      <c r="N74" s="2"/>
      <c r="O74" s="70">
        <f>_xlfn.IFNA(MATCH(N74,'Function Factors'!$B$9:$B$455,0),0)</f>
        <v>0</v>
      </c>
      <c r="P74" s="76">
        <f t="shared" ca="1" si="12"/>
        <v>0</v>
      </c>
      <c r="R74" s="76">
        <f t="shared" ca="1" si="12"/>
        <v>477.03131475162303</v>
      </c>
      <c r="S74" s="76"/>
      <c r="T74" s="76">
        <f t="shared" ca="1" si="13"/>
        <v>4318.2255996879157</v>
      </c>
      <c r="U74" s="76"/>
      <c r="V74" s="76">
        <f t="shared" ca="1" si="14"/>
        <v>2387.408565560464</v>
      </c>
      <c r="X74" s="76">
        <f t="shared" ca="1" si="18"/>
        <v>7182.6654800000024</v>
      </c>
      <c r="Z74" s="49" t="str">
        <f t="shared" ca="1" si="15"/>
        <v/>
      </c>
    </row>
    <row r="75" spans="2:37" ht="13" x14ac:dyDescent="0.3">
      <c r="B75" s="18">
        <f t="shared" si="16"/>
        <v>46</v>
      </c>
      <c r="D75" s="1" t="s">
        <v>68</v>
      </c>
      <c r="F75" s="40">
        <f>SUM(F62:F74)</f>
        <v>14744945.66973339</v>
      </c>
      <c r="H75" s="40">
        <f>SUM(H62:H74)</f>
        <v>0</v>
      </c>
      <c r="L75" s="40">
        <f>SUM(L62:L74)</f>
        <v>14744945.66973339</v>
      </c>
      <c r="P75" s="78">
        <f ca="1">SUM(P62:P74)</f>
        <v>0</v>
      </c>
      <c r="Q75" s="64"/>
      <c r="R75" s="78">
        <f ca="1">SUM(R62:R74)</f>
        <v>659840.44189868239</v>
      </c>
      <c r="S75" s="37"/>
      <c r="T75" s="78">
        <f ca="1">SUM(T62:T74)</f>
        <v>2570860.9560909146</v>
      </c>
      <c r="U75" s="37"/>
      <c r="V75" s="78">
        <f ca="1">SUM(V62:V74)</f>
        <v>11514244.271743789</v>
      </c>
      <c r="X75" s="78">
        <f ca="1">SUM(X62:X74)</f>
        <v>14744945.66973339</v>
      </c>
      <c r="Z75" s="49" t="str">
        <f t="shared" ca="1" si="15"/>
        <v/>
      </c>
      <c r="AA75" s="8"/>
    </row>
    <row r="76" spans="2:37" ht="13" x14ac:dyDescent="0.3">
      <c r="X76" s="48"/>
      <c r="Z76" s="49" t="str">
        <f t="shared" si="15"/>
        <v/>
      </c>
    </row>
    <row r="77" spans="2:37" ht="13" x14ac:dyDescent="0.3">
      <c r="B77" s="18">
        <f>B75+1</f>
        <v>47</v>
      </c>
      <c r="D77" s="1" t="s">
        <v>56</v>
      </c>
      <c r="F77" s="48">
        <f>F33+F55</f>
        <v>412080.8656664947</v>
      </c>
      <c r="H77" s="48"/>
      <c r="K77" s="70">
        <f>_xlfn.IFNA(MATCH(J77,'Function Factors'!$B$9:$B$455,0),0)</f>
        <v>0</v>
      </c>
      <c r="L77" s="48">
        <f t="shared" ref="L77" si="19">F77-H77</f>
        <v>412080.8656664947</v>
      </c>
      <c r="N77" s="2"/>
      <c r="O77" s="70">
        <f>_xlfn.IFNA(MATCH(N77,'Function Factors'!$B$9:$B$455,0),0)</f>
        <v>0</v>
      </c>
      <c r="P77" s="76">
        <f ca="1">P33+P55</f>
        <v>0</v>
      </c>
      <c r="R77" s="76">
        <f ca="1">R33+R55</f>
        <v>21591.256497628452</v>
      </c>
      <c r="S77" s="76"/>
      <c r="T77" s="76">
        <f ca="1">T33+T55</f>
        <v>50857.828612163132</v>
      </c>
      <c r="U77" s="76"/>
      <c r="V77" s="76">
        <f ca="1">V33+V55</f>
        <v>339631.78055670322</v>
      </c>
      <c r="W77" s="76"/>
      <c r="X77" s="76">
        <f ca="1">P77+R77+T77+V77</f>
        <v>412080.86566649482</v>
      </c>
      <c r="Z77" s="49" t="str">
        <f t="shared" ca="1" si="15"/>
        <v/>
      </c>
    </row>
    <row r="78" spans="2:37" ht="13" x14ac:dyDescent="0.3">
      <c r="X78" s="48"/>
      <c r="Z78" s="49" t="str">
        <f t="shared" si="15"/>
        <v/>
      </c>
    </row>
    <row r="79" spans="2:37" ht="13" x14ac:dyDescent="0.3">
      <c r="B79" s="18">
        <f>B77+1</f>
        <v>48</v>
      </c>
      <c r="D79" s="1" t="s">
        <v>69</v>
      </c>
      <c r="F79" s="40">
        <f>F75+F77</f>
        <v>15157026.535399884</v>
      </c>
      <c r="H79" s="40">
        <f>H75+H77</f>
        <v>0</v>
      </c>
      <c r="L79" s="40">
        <f>L75+L77</f>
        <v>15157026.535399884</v>
      </c>
      <c r="P79" s="40">
        <f ca="1">P75+P77</f>
        <v>0</v>
      </c>
      <c r="Q79" s="106"/>
      <c r="R79" s="40">
        <f ca="1">R75+R77</f>
        <v>681431.69839631079</v>
      </c>
      <c r="S79" s="48"/>
      <c r="T79" s="40">
        <f ca="1">T75+T77</f>
        <v>2621718.7847030777</v>
      </c>
      <c r="U79" s="48"/>
      <c r="V79" s="40">
        <f ca="1">V75+V77</f>
        <v>11853876.052300492</v>
      </c>
      <c r="X79" s="40">
        <f ca="1">X75+X77</f>
        <v>15157026.535399886</v>
      </c>
      <c r="Z79" s="49" t="str">
        <f t="shared" ca="1" si="15"/>
        <v/>
      </c>
    </row>
    <row r="80" spans="2:37" ht="13" x14ac:dyDescent="0.3">
      <c r="D80" s="6"/>
      <c r="E80" s="74"/>
      <c r="F80" s="74"/>
      <c r="H80" s="74"/>
      <c r="L80" s="74"/>
      <c r="Z80" s="49" t="str">
        <f t="shared" si="15"/>
        <v/>
      </c>
    </row>
    <row r="81" spans="2:26" ht="13" x14ac:dyDescent="0.3">
      <c r="F81" s="48"/>
      <c r="Z81" s="49" t="str">
        <f t="shared" si="15"/>
        <v/>
      </c>
    </row>
    <row r="82" spans="2:26" ht="13" x14ac:dyDescent="0.3">
      <c r="D82" s="6" t="s">
        <v>70</v>
      </c>
      <c r="E82" s="75"/>
      <c r="F82" s="75"/>
      <c r="H82" s="75"/>
      <c r="L82" s="75"/>
      <c r="Z82" s="49" t="str">
        <f t="shared" si="15"/>
        <v/>
      </c>
    </row>
    <row r="83" spans="2:26" ht="13" x14ac:dyDescent="0.3">
      <c r="Z83" s="49" t="str">
        <f t="shared" si="15"/>
        <v/>
      </c>
    </row>
    <row r="84" spans="2:26" ht="13" x14ac:dyDescent="0.3">
      <c r="B84" s="18">
        <f>B79+1</f>
        <v>49</v>
      </c>
      <c r="D84" s="1" t="s">
        <v>71</v>
      </c>
      <c r="F84" s="48">
        <v>106990.37774285467</v>
      </c>
      <c r="H84" s="48"/>
      <c r="K84" s="70">
        <f>_xlfn.IFNA(MATCH(J84,'Function Factors'!$B$9:$B$455,0),0)</f>
        <v>0</v>
      </c>
      <c r="L84" s="48">
        <f t="shared" ref="L84:L88" si="20">F84-H84</f>
        <v>106990.37774285467</v>
      </c>
      <c r="N84" s="2" t="s">
        <v>72</v>
      </c>
      <c r="O84" s="70">
        <f>_xlfn.IFNA(MATCH(N84,'Function Factors'!$B$9:$B$455,0),0)</f>
        <v>78</v>
      </c>
      <c r="P84" s="76">
        <f ca="1">OFFSET('Function Factors'!$B$9,$O84-1,P$14)*$L84+OFFSET('Function Factors'!$B$9,$K84-1,P$14)*$H84</f>
        <v>0</v>
      </c>
      <c r="R84" s="76">
        <f ca="1">OFFSET('Function Factors'!$B$9,$O84-1,R$14)*$L84+OFFSET('Function Factors'!$B$9,$K84-1,R$14)*$H84</f>
        <v>4345.1165095733522</v>
      </c>
      <c r="S84" s="76"/>
      <c r="T84" s="76">
        <f ca="1">OFFSET('Function Factors'!$B$9,$O84-1,T$14)*$L84+OFFSET('Function Factors'!$B$9,$K84-1,T$14)*$H84</f>
        <v>18568.37524808753</v>
      </c>
      <c r="U84" s="76"/>
      <c r="V84" s="76">
        <f ca="1">OFFSET('Function Factors'!$B$9,$O84-1,V$14)*$L84+OFFSET('Function Factors'!$B$9,$K84-1,V$14)*$H84</f>
        <v>84076.885985193789</v>
      </c>
      <c r="X84" s="76">
        <f t="shared" ref="X84:X88" ca="1" si="21">P84+R84+T84+V84</f>
        <v>106990.37774285467</v>
      </c>
      <c r="Z84" s="49" t="str">
        <f t="shared" ca="1" si="15"/>
        <v/>
      </c>
    </row>
    <row r="85" spans="2:26" ht="13" x14ac:dyDescent="0.3">
      <c r="B85" s="18">
        <f>B84+1</f>
        <v>50</v>
      </c>
      <c r="D85" s="1" t="s">
        <v>73</v>
      </c>
      <c r="F85" s="48">
        <v>-5076.4162604167295</v>
      </c>
      <c r="H85" s="48"/>
      <c r="K85" s="70">
        <f>_xlfn.IFNA(MATCH(J85,'Function Factors'!$B$9:$B$455,0),0)</f>
        <v>0</v>
      </c>
      <c r="L85" s="48">
        <f t="shared" si="20"/>
        <v>-5076.4162604167295</v>
      </c>
      <c r="N85" s="2" t="s">
        <v>72</v>
      </c>
      <c r="O85" s="70">
        <f>_xlfn.IFNA(MATCH(N85,'Function Factors'!$B$9:$B$455,0),0)</f>
        <v>78</v>
      </c>
      <c r="P85" s="76">
        <f ca="1">OFFSET('Function Factors'!$B$9,$O85-1,P$14)*$L85+OFFSET('Function Factors'!$B$9,$K85-1,P$14)*$H85</f>
        <v>0</v>
      </c>
      <c r="R85" s="76">
        <f ca="1">OFFSET('Function Factors'!$B$9,$O85-1,R$14)*$L85+OFFSET('Function Factors'!$B$9,$K85-1,R$14)*$H85</f>
        <v>-206.16452215560537</v>
      </c>
      <c r="S85" s="76"/>
      <c r="T85" s="76">
        <f ca="1">OFFSET('Function Factors'!$B$9,$O85-1,T$14)*$L85+OFFSET('Function Factors'!$B$9,$K85-1,T$14)*$H85</f>
        <v>-881.02130329384931</v>
      </c>
      <c r="U85" s="76"/>
      <c r="V85" s="76">
        <f ca="1">OFFSET('Function Factors'!$B$9,$O85-1,V$14)*$L85+OFFSET('Function Factors'!$B$9,$K85-1,V$14)*$H85</f>
        <v>-3989.230434967275</v>
      </c>
      <c r="X85" s="76">
        <f t="shared" ca="1" si="21"/>
        <v>-5076.4162604167295</v>
      </c>
      <c r="Z85" s="49" t="str">
        <f t="shared" ca="1" si="15"/>
        <v/>
      </c>
    </row>
    <row r="86" spans="2:26" ht="13" x14ac:dyDescent="0.3">
      <c r="B86" s="18">
        <f t="shared" ref="B86:B89" si="22">B85+1</f>
        <v>51</v>
      </c>
      <c r="D86" s="1" t="s">
        <v>74</v>
      </c>
      <c r="F86" s="48">
        <v>-60186.114249104641</v>
      </c>
      <c r="H86" s="48"/>
      <c r="K86" s="70">
        <f>_xlfn.IFNA(MATCH(J86,'Function Factors'!$B$9:$B$455,0),0)</f>
        <v>0</v>
      </c>
      <c r="L86" s="48">
        <f t="shared" si="20"/>
        <v>-60186.114249104641</v>
      </c>
      <c r="N86" s="2" t="s">
        <v>72</v>
      </c>
      <c r="O86" s="70">
        <f>_xlfn.IFNA(MATCH(N86,'Function Factors'!$B$9:$B$455,0),0)</f>
        <v>78</v>
      </c>
      <c r="P86" s="76">
        <f ca="1">OFFSET('Function Factors'!$B$9,$O86-1,P$14)*$L86+OFFSET('Function Factors'!$B$9,$K86-1,P$14)*$H86</f>
        <v>0</v>
      </c>
      <c r="R86" s="76">
        <f ca="1">OFFSET('Function Factors'!$B$9,$O86-1,R$14)*$L86+OFFSET('Function Factors'!$B$9,$K86-1,R$14)*$H86</f>
        <v>-2444.2915726439505</v>
      </c>
      <c r="S86" s="76"/>
      <c r="T86" s="76">
        <f ca="1">OFFSET('Function Factors'!$B$9,$O86-1,T$14)*$L86+OFFSET('Function Factors'!$B$9,$K86-1,T$14)*$H86</f>
        <v>-10445.409930111951</v>
      </c>
      <c r="U86" s="76"/>
      <c r="V86" s="76">
        <f ca="1">OFFSET('Function Factors'!$B$9,$O86-1,V$14)*$L86+OFFSET('Function Factors'!$B$9,$K86-1,V$14)*$H86</f>
        <v>-47296.412746348738</v>
      </c>
      <c r="X86" s="76">
        <f t="shared" ca="1" si="21"/>
        <v>-60186.114249104641</v>
      </c>
      <c r="Z86" s="49" t="str">
        <f t="shared" ca="1" si="15"/>
        <v/>
      </c>
    </row>
    <row r="87" spans="2:26" ht="13" x14ac:dyDescent="0.3">
      <c r="B87" s="18">
        <f t="shared" si="22"/>
        <v>52</v>
      </c>
      <c r="D87" s="1" t="s">
        <v>75</v>
      </c>
      <c r="F87" s="48">
        <v>450894.64997650369</v>
      </c>
      <c r="H87" s="48"/>
      <c r="K87" s="70">
        <f>_xlfn.IFNA(MATCH(J87,'Function Factors'!$B$9:$B$455,0),0)</f>
        <v>0</v>
      </c>
      <c r="L87" s="48">
        <f t="shared" si="20"/>
        <v>450894.64997650369</v>
      </c>
      <c r="N87" s="2" t="s">
        <v>46</v>
      </c>
      <c r="O87" s="70">
        <f>_xlfn.IFNA(MATCH(N87,'Function Factors'!$B$9:$B$455,0),0)</f>
        <v>96</v>
      </c>
      <c r="P87" s="76">
        <f ca="1">OFFSET('Function Factors'!$B$9,$O87-1,P$14)*$L87+OFFSET('Function Factors'!$B$9,$K87-1,P$14)*$H87</f>
        <v>0</v>
      </c>
      <c r="R87" s="76">
        <f ca="1">OFFSET('Function Factors'!$B$9,$O87-1,R$14)*$L87+OFFSET('Function Factors'!$B$9,$K87-1,R$14)*$H87</f>
        <v>450894.64997650369</v>
      </c>
      <c r="S87" s="76"/>
      <c r="T87" s="76">
        <f ca="1">OFFSET('Function Factors'!$B$9,$O87-1,T$14)*$L87+OFFSET('Function Factors'!$B$9,$K87-1,T$14)*$H87</f>
        <v>0</v>
      </c>
      <c r="U87" s="76"/>
      <c r="V87" s="76">
        <f ca="1">OFFSET('Function Factors'!$B$9,$O87-1,V$14)*$L87+OFFSET('Function Factors'!$B$9,$K87-1,V$14)*$H87</f>
        <v>0</v>
      </c>
      <c r="X87" s="76">
        <f t="shared" ca="1" si="21"/>
        <v>450894.64997650369</v>
      </c>
      <c r="Z87" s="49" t="str">
        <f t="shared" ca="1" si="15"/>
        <v/>
      </c>
    </row>
    <row r="88" spans="2:26" ht="13" x14ac:dyDescent="0.3">
      <c r="B88" s="18">
        <f t="shared" si="22"/>
        <v>53</v>
      </c>
      <c r="D88" s="1" t="s">
        <v>76</v>
      </c>
      <c r="F88" s="48">
        <v>-130400</v>
      </c>
      <c r="H88" s="48"/>
      <c r="K88" s="70">
        <f>_xlfn.IFNA(MATCH(J88,'Function Factors'!$B$9:$B$455,0),0)</f>
        <v>0</v>
      </c>
      <c r="L88" s="48">
        <f t="shared" si="20"/>
        <v>-130400</v>
      </c>
      <c r="N88" s="2" t="s">
        <v>72</v>
      </c>
      <c r="O88" s="70">
        <f>_xlfn.IFNA(MATCH(N88,'Function Factors'!$B$9:$B$455,0),0)</f>
        <v>78</v>
      </c>
      <c r="P88" s="76">
        <f ca="1">OFFSET('Function Factors'!$B$9,$O88-1,P$14)*$L88+OFFSET('Function Factors'!$B$9,$K88-1,P$14)*$H88</f>
        <v>0</v>
      </c>
      <c r="R88" s="76">
        <f ca="1">OFFSET('Function Factors'!$B$9,$O88-1,R$14)*$L88+OFFSET('Function Factors'!$B$9,$K88-1,R$14)*$H88</f>
        <v>-5295.833184271617</v>
      </c>
      <c r="S88" s="76"/>
      <c r="T88" s="76">
        <f ca="1">OFFSET('Function Factors'!$B$9,$O88-1,T$14)*$L88+OFFSET('Function Factors'!$B$9,$K88-1,T$14)*$H88</f>
        <v>-22631.15789879825</v>
      </c>
      <c r="U88" s="76"/>
      <c r="V88" s="76">
        <f ca="1">OFFSET('Function Factors'!$B$9,$O88-1,V$14)*$L88+OFFSET('Function Factors'!$B$9,$K88-1,V$14)*$H88</f>
        <v>-102473.00891693014</v>
      </c>
      <c r="X88" s="76">
        <f t="shared" ca="1" si="21"/>
        <v>-130400</v>
      </c>
      <c r="Z88" s="49" t="str">
        <f t="shared" ca="1" si="15"/>
        <v/>
      </c>
    </row>
    <row r="89" spans="2:26" ht="13" x14ac:dyDescent="0.3">
      <c r="B89" s="18">
        <f t="shared" si="22"/>
        <v>54</v>
      </c>
      <c r="D89" s="1" t="s">
        <v>77</v>
      </c>
      <c r="F89" s="40">
        <f>SUM(F84:F88)</f>
        <v>362222.49720983696</v>
      </c>
      <c r="H89" s="40">
        <f>SUM(H84:H88)</f>
        <v>0</v>
      </c>
      <c r="L89" s="40">
        <f>SUM(L84:L88)</f>
        <v>362222.49720983696</v>
      </c>
      <c r="P89" s="78">
        <f ca="1">SUM(P84:P88)</f>
        <v>0</v>
      </c>
      <c r="Q89" s="37"/>
      <c r="R89" s="78">
        <f ca="1">SUM(R84:R88)</f>
        <v>447293.47720700584</v>
      </c>
      <c r="S89" s="37"/>
      <c r="T89" s="78">
        <f ca="1">SUM(T84:T88)</f>
        <v>-15389.21388411652</v>
      </c>
      <c r="U89" s="37"/>
      <c r="V89" s="78">
        <f ca="1">SUM(V84:V88)</f>
        <v>-69681.766113052363</v>
      </c>
      <c r="W89" s="48"/>
      <c r="X89" s="78">
        <f ca="1">SUM(X84:X88)</f>
        <v>362222.49720983696</v>
      </c>
      <c r="Z89" s="49" t="str">
        <f t="shared" ca="1" si="15"/>
        <v/>
      </c>
    </row>
    <row r="90" spans="2:26" ht="13" x14ac:dyDescent="0.3">
      <c r="Z90" s="49" t="str">
        <f t="shared" si="15"/>
        <v/>
      </c>
    </row>
    <row r="91" spans="2:26" ht="13" x14ac:dyDescent="0.3">
      <c r="Z91" s="49" t="str">
        <f t="shared" si="15"/>
        <v/>
      </c>
    </row>
    <row r="92" spans="2:26" ht="13" x14ac:dyDescent="0.3">
      <c r="B92" s="18">
        <f>B89+1</f>
        <v>55</v>
      </c>
      <c r="D92" s="1" t="s">
        <v>78</v>
      </c>
      <c r="F92" s="40">
        <f>F79+F89</f>
        <v>15519249.032609722</v>
      </c>
      <c r="H92" s="40">
        <f>H79+H89</f>
        <v>0</v>
      </c>
      <c r="L92" s="40">
        <f>L79+L89</f>
        <v>15519249.032609722</v>
      </c>
      <c r="P92" s="40">
        <f ca="1">P79+P89</f>
        <v>0</v>
      </c>
      <c r="Q92" s="106"/>
      <c r="R92" s="40">
        <f ca="1">R79+R89</f>
        <v>1128725.1756033166</v>
      </c>
      <c r="S92" s="48"/>
      <c r="T92" s="40">
        <f ca="1">T79+T89</f>
        <v>2606329.5708189611</v>
      </c>
      <c r="U92" s="48"/>
      <c r="V92" s="40">
        <f ca="1">V79+V89</f>
        <v>11784194.28618744</v>
      </c>
      <c r="W92" s="48"/>
      <c r="X92" s="40">
        <f ca="1">X79+X89</f>
        <v>15519249.032609724</v>
      </c>
      <c r="Z92" s="49" t="str">
        <f t="shared" ca="1" si="15"/>
        <v/>
      </c>
    </row>
    <row r="93" spans="2:26" ht="13" x14ac:dyDescent="0.3">
      <c r="F93" s="107"/>
      <c r="Z93" s="49" t="str">
        <f t="shared" si="15"/>
        <v/>
      </c>
    </row>
    <row r="94" spans="2:26" ht="13" x14ac:dyDescent="0.3">
      <c r="Z94" s="49" t="str">
        <f t="shared" si="15"/>
        <v/>
      </c>
    </row>
    <row r="95" spans="2:26" ht="13" x14ac:dyDescent="0.3">
      <c r="B95" s="18">
        <f>B92+1</f>
        <v>56</v>
      </c>
      <c r="D95" s="1" t="s">
        <v>79</v>
      </c>
      <c r="F95" s="82">
        <v>6.0821321807016528E-2</v>
      </c>
      <c r="H95" s="86"/>
      <c r="L95" s="82">
        <f>F95</f>
        <v>6.0821321807016528E-2</v>
      </c>
      <c r="P95" s="82">
        <f>$F$95</f>
        <v>6.0821321807016528E-2</v>
      </c>
      <c r="Q95" s="137"/>
      <c r="R95" s="82">
        <f>$F$95</f>
        <v>6.0821321807016528E-2</v>
      </c>
      <c r="S95" s="137"/>
      <c r="T95" s="82">
        <f>$F$95</f>
        <v>6.0821321807016528E-2</v>
      </c>
      <c r="U95" s="137"/>
      <c r="V95" s="82">
        <f>$F$95</f>
        <v>6.0821321807016528E-2</v>
      </c>
      <c r="X95" s="82">
        <f>$F$95</f>
        <v>6.0821321807016528E-2</v>
      </c>
      <c r="Z95" s="49" t="str">
        <f>IF(ROUND(F95,4)=ROUND(X95,4), "", "check")</f>
        <v/>
      </c>
    </row>
    <row r="96" spans="2:26" ht="13" x14ac:dyDescent="0.3">
      <c r="Z96" s="49" t="str">
        <f t="shared" si="15"/>
        <v/>
      </c>
    </row>
    <row r="97" spans="2:26" ht="13" x14ac:dyDescent="0.3">
      <c r="B97" s="18">
        <f>B95+1</f>
        <v>57</v>
      </c>
      <c r="D97" s="1" t="s">
        <v>80</v>
      </c>
      <c r="F97" s="40">
        <f>F92*F95</f>
        <v>943901.23961558577</v>
      </c>
      <c r="H97" s="40"/>
      <c r="L97" s="40">
        <f>L92*L95</f>
        <v>943901.23961558577</v>
      </c>
      <c r="P97" s="40">
        <f ca="1">P92*P95</f>
        <v>0</v>
      </c>
      <c r="R97" s="40">
        <f ca="1">R92*R95</f>
        <v>68650.557137050564</v>
      </c>
      <c r="T97" s="40">
        <f ca="1">T92*T95</f>
        <v>158520.4095619233</v>
      </c>
      <c r="V97" s="40">
        <f ca="1">V92*V95</f>
        <v>716730.27291661175</v>
      </c>
      <c r="X97" s="78">
        <f t="shared" ref="X97" ca="1" si="23">P97+R97+T97+V97</f>
        <v>943901.23961558565</v>
      </c>
      <c r="Z97" s="49" t="str">
        <f t="shared" ca="1" si="15"/>
        <v/>
      </c>
    </row>
    <row r="98" spans="2:26" ht="13" x14ac:dyDescent="0.3">
      <c r="F98" s="48"/>
      <c r="H98" s="48"/>
      <c r="L98" s="48"/>
      <c r="P98" s="48"/>
      <c r="R98" s="48"/>
      <c r="T98" s="48"/>
      <c r="V98" s="48"/>
      <c r="X98" s="87"/>
      <c r="Z98" s="49" t="str">
        <f t="shared" si="15"/>
        <v/>
      </c>
    </row>
    <row r="99" spans="2:26" ht="13" x14ac:dyDescent="0.3">
      <c r="F99" s="48"/>
      <c r="H99" s="48"/>
      <c r="L99" s="48"/>
      <c r="P99" s="48"/>
      <c r="R99" s="48"/>
      <c r="T99" s="48"/>
      <c r="V99" s="48"/>
      <c r="X99" s="87"/>
      <c r="Z99" s="49" t="str">
        <f t="shared" si="15"/>
        <v/>
      </c>
    </row>
    <row r="100" spans="2:26" ht="13" x14ac:dyDescent="0.3">
      <c r="D100" s="6" t="s">
        <v>81</v>
      </c>
      <c r="Z100" s="49" t="str">
        <f t="shared" si="15"/>
        <v/>
      </c>
    </row>
    <row r="101" spans="2:26" ht="13" x14ac:dyDescent="0.3">
      <c r="Z101" s="49" t="str">
        <f t="shared" si="15"/>
        <v/>
      </c>
    </row>
    <row r="102" spans="2:26" ht="13" x14ac:dyDescent="0.3">
      <c r="B102" s="18">
        <f>B97+1</f>
        <v>58</v>
      </c>
      <c r="D102" s="1" t="s">
        <v>82</v>
      </c>
      <c r="F102" s="48">
        <v>672899.26923475764</v>
      </c>
      <c r="H102" s="48"/>
      <c r="K102" s="70">
        <f>_xlfn.IFNA(MATCH(J102,'Function Factors'!$B$9:$B$455,0),0)</f>
        <v>0</v>
      </c>
      <c r="L102" s="48">
        <f>F102-H102</f>
        <v>672899.26923475764</v>
      </c>
      <c r="N102" s="2" t="s">
        <v>83</v>
      </c>
      <c r="O102" s="70">
        <f>_xlfn.IFNA(MATCH(N102,'Function Factors'!$B$9:$B$455,0),0)</f>
        <v>33</v>
      </c>
      <c r="P102" s="76">
        <f ca="1">OFFSET('Function Factors'!$B$9,$O102-1,P$14)*$L102+OFFSET('Function Factors'!$B$9,$K102-1,P$14)*$H102</f>
        <v>0</v>
      </c>
      <c r="R102" s="76">
        <f ca="1">OFFSET('Function Factors'!$B$9,$O102-1,R$14)*$L102+OFFSET('Function Factors'!$B$9,$K102-1,R$14)*$H102</f>
        <v>24853.346732706683</v>
      </c>
      <c r="S102" s="76"/>
      <c r="T102" s="76">
        <f ca="1">OFFSET('Function Factors'!$B$9,$O102-1,T$14)*$L102+OFFSET('Function Factors'!$B$9,$K102-1,T$14)*$H102</f>
        <v>82421.141572556502</v>
      </c>
      <c r="U102" s="76"/>
      <c r="V102" s="76">
        <f ca="1">OFFSET('Function Factors'!$B$9,$O102-1,V$14)*$L102+OFFSET('Function Factors'!$B$9,$K102-1,V$14)*$H102</f>
        <v>565624.78092949442</v>
      </c>
      <c r="X102" s="76">
        <f t="shared" ref="X102:X103" ca="1" si="24">P102+R102+T102+V102</f>
        <v>672899.26923475764</v>
      </c>
      <c r="Z102" s="49" t="str">
        <f t="shared" ca="1" si="15"/>
        <v/>
      </c>
    </row>
    <row r="103" spans="2:26" ht="13" x14ac:dyDescent="0.3">
      <c r="B103" s="18">
        <f>B102+1</f>
        <v>59</v>
      </c>
      <c r="D103" s="1" t="s">
        <v>56</v>
      </c>
      <c r="F103" s="48">
        <v>57300.730764952459</v>
      </c>
      <c r="H103" s="48"/>
      <c r="K103" s="70">
        <f>_xlfn.IFNA(MATCH(J103,'Function Factors'!$B$9:$B$455,0),0)</f>
        <v>0</v>
      </c>
      <c r="L103" s="48">
        <f>F103-H103</f>
        <v>57300.730764952459</v>
      </c>
      <c r="N103" s="2" t="s">
        <v>57</v>
      </c>
      <c r="O103" s="70">
        <f>_xlfn.IFNA(MATCH(N103,'Function Factors'!$B$9:$B$455,0),0)</f>
        <v>45</v>
      </c>
      <c r="P103" s="76">
        <f ca="1">OFFSET('Function Factors'!$B$9,$O103-1,P$14)*$L103+OFFSET('Function Factors'!$B$9,$K103-1,P$14)*$H103</f>
        <v>0</v>
      </c>
      <c r="R103" s="76">
        <f ca="1">OFFSET('Function Factors'!$B$9,$O103-1,R$14)*$L103+OFFSET('Function Factors'!$B$9,$K103-1,R$14)*$H103</f>
        <v>3002.3106592115464</v>
      </c>
      <c r="S103" s="76"/>
      <c r="T103" s="76">
        <f ca="1">OFFSET('Function Factors'!$B$9,$O103-1,T$14)*$L103+OFFSET('Function Factors'!$B$9,$K103-1,T$14)*$H103</f>
        <v>7071.8904647083718</v>
      </c>
      <c r="U103" s="76"/>
      <c r="V103" s="76">
        <f ca="1">OFFSET('Function Factors'!$B$9,$O103-1,V$14)*$L103+OFFSET('Function Factors'!$B$9,$K103-1,V$14)*$H103</f>
        <v>47226.529641032546</v>
      </c>
      <c r="X103" s="76">
        <f t="shared" ca="1" si="24"/>
        <v>57300.730764952466</v>
      </c>
      <c r="Z103" s="49" t="str">
        <f t="shared" ca="1" si="15"/>
        <v/>
      </c>
    </row>
    <row r="104" spans="2:26" ht="13" x14ac:dyDescent="0.3">
      <c r="B104" s="18">
        <f>B103+1</f>
        <v>60</v>
      </c>
      <c r="D104" s="1" t="s">
        <v>84</v>
      </c>
      <c r="F104" s="40">
        <f>SUM(F102:F103)</f>
        <v>730199.99999971013</v>
      </c>
      <c r="H104" s="40">
        <f>SUM(H102:H103)</f>
        <v>0</v>
      </c>
      <c r="L104" s="40">
        <f>SUM(L102:L103)</f>
        <v>730199.99999971013</v>
      </c>
      <c r="P104" s="78">
        <f ca="1">SUM(P102:P103)</f>
        <v>0</v>
      </c>
      <c r="R104" s="78">
        <f ca="1">SUM(R102:R103)</f>
        <v>27855.65739191823</v>
      </c>
      <c r="T104" s="78">
        <f ca="1">SUM(T102:T103)</f>
        <v>89493.032037264871</v>
      </c>
      <c r="V104" s="78">
        <f ca="1">SUM(V102:V103)</f>
        <v>612851.31057052698</v>
      </c>
      <c r="X104" s="78">
        <f ca="1">SUM(X102:X103)</f>
        <v>730199.99999971013</v>
      </c>
      <c r="Z104" s="49" t="str">
        <f t="shared" ca="1" si="15"/>
        <v/>
      </c>
    </row>
    <row r="105" spans="2:26" ht="13" x14ac:dyDescent="0.3">
      <c r="Z105" s="49" t="str">
        <f t="shared" si="15"/>
        <v/>
      </c>
    </row>
    <row r="106" spans="2:26" ht="13" x14ac:dyDescent="0.3">
      <c r="D106" s="6" t="s">
        <v>85</v>
      </c>
      <c r="F106" s="48"/>
      <c r="H106" s="48"/>
      <c r="L106" s="48"/>
      <c r="P106" s="48"/>
      <c r="R106" s="48"/>
      <c r="T106" s="48"/>
      <c r="V106" s="48"/>
      <c r="X106" s="87"/>
      <c r="Z106" s="49" t="str">
        <f t="shared" si="15"/>
        <v/>
      </c>
    </row>
    <row r="107" spans="2:26" ht="13" x14ac:dyDescent="0.3">
      <c r="F107" s="48"/>
      <c r="H107" s="48"/>
      <c r="L107" s="48"/>
      <c r="P107" s="48"/>
      <c r="R107" s="48"/>
      <c r="T107" s="48"/>
      <c r="V107" s="48"/>
      <c r="X107" s="87"/>
      <c r="Z107" s="49" t="str">
        <f t="shared" si="15"/>
        <v/>
      </c>
    </row>
    <row r="108" spans="2:26" ht="13" x14ac:dyDescent="0.3">
      <c r="B108" s="18">
        <f>B104+1</f>
        <v>61</v>
      </c>
      <c r="D108" s="1" t="s">
        <v>86</v>
      </c>
      <c r="F108" s="48">
        <v>121807.67104598368</v>
      </c>
      <c r="H108" s="48"/>
      <c r="K108" s="70">
        <f>_xlfn.IFNA(MATCH(J108,'Function Factors'!$B$9:$B$455,0),0)</f>
        <v>0</v>
      </c>
      <c r="L108" s="48">
        <f>F108-H108</f>
        <v>121807.67104598368</v>
      </c>
      <c r="N108" s="2" t="s">
        <v>87</v>
      </c>
      <c r="O108" s="70">
        <f>_xlfn.IFNA(MATCH(N108,'Function Factors'!$B$9:$B$455,0),0)</f>
        <v>90</v>
      </c>
      <c r="P108" s="76">
        <f ca="1">OFFSET('Function Factors'!$B$9,$O108-1,P$14)*$L108+OFFSET('Function Factors'!$B$9,$K108-1,P$14)*$H108</f>
        <v>0</v>
      </c>
      <c r="R108" s="76">
        <f ca="1">OFFSET('Function Factors'!$B$9,$O108-1,R$14)*$L108+OFFSET('Function Factors'!$B$9,$K108-1,R$14)*$H108</f>
        <v>8859.1519217401892</v>
      </c>
      <c r="S108" s="76"/>
      <c r="T108" s="76">
        <f ca="1">OFFSET('Function Factors'!$B$9,$O108-1,T$14)*$L108+OFFSET('Function Factors'!$B$9,$K108-1,T$14)*$H108</f>
        <v>20456.591316541941</v>
      </c>
      <c r="U108" s="76"/>
      <c r="V108" s="76">
        <f ca="1">OFFSET('Function Factors'!$B$9,$O108-1,V$14)*$L108+OFFSET('Function Factors'!$B$9,$K108-1,V$14)*$H108</f>
        <v>92491.927807701548</v>
      </c>
      <c r="X108" s="76">
        <f ca="1">P108+R108+T108+V108</f>
        <v>121807.67104598368</v>
      </c>
      <c r="Z108" s="49" t="str">
        <f t="shared" ca="1" si="15"/>
        <v/>
      </c>
    </row>
    <row r="109" spans="2:26" ht="13" x14ac:dyDescent="0.3">
      <c r="B109" s="18">
        <f>B108+1</f>
        <v>62</v>
      </c>
      <c r="D109" s="1" t="s">
        <v>88</v>
      </c>
      <c r="F109" s="48">
        <v>125582.50292039152</v>
      </c>
      <c r="H109" s="48"/>
      <c r="K109" s="70">
        <f>_xlfn.IFNA(MATCH(J109,'Function Factors'!$B$9:$B$455,0),0)</f>
        <v>0</v>
      </c>
      <c r="L109" s="48">
        <f>F109-H109</f>
        <v>125582.50292039152</v>
      </c>
      <c r="N109" s="2" t="s">
        <v>89</v>
      </c>
      <c r="O109" s="70">
        <f>_xlfn.IFNA(MATCH(N109,'Function Factors'!$B$9:$B$455,0),0)</f>
        <v>87</v>
      </c>
      <c r="P109" s="76">
        <f ca="1">OFFSET('Function Factors'!$B$9,$O109-1,P$14)*$L109+OFFSET('Function Factors'!$B$9,$K109-1,P$14)*$H109</f>
        <v>0</v>
      </c>
      <c r="R109" s="76">
        <f ca="1">OFFSET('Function Factors'!$B$9,$O109-1,R$14)*$L109+OFFSET('Function Factors'!$B$9,$K109-1,R$14)*$H109</f>
        <v>4332.8583914291694</v>
      </c>
      <c r="S109" s="76"/>
      <c r="T109" s="76">
        <f ca="1">OFFSET('Function Factors'!$B$9,$O109-1,T$14)*$L109+OFFSET('Function Factors'!$B$9,$K109-1,T$14)*$H109</f>
        <v>25970.862333656336</v>
      </c>
      <c r="U109" s="76"/>
      <c r="V109" s="76">
        <f ca="1">OFFSET('Function Factors'!$B$9,$O109-1,V$14)*$L109+OFFSET('Function Factors'!$B$9,$K109-1,V$14)*$H109</f>
        <v>95278.782195306019</v>
      </c>
      <c r="W109" s="30"/>
      <c r="X109" s="76">
        <f ca="1">P109+R109+T109+V109</f>
        <v>125582.50292039153</v>
      </c>
      <c r="Z109" s="49" t="str">
        <f t="shared" ca="1" si="15"/>
        <v/>
      </c>
    </row>
    <row r="110" spans="2:26" ht="13" x14ac:dyDescent="0.3">
      <c r="B110" s="18">
        <f>B109+1</f>
        <v>63</v>
      </c>
      <c r="D110" s="1" t="s">
        <v>90</v>
      </c>
      <c r="F110" s="40">
        <f>SUM(F108:F109)</f>
        <v>247390.17396637518</v>
      </c>
      <c r="H110" s="40">
        <f>SUM(H108:H109)</f>
        <v>0</v>
      </c>
      <c r="L110" s="40">
        <f>SUM(L108:L109)</f>
        <v>247390.17396637518</v>
      </c>
      <c r="P110" s="78">
        <f ca="1">SUM(P108:P109)</f>
        <v>0</v>
      </c>
      <c r="R110" s="78">
        <f ca="1">SUM(R108:R109)</f>
        <v>13192.010313169358</v>
      </c>
      <c r="T110" s="78">
        <f ca="1">SUM(T108:T109)</f>
        <v>46427.45365019828</v>
      </c>
      <c r="V110" s="78">
        <f ca="1">SUM(V108:V109)</f>
        <v>187770.71000300755</v>
      </c>
      <c r="X110" s="78">
        <f ca="1">SUM(X108:X109)</f>
        <v>247390.17396637521</v>
      </c>
      <c r="Z110" s="49" t="str">
        <f t="shared" ca="1" si="15"/>
        <v/>
      </c>
    </row>
    <row r="111" spans="2:26" ht="13" x14ac:dyDescent="0.3">
      <c r="Z111" s="49" t="str">
        <f t="shared" si="15"/>
        <v/>
      </c>
    </row>
    <row r="112" spans="2:26" ht="13" x14ac:dyDescent="0.3">
      <c r="Z112" s="49" t="str">
        <f t="shared" si="15"/>
        <v/>
      </c>
    </row>
    <row r="113" spans="2:40" ht="13" x14ac:dyDescent="0.3">
      <c r="D113" s="6" t="s">
        <v>91</v>
      </c>
      <c r="Z113" s="49" t="str">
        <f t="shared" si="15"/>
        <v/>
      </c>
      <c r="AC113" s="2" t="s">
        <v>92</v>
      </c>
      <c r="AD113" s="18" t="s">
        <v>93</v>
      </c>
    </row>
    <row r="114" spans="2:40" ht="13" x14ac:dyDescent="0.3">
      <c r="F114" s="48"/>
      <c r="Z114" s="49" t="str">
        <f t="shared" si="15"/>
        <v/>
      </c>
      <c r="AC114" s="33" t="s">
        <v>94</v>
      </c>
      <c r="AD114" s="4" t="s">
        <v>95</v>
      </c>
      <c r="AF114" s="4" t="s">
        <v>96</v>
      </c>
      <c r="AG114" s="18"/>
      <c r="AH114" s="4" t="s">
        <v>18</v>
      </c>
      <c r="AI114" s="18"/>
      <c r="AJ114" s="4" t="s">
        <v>19</v>
      </c>
      <c r="AK114" s="18"/>
      <c r="AL114" s="4" t="s">
        <v>20</v>
      </c>
      <c r="AN114" s="4" t="s">
        <v>2</v>
      </c>
    </row>
    <row r="115" spans="2:40" ht="13" x14ac:dyDescent="0.3">
      <c r="D115" s="1" t="s">
        <v>17</v>
      </c>
      <c r="Z115" s="49" t="str">
        <f t="shared" si="15"/>
        <v/>
      </c>
    </row>
    <row r="116" spans="2:40" ht="13" x14ac:dyDescent="0.3">
      <c r="B116" s="18">
        <f>B110+1</f>
        <v>64</v>
      </c>
      <c r="D116" s="35" t="s">
        <v>97</v>
      </c>
      <c r="F116" s="76">
        <v>2247538.0139059885</v>
      </c>
      <c r="H116" s="76"/>
      <c r="K116" s="70">
        <f>_xlfn.IFNA(MATCH(J116,'Function Factors'!$B$9:$B$455,0),0)</f>
        <v>0</v>
      </c>
      <c r="L116" s="48">
        <f t="shared" ref="L116:L159" si="25">F116-H116</f>
        <v>2247538.0139059885</v>
      </c>
      <c r="N116" s="2" t="s">
        <v>98</v>
      </c>
      <c r="O116" s="70">
        <f>_xlfn.IFNA(MATCH(N116,'Function Factors'!$B$9:$B$455,0),0)</f>
        <v>39</v>
      </c>
      <c r="P116" s="76">
        <f ca="1">OFFSET('Function Factors'!$B$9,$O116-1,P$14)*$L116+OFFSET('Function Factors'!$B$9,$K116-1,P$14)*$H116</f>
        <v>2247538.0139059885</v>
      </c>
      <c r="R116" s="76">
        <f ca="1">OFFSET('Function Factors'!$B$9,$O116-1,R$14)*$L116+OFFSET('Function Factors'!$B$9,$K116-1,R$14)*$H116</f>
        <v>0</v>
      </c>
      <c r="S116" s="76"/>
      <c r="T116" s="76">
        <f ca="1">OFFSET('Function Factors'!$B$9,$O116-1,T$14)*$L116+OFFSET('Function Factors'!$B$9,$K116-1,T$14)*$H116</f>
        <v>0</v>
      </c>
      <c r="U116" s="76"/>
      <c r="V116" s="76">
        <f ca="1">OFFSET('Function Factors'!$B$9,$O116-1,V$14)*$L116+OFFSET('Function Factors'!$B$9,$K116-1,V$14)*$H116</f>
        <v>0</v>
      </c>
      <c r="X116" s="76">
        <f t="shared" ref="X116:X131" ca="1" si="26">P116+R116+T116+V116</f>
        <v>2247538.0139059885</v>
      </c>
      <c r="Z116" s="49" t="str">
        <f t="shared" ca="1" si="15"/>
        <v/>
      </c>
      <c r="AC116" s="138">
        <v>0</v>
      </c>
      <c r="AD116" s="36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ht="13" x14ac:dyDescent="0.3">
      <c r="B117" s="18">
        <f t="shared" ref="B117:B122" si="27">B116+1</f>
        <v>65</v>
      </c>
      <c r="D117" s="35" t="s">
        <v>99</v>
      </c>
      <c r="F117" s="76">
        <v>24266.29553468162</v>
      </c>
      <c r="H117" s="76"/>
      <c r="K117" s="70">
        <f>_xlfn.IFNA(MATCH(J117,'Function Factors'!$B$9:$B$455,0),0)</f>
        <v>0</v>
      </c>
      <c r="L117" s="48">
        <f t="shared" si="25"/>
        <v>24266.29553468162</v>
      </c>
      <c r="N117" s="2" t="s">
        <v>100</v>
      </c>
      <c r="O117" s="70">
        <f>_xlfn.IFNA(MATCH(N117,'Function Factors'!$B$9:$B$455,0),0)</f>
        <v>21</v>
      </c>
      <c r="P117" s="76">
        <f ca="1">OFFSET('Function Factors'!$B$9,$O117-1,P$14)*$L117+OFFSET('Function Factors'!$B$9,$K117-1,P$14)*$H117</f>
        <v>0</v>
      </c>
      <c r="R117" s="76">
        <f ca="1">OFFSET('Function Factors'!$B$9,$O117-1,R$14)*$L117+OFFSET('Function Factors'!$B$9,$K117-1,R$14)*$H117</f>
        <v>5732.3451488280325</v>
      </c>
      <c r="S117" s="76"/>
      <c r="T117" s="76">
        <f ca="1">OFFSET('Function Factors'!$B$9,$O117-1,T$14)*$L117+OFFSET('Function Factors'!$B$9,$K117-1,T$14)*$H117</f>
        <v>18533.95038585359</v>
      </c>
      <c r="U117" s="76"/>
      <c r="V117" s="76">
        <f ca="1">OFFSET('Function Factors'!$B$9,$O117-1,V$14)*$L117+OFFSET('Function Factors'!$B$9,$K117-1,V$14)*$H117</f>
        <v>0</v>
      </c>
      <c r="X117" s="76">
        <f t="shared" ca="1" si="26"/>
        <v>24266.295534681623</v>
      </c>
      <c r="Z117" s="49" t="str">
        <f t="shared" ca="1" si="15"/>
        <v/>
      </c>
      <c r="AC117" s="138">
        <v>0</v>
      </c>
      <c r="AD117" s="36">
        <f t="shared" ref="AD117:AD122" si="28">IFERROR(AC117/F117,0)</f>
        <v>0</v>
      </c>
      <c r="AF117" s="8">
        <f t="shared" ref="AF117:AF157" ca="1" si="29">$AD117*P117</f>
        <v>0</v>
      </c>
      <c r="AH117" s="8">
        <f t="shared" ref="AH117:AH157" ca="1" si="30">$AD117*R117</f>
        <v>0</v>
      </c>
      <c r="AJ117" s="8">
        <f t="shared" ref="AJ117:AJ157" ca="1" si="31">$AD117*T117</f>
        <v>0</v>
      </c>
      <c r="AL117" s="8">
        <f t="shared" ref="AL117:AL157" ca="1" si="32">$AD117*V117</f>
        <v>0</v>
      </c>
      <c r="AN117" s="8">
        <f t="shared" ref="AN117:AN160" ca="1" si="33">SUM(AF117:AL117)</f>
        <v>0</v>
      </c>
    </row>
    <row r="118" spans="2:40" ht="13" x14ac:dyDescent="0.3">
      <c r="B118" s="18">
        <f t="shared" si="27"/>
        <v>66</v>
      </c>
      <c r="D118" s="35" t="s">
        <v>101</v>
      </c>
      <c r="F118" s="76">
        <v>34752.348132451392</v>
      </c>
      <c r="H118" s="76"/>
      <c r="K118" s="70">
        <f>_xlfn.IFNA(MATCH(J118,'Function Factors'!$B$9:$B$455,0),0)</f>
        <v>0</v>
      </c>
      <c r="L118" s="48">
        <f t="shared" si="25"/>
        <v>34752.348132451392</v>
      </c>
      <c r="N118" s="2" t="s">
        <v>102</v>
      </c>
      <c r="O118" s="70">
        <f>_xlfn.IFNA(MATCH(N118,'Function Factors'!$B$9:$B$455,0),0)</f>
        <v>108</v>
      </c>
      <c r="P118" s="76">
        <f ca="1">OFFSET('Function Factors'!$B$9,$O118-1,P$14)*$L118+OFFSET('Function Factors'!$B$9,$K118-1,P$14)*$H118</f>
        <v>0</v>
      </c>
      <c r="R118" s="76">
        <f ca="1">OFFSET('Function Factors'!$B$9,$O118-1,R$14)*$L118+OFFSET('Function Factors'!$B$9,$K118-1,R$14)*$H118</f>
        <v>7509.5133219631934</v>
      </c>
      <c r="S118" s="76"/>
      <c r="T118" s="76">
        <f ca="1">OFFSET('Function Factors'!$B$9,$O118-1,T$14)*$L118+OFFSET('Function Factors'!$B$9,$K118-1,T$14)*$H118</f>
        <v>10628.242000188779</v>
      </c>
      <c r="U118" s="76"/>
      <c r="V118" s="76">
        <f ca="1">OFFSET('Function Factors'!$B$9,$O118-1,V$14)*$L118+OFFSET('Function Factors'!$B$9,$K118-1,V$14)*$H118</f>
        <v>16614.592810299422</v>
      </c>
      <c r="X118" s="76">
        <f t="shared" ca="1" si="26"/>
        <v>34752.348132451392</v>
      </c>
      <c r="Z118" s="49" t="str">
        <f t="shared" ca="1" si="15"/>
        <v/>
      </c>
      <c r="AC118" s="138">
        <v>0</v>
      </c>
      <c r="AD118" s="36">
        <f t="shared" si="28"/>
        <v>0</v>
      </c>
      <c r="AF118" s="8">
        <f t="shared" ca="1" si="29"/>
        <v>0</v>
      </c>
      <c r="AH118" s="8">
        <f t="shared" ca="1" si="30"/>
        <v>0</v>
      </c>
      <c r="AJ118" s="8">
        <f t="shared" ca="1" si="31"/>
        <v>0</v>
      </c>
      <c r="AL118" s="8">
        <f t="shared" ca="1" si="32"/>
        <v>0</v>
      </c>
      <c r="AN118" s="8">
        <f t="shared" ca="1" si="33"/>
        <v>0</v>
      </c>
    </row>
    <row r="119" spans="2:40" ht="13" x14ac:dyDescent="0.3">
      <c r="B119" s="18">
        <f t="shared" si="27"/>
        <v>67</v>
      </c>
      <c r="D119" s="35" t="s">
        <v>103</v>
      </c>
      <c r="F119" s="76">
        <v>2669.6763905361131</v>
      </c>
      <c r="H119" s="76"/>
      <c r="K119" s="70">
        <f>_xlfn.IFNA(MATCH(J119,'Function Factors'!$B$9:$B$455,0),0)</f>
        <v>0</v>
      </c>
      <c r="L119" s="48">
        <f t="shared" si="25"/>
        <v>2669.6763905361131</v>
      </c>
      <c r="N119" s="2" t="s">
        <v>104</v>
      </c>
      <c r="O119" s="70">
        <f>_xlfn.IFNA(MATCH(N119,'Function Factors'!$B$9:$B$455,0),0)</f>
        <v>84</v>
      </c>
      <c r="P119" s="76">
        <f ca="1">OFFSET('Function Factors'!$B$9,$O119-1,P$14)*$L119+OFFSET('Function Factors'!$B$9,$K119-1,P$14)*$H119</f>
        <v>0</v>
      </c>
      <c r="R119" s="76">
        <f ca="1">OFFSET('Function Factors'!$B$9,$O119-1,R$14)*$L119+OFFSET('Function Factors'!$B$9,$K119-1,R$14)*$H119</f>
        <v>192.8819400195122</v>
      </c>
      <c r="S119" s="76"/>
      <c r="T119" s="76">
        <f ca="1">OFFSET('Function Factors'!$B$9,$O119-1,T$14)*$L119+OFFSET('Function Factors'!$B$9,$K119-1,T$14)*$H119</f>
        <v>751.50387464030882</v>
      </c>
      <c r="U119" s="76"/>
      <c r="V119" s="76">
        <f ca="1">OFFSET('Function Factors'!$B$9,$O119-1,V$14)*$L119+OFFSET('Function Factors'!$B$9,$K119-1,V$14)*$H119</f>
        <v>1725.290575876292</v>
      </c>
      <c r="X119" s="76">
        <f t="shared" ca="1" si="26"/>
        <v>2669.6763905361131</v>
      </c>
      <c r="Z119" s="49"/>
      <c r="AC119" s="138">
        <v>0</v>
      </c>
      <c r="AD119" s="36">
        <f t="shared" si="28"/>
        <v>0</v>
      </c>
      <c r="AF119" s="8">
        <f t="shared" ca="1" si="29"/>
        <v>0</v>
      </c>
      <c r="AH119" s="8">
        <f t="shared" ca="1" si="30"/>
        <v>0</v>
      </c>
      <c r="AJ119" s="8">
        <f t="shared" ca="1" si="31"/>
        <v>0</v>
      </c>
      <c r="AL119" s="8">
        <f t="shared" ca="1" si="32"/>
        <v>0</v>
      </c>
      <c r="AN119" s="8">
        <f t="shared" ca="1" si="33"/>
        <v>0</v>
      </c>
    </row>
    <row r="120" spans="2:40" ht="13" x14ac:dyDescent="0.3">
      <c r="B120" s="18">
        <f t="shared" si="27"/>
        <v>68</v>
      </c>
      <c r="D120" s="35" t="s">
        <v>105</v>
      </c>
      <c r="F120" s="76">
        <v>13946.739835347375</v>
      </c>
      <c r="H120" s="76"/>
      <c r="K120" s="70">
        <f>_xlfn.IFNA(MATCH(J120,'Function Factors'!$B$9:$B$455,0),0)</f>
        <v>0</v>
      </c>
      <c r="L120" s="48">
        <f t="shared" si="25"/>
        <v>13946.739835347375</v>
      </c>
      <c r="N120" s="2" t="s">
        <v>46</v>
      </c>
      <c r="O120" s="70">
        <f>_xlfn.IFNA(MATCH(N120,'Function Factors'!$B$9:$B$455,0),0)</f>
        <v>96</v>
      </c>
      <c r="P120" s="76">
        <f ca="1">OFFSET('Function Factors'!$B$9,$O120-1,P$14)*$L120+OFFSET('Function Factors'!$B$9,$K120-1,P$14)*$H120</f>
        <v>0</v>
      </c>
      <c r="R120" s="76">
        <f ca="1">OFFSET('Function Factors'!$B$9,$O120-1,R$14)*$L120+OFFSET('Function Factors'!$B$9,$K120-1,R$14)*$H120</f>
        <v>13946.739835347375</v>
      </c>
      <c r="S120" s="76"/>
      <c r="T120" s="76">
        <f ca="1">OFFSET('Function Factors'!$B$9,$O120-1,T$14)*$L120+OFFSET('Function Factors'!$B$9,$K120-1,T$14)*$H120</f>
        <v>0</v>
      </c>
      <c r="U120" s="76"/>
      <c r="V120" s="76">
        <f ca="1">OFFSET('Function Factors'!$B$9,$O120-1,V$14)*$L120+OFFSET('Function Factors'!$B$9,$K120-1,V$14)*$H120</f>
        <v>0</v>
      </c>
      <c r="X120" s="76">
        <f t="shared" ca="1" si="26"/>
        <v>13946.739835347375</v>
      </c>
      <c r="Z120" s="49" t="str">
        <f t="shared" ca="1" si="15"/>
        <v/>
      </c>
      <c r="AC120" s="138">
        <v>0</v>
      </c>
      <c r="AD120" s="36">
        <f t="shared" si="28"/>
        <v>0</v>
      </c>
      <c r="AF120" s="8">
        <f t="shared" ca="1" si="29"/>
        <v>0</v>
      </c>
      <c r="AH120" s="8">
        <f t="shared" ca="1" si="30"/>
        <v>0</v>
      </c>
      <c r="AJ120" s="8">
        <f t="shared" ca="1" si="31"/>
        <v>0</v>
      </c>
      <c r="AL120" s="8">
        <f t="shared" ca="1" si="32"/>
        <v>0</v>
      </c>
      <c r="AN120" s="8">
        <f t="shared" ca="1" si="33"/>
        <v>0</v>
      </c>
    </row>
    <row r="121" spans="2:40" ht="13" x14ac:dyDescent="0.3">
      <c r="B121" s="18">
        <f t="shared" si="27"/>
        <v>69</v>
      </c>
      <c r="D121" s="35" t="s">
        <v>106</v>
      </c>
      <c r="F121" s="76">
        <v>15221.404780000001</v>
      </c>
      <c r="H121" s="76"/>
      <c r="K121" s="70">
        <f>_xlfn.IFNA(MATCH(J121,'Function Factors'!$B$9:$B$455,0),0)</f>
        <v>0</v>
      </c>
      <c r="L121" s="48">
        <f>F121-H121</f>
        <v>15221.404780000001</v>
      </c>
      <c r="N121" s="2" t="s">
        <v>107</v>
      </c>
      <c r="O121" s="70">
        <f>_xlfn.IFNA(MATCH(N121,'Function Factors'!$B$9:$B$455,0),0)</f>
        <v>105</v>
      </c>
      <c r="P121" s="76">
        <f ca="1">OFFSET('Function Factors'!$B$9,$O121-1,P$14)*$L121+OFFSET('Function Factors'!$B$9,$K121-1,P$14)*$H121</f>
        <v>0</v>
      </c>
      <c r="R121" s="76">
        <f ca="1">OFFSET('Function Factors'!$B$9,$O121-1,R$14)*$L121+OFFSET('Function Factors'!$B$9,$K121-1,R$14)*$H121</f>
        <v>0</v>
      </c>
      <c r="S121" s="76"/>
      <c r="T121" s="76">
        <f ca="1">OFFSET('Function Factors'!$B$9,$O121-1,T$14)*$L121+OFFSET('Function Factors'!$B$9,$K121-1,T$14)*$H121</f>
        <v>15221.404780000001</v>
      </c>
      <c r="U121" s="76"/>
      <c r="V121" s="76">
        <f ca="1">OFFSET('Function Factors'!$B$9,$O121-1,V$14)*$L121+OFFSET('Function Factors'!$B$9,$K121-1,V$14)*$H121</f>
        <v>0</v>
      </c>
      <c r="X121" s="76">
        <f t="shared" ca="1" si="26"/>
        <v>15221.404780000001</v>
      </c>
      <c r="Z121" s="49" t="str">
        <f t="shared" ca="1" si="15"/>
        <v/>
      </c>
      <c r="AC121" s="138">
        <v>0</v>
      </c>
      <c r="AD121" s="36">
        <f t="shared" si="28"/>
        <v>0</v>
      </c>
      <c r="AF121" s="8">
        <f t="shared" ca="1" si="29"/>
        <v>0</v>
      </c>
      <c r="AH121" s="8">
        <f t="shared" ca="1" si="30"/>
        <v>0</v>
      </c>
      <c r="AJ121" s="8">
        <f t="shared" ca="1" si="31"/>
        <v>0</v>
      </c>
      <c r="AL121" s="8">
        <f t="shared" ca="1" si="32"/>
        <v>0</v>
      </c>
      <c r="AN121" s="8">
        <f t="shared" ca="1" si="33"/>
        <v>0</v>
      </c>
    </row>
    <row r="122" spans="2:40" ht="13" x14ac:dyDescent="0.3">
      <c r="B122" s="18">
        <f t="shared" si="27"/>
        <v>70</v>
      </c>
      <c r="D122" s="35" t="s">
        <v>108</v>
      </c>
      <c r="F122" s="76">
        <v>12004.512029052725</v>
      </c>
      <c r="H122" s="76"/>
      <c r="K122" s="70">
        <f>_xlfn.IFNA(MATCH(J122,'Function Factors'!$B$9:$B$455,0),0)</f>
        <v>0</v>
      </c>
      <c r="L122" s="48">
        <f t="shared" si="25"/>
        <v>12004.512029052725</v>
      </c>
      <c r="N122" s="2" t="s">
        <v>109</v>
      </c>
      <c r="O122" s="70">
        <f>_xlfn.IFNA(MATCH(N122,'Function Factors'!$B$9:$B$455,0),0)</f>
        <v>48</v>
      </c>
      <c r="P122" s="76">
        <f ca="1">OFFSET('Function Factors'!$B$9,$O122-1,P$14)*$L122+OFFSET('Function Factors'!$B$9,$K122-1,P$14)*$H122</f>
        <v>0</v>
      </c>
      <c r="R122" s="76">
        <f ca="1">OFFSET('Function Factors'!$B$9,$O122-1,R$14)*$L122+OFFSET('Function Factors'!$B$9,$K122-1,R$14)*$H122</f>
        <v>0</v>
      </c>
      <c r="S122" s="76"/>
      <c r="T122" s="76">
        <f ca="1">OFFSET('Function Factors'!$B$9,$O122-1,T$14)*$L122+OFFSET('Function Factors'!$B$9,$K122-1,T$14)*$H122</f>
        <v>1294.5219427863499</v>
      </c>
      <c r="U122" s="76"/>
      <c r="V122" s="76">
        <f ca="1">OFFSET('Function Factors'!$B$9,$O122-1,V$14)*$L122+OFFSET('Function Factors'!$B$9,$K122-1,V$14)*$H122</f>
        <v>10709.990086266376</v>
      </c>
      <c r="X122" s="76">
        <f t="shared" ca="1" si="26"/>
        <v>12004.512029052727</v>
      </c>
      <c r="Z122" s="49" t="str">
        <f t="shared" ca="1" si="15"/>
        <v/>
      </c>
      <c r="AC122" s="138">
        <v>0</v>
      </c>
      <c r="AD122" s="36">
        <f t="shared" si="28"/>
        <v>0</v>
      </c>
      <c r="AF122" s="8">
        <f t="shared" ca="1" si="29"/>
        <v>0</v>
      </c>
      <c r="AH122" s="8">
        <f t="shared" ca="1" si="30"/>
        <v>0</v>
      </c>
      <c r="AJ122" s="8">
        <f t="shared" ca="1" si="31"/>
        <v>0</v>
      </c>
      <c r="AL122" s="8">
        <f t="shared" ca="1" si="32"/>
        <v>0</v>
      </c>
      <c r="AN122" s="8">
        <f t="shared" ca="1" si="33"/>
        <v>0</v>
      </c>
    </row>
    <row r="123" spans="2:40" ht="13" x14ac:dyDescent="0.3">
      <c r="D123" s="1" t="s">
        <v>18</v>
      </c>
      <c r="K123" s="70"/>
      <c r="Z123" s="49" t="str">
        <f t="shared" si="15"/>
        <v/>
      </c>
      <c r="AF123" s="8"/>
      <c r="AH123" s="8"/>
      <c r="AJ123" s="8"/>
      <c r="AL123" s="8"/>
      <c r="AN123" s="8"/>
    </row>
    <row r="124" spans="2:40" ht="13" x14ac:dyDescent="0.3">
      <c r="B124" s="18">
        <f>B122+1</f>
        <v>71</v>
      </c>
      <c r="D124" s="35" t="s">
        <v>110</v>
      </c>
      <c r="F124" s="76">
        <v>1640.1810497976596</v>
      </c>
      <c r="H124" s="76"/>
      <c r="K124" s="70">
        <f>_xlfn.IFNA(MATCH(J124,'Function Factors'!$B$9:$B$455,0),0)</f>
        <v>0</v>
      </c>
      <c r="L124" s="48">
        <f t="shared" si="25"/>
        <v>1640.1810497976596</v>
      </c>
      <c r="N124" s="2" t="s">
        <v>46</v>
      </c>
      <c r="O124" s="70">
        <f>_xlfn.IFNA(MATCH(N124,'Function Factors'!$B$9:$B$455,0),0)</f>
        <v>96</v>
      </c>
      <c r="P124" s="76">
        <f ca="1">OFFSET('Function Factors'!$B$9,$O124-1,P$14)*$L124+OFFSET('Function Factors'!$B$9,$K124-1,P$14)*$H124</f>
        <v>0</v>
      </c>
      <c r="R124" s="76">
        <f ca="1">OFFSET('Function Factors'!$B$9,$O124-1,R$14)*$L124+OFFSET('Function Factors'!$B$9,$K124-1,R$14)*$H124</f>
        <v>1640.1810497976596</v>
      </c>
      <c r="S124" s="76"/>
      <c r="T124" s="76">
        <f ca="1">OFFSET('Function Factors'!$B$9,$O124-1,T$14)*$L124+OFFSET('Function Factors'!$B$9,$K124-1,T$14)*$H124</f>
        <v>0</v>
      </c>
      <c r="U124" s="76"/>
      <c r="V124" s="76">
        <f ca="1">OFFSET('Function Factors'!$B$9,$O124-1,V$14)*$L124+OFFSET('Function Factors'!$B$9,$K124-1,V$14)*$H124</f>
        <v>0</v>
      </c>
      <c r="X124" s="76">
        <f t="shared" ca="1" si="26"/>
        <v>1640.1810497976596</v>
      </c>
      <c r="Z124" s="49" t="str">
        <f t="shared" ca="1" si="15"/>
        <v/>
      </c>
      <c r="AC124" s="89">
        <v>579.59980981929994</v>
      </c>
      <c r="AD124" s="36">
        <f>IFERROR(AC124/F124,0)</f>
        <v>0.35337550686297836</v>
      </c>
      <c r="AF124" s="8">
        <f t="shared" ca="1" si="29"/>
        <v>0</v>
      </c>
      <c r="AH124" s="8">
        <f t="shared" ca="1" si="30"/>
        <v>579.59980981929994</v>
      </c>
      <c r="AJ124" s="8">
        <f t="shared" ca="1" si="31"/>
        <v>0</v>
      </c>
      <c r="AL124" s="8">
        <f t="shared" ca="1" si="32"/>
        <v>0</v>
      </c>
      <c r="AN124" s="8">
        <f t="shared" ca="1" si="33"/>
        <v>579.59980981929994</v>
      </c>
    </row>
    <row r="125" spans="2:40" ht="13" x14ac:dyDescent="0.3">
      <c r="B125" s="18">
        <f t="shared" ref="B125:B131" si="34">B124+1</f>
        <v>72</v>
      </c>
      <c r="D125" s="35" t="s">
        <v>111</v>
      </c>
      <c r="F125" s="76">
        <v>17097.195056345034</v>
      </c>
      <c r="H125" s="76"/>
      <c r="K125" s="70">
        <f>_xlfn.IFNA(MATCH(J125,'Function Factors'!$B$9:$B$455,0),0)</f>
        <v>0</v>
      </c>
      <c r="L125" s="48">
        <f t="shared" si="25"/>
        <v>17097.195056345034</v>
      </c>
      <c r="N125" s="2" t="s">
        <v>112</v>
      </c>
      <c r="O125" s="70">
        <f>_xlfn.IFNA(MATCH(N125,'Function Factors'!$B$9:$B$455,0),0)</f>
        <v>93</v>
      </c>
      <c r="P125" s="76">
        <f ca="1">OFFSET('Function Factors'!$B$9,$O125-1,P$14)*$L125+OFFSET('Function Factors'!$B$9,$K125-1,P$14)*$H125</f>
        <v>0</v>
      </c>
      <c r="R125" s="76">
        <f ca="1">OFFSET('Function Factors'!$B$9,$O125-1,R$14)*$L125+OFFSET('Function Factors'!$B$9,$K125-1,R$14)*$H125</f>
        <v>14117.785878445757</v>
      </c>
      <c r="S125" s="76"/>
      <c r="T125" s="76">
        <f ca="1">OFFSET('Function Factors'!$B$9,$O125-1,T$14)*$L125+OFFSET('Function Factors'!$B$9,$K125-1,T$14)*$H125</f>
        <v>2979.4091778992783</v>
      </c>
      <c r="U125" s="76"/>
      <c r="V125" s="76">
        <f ca="1">OFFSET('Function Factors'!$B$9,$O125-1,V$14)*$L125+OFFSET('Function Factors'!$B$9,$K125-1,V$14)*$H125</f>
        <v>0</v>
      </c>
      <c r="X125" s="76">
        <f t="shared" ca="1" si="26"/>
        <v>17097.195056345034</v>
      </c>
      <c r="Z125" s="49" t="str">
        <f t="shared" ca="1" si="15"/>
        <v/>
      </c>
      <c r="AC125" s="89">
        <v>7301.1076114910002</v>
      </c>
      <c r="AD125" s="36">
        <f>IFERROR(AC125/F125,0)</f>
        <v>0.42703540478012186</v>
      </c>
      <c r="AF125" s="8">
        <f t="shared" ca="1" si="29"/>
        <v>0</v>
      </c>
      <c r="AH125" s="8">
        <f ca="1">$AD125*R125</f>
        <v>6028.7944072011724</v>
      </c>
      <c r="AJ125" s="8">
        <f ca="1">$AD125*T125</f>
        <v>1272.3132042898285</v>
      </c>
      <c r="AL125" s="8">
        <f t="shared" ca="1" si="32"/>
        <v>0</v>
      </c>
      <c r="AN125" s="8">
        <f t="shared" ca="1" si="33"/>
        <v>7301.1076114910011</v>
      </c>
    </row>
    <row r="126" spans="2:40" ht="13" x14ac:dyDescent="0.3">
      <c r="B126" s="18">
        <f t="shared" si="34"/>
        <v>73</v>
      </c>
      <c r="D126" s="35" t="s">
        <v>113</v>
      </c>
      <c r="F126" s="76">
        <v>1307.4095306239601</v>
      </c>
      <c r="H126" s="76"/>
      <c r="K126" s="70">
        <f>_xlfn.IFNA(MATCH(J126,'Function Factors'!$B$9:$B$455,0),0)</f>
        <v>0</v>
      </c>
      <c r="L126" s="48">
        <f t="shared" si="25"/>
        <v>1307.4095306239601</v>
      </c>
      <c r="N126" s="2" t="s">
        <v>46</v>
      </c>
      <c r="O126" s="70">
        <f>_xlfn.IFNA(MATCH(N126,'Function Factors'!$B$9:$B$455,0),0)</f>
        <v>96</v>
      </c>
      <c r="P126" s="76">
        <f ca="1">OFFSET('Function Factors'!$B$9,$O126-1,P$14)*$L126+OFFSET('Function Factors'!$B$9,$K126-1,P$14)*$H126</f>
        <v>0</v>
      </c>
      <c r="R126" s="76">
        <f ca="1">OFFSET('Function Factors'!$B$9,$O126-1,R$14)*$L126+OFFSET('Function Factors'!$B$9,$K126-1,R$14)*$H126</f>
        <v>1307.4095306239601</v>
      </c>
      <c r="S126" s="76"/>
      <c r="T126" s="76">
        <f ca="1">OFFSET('Function Factors'!$B$9,$O126-1,T$14)*$L126+OFFSET('Function Factors'!$B$9,$K126-1,T$14)*$H126</f>
        <v>0</v>
      </c>
      <c r="U126" s="76"/>
      <c r="V126" s="76">
        <f ca="1">OFFSET('Function Factors'!$B$9,$O126-1,V$14)*$L126+OFFSET('Function Factors'!$B$9,$K126-1,V$14)*$H126</f>
        <v>0</v>
      </c>
      <c r="X126" s="76">
        <f t="shared" ca="1" si="26"/>
        <v>1307.4095306239601</v>
      </c>
      <c r="Z126" s="49" t="str">
        <f t="shared" ca="1" si="15"/>
        <v/>
      </c>
      <c r="AC126" s="89">
        <v>0</v>
      </c>
      <c r="AD126" s="36">
        <f t="shared" ref="AD126:AD131" si="35">IFERROR(AC126/F126,0)</f>
        <v>0</v>
      </c>
      <c r="AF126" s="8">
        <f t="shared" ca="1" si="29"/>
        <v>0</v>
      </c>
      <c r="AH126" s="8">
        <f t="shared" ca="1" si="30"/>
        <v>0</v>
      </c>
      <c r="AJ126" s="8">
        <f t="shared" ca="1" si="31"/>
        <v>0</v>
      </c>
      <c r="AL126" s="8">
        <f t="shared" ca="1" si="32"/>
        <v>0</v>
      </c>
      <c r="AN126" s="8">
        <f t="shared" ca="1" si="33"/>
        <v>0</v>
      </c>
    </row>
    <row r="127" spans="2:40" ht="13" x14ac:dyDescent="0.3">
      <c r="B127" s="18">
        <f t="shared" si="34"/>
        <v>74</v>
      </c>
      <c r="D127" s="35" t="s">
        <v>114</v>
      </c>
      <c r="F127" s="76">
        <v>3787.5783081452309</v>
      </c>
      <c r="H127" s="76"/>
      <c r="K127" s="70">
        <f>_xlfn.IFNA(MATCH(J127,'Function Factors'!$B$9:$B$455,0),0)</f>
        <v>0</v>
      </c>
      <c r="L127" s="48">
        <f t="shared" si="25"/>
        <v>3787.5783081452309</v>
      </c>
      <c r="N127" s="2" t="s">
        <v>115</v>
      </c>
      <c r="O127" s="70">
        <f>_xlfn.IFNA(MATCH(N127,'Function Factors'!$B$9:$B$455,0),0)</f>
        <v>30</v>
      </c>
      <c r="P127" s="76">
        <f ca="1">OFFSET('Function Factors'!$B$9,$O127-1,P$14)*$L127+OFFSET('Function Factors'!$B$9,$K127-1,P$14)*$H127</f>
        <v>0</v>
      </c>
      <c r="R127" s="76">
        <f ca="1">OFFSET('Function Factors'!$B$9,$O127-1,R$14)*$L127+OFFSET('Function Factors'!$B$9,$K127-1,R$14)*$H127</f>
        <v>1489.5035949216872</v>
      </c>
      <c r="S127" s="76"/>
      <c r="T127" s="76">
        <f ca="1">OFFSET('Function Factors'!$B$9,$O127-1,T$14)*$L127+OFFSET('Function Factors'!$B$9,$K127-1,T$14)*$H127</f>
        <v>2298.0747132235433</v>
      </c>
      <c r="U127" s="76"/>
      <c r="V127" s="76">
        <f ca="1">OFFSET('Function Factors'!$B$9,$O127-1,V$14)*$L127+OFFSET('Function Factors'!$B$9,$K127-1,V$14)*$H127</f>
        <v>0</v>
      </c>
      <c r="X127" s="76">
        <f t="shared" ca="1" si="26"/>
        <v>3787.5783081452305</v>
      </c>
      <c r="Z127" s="49" t="str">
        <f t="shared" ref="Z127:Z180" ca="1" si="36">IF(ROUND(F127,4)=ROUND(X127,4), "", "check")</f>
        <v/>
      </c>
      <c r="AC127" s="89">
        <v>563.30980968387996</v>
      </c>
      <c r="AD127" s="36">
        <f t="shared" si="35"/>
        <v>0.14872558765913188</v>
      </c>
      <c r="AF127" s="8">
        <f t="shared" ca="1" si="29"/>
        <v>0</v>
      </c>
      <c r="AH127" s="8">
        <f t="shared" ca="1" si="30"/>
        <v>221.52729747511745</v>
      </c>
      <c r="AJ127" s="8">
        <f t="shared" ca="1" si="31"/>
        <v>341.78251220876245</v>
      </c>
      <c r="AL127" s="8">
        <f t="shared" ca="1" si="32"/>
        <v>0</v>
      </c>
      <c r="AN127" s="8">
        <f t="shared" ca="1" si="33"/>
        <v>563.30980968387985</v>
      </c>
    </row>
    <row r="128" spans="2:40" ht="13" x14ac:dyDescent="0.3">
      <c r="B128" s="18">
        <f t="shared" si="34"/>
        <v>75</v>
      </c>
      <c r="D128" s="35" t="s">
        <v>39</v>
      </c>
      <c r="F128" s="76">
        <v>417.64292401249998</v>
      </c>
      <c r="H128" s="76"/>
      <c r="K128" s="70">
        <f>_xlfn.IFNA(MATCH(J128,'Function Factors'!$B$9:$B$455,0),0)</f>
        <v>0</v>
      </c>
      <c r="L128" s="48">
        <f t="shared" si="25"/>
        <v>417.64292401249998</v>
      </c>
      <c r="N128" s="2" t="s">
        <v>46</v>
      </c>
      <c r="O128" s="70">
        <f>_xlfn.IFNA(MATCH(N128,'Function Factors'!$B$9:$B$455,0),0)</f>
        <v>96</v>
      </c>
      <c r="P128" s="76">
        <f ca="1">OFFSET('Function Factors'!$B$9,$O128-1,P$14)*$L128+OFFSET('Function Factors'!$B$9,$K128-1,P$14)*$H128</f>
        <v>0</v>
      </c>
      <c r="R128" s="76">
        <f ca="1">OFFSET('Function Factors'!$B$9,$O128-1,R$14)*$L128+OFFSET('Function Factors'!$B$9,$K128-1,R$14)*$H128</f>
        <v>417.64292401249998</v>
      </c>
      <c r="S128" s="76"/>
      <c r="T128" s="76">
        <f ca="1">OFFSET('Function Factors'!$B$9,$O128-1,T$14)*$L128+OFFSET('Function Factors'!$B$9,$K128-1,T$14)*$H128</f>
        <v>0</v>
      </c>
      <c r="U128" s="76"/>
      <c r="V128" s="76">
        <f ca="1">OFFSET('Function Factors'!$B$9,$O128-1,V$14)*$L128+OFFSET('Function Factors'!$B$9,$K128-1,V$14)*$H128</f>
        <v>0</v>
      </c>
      <c r="X128" s="76">
        <f t="shared" ca="1" si="26"/>
        <v>417.64292401249998</v>
      </c>
      <c r="Z128" s="49" t="str">
        <f t="shared" ca="1" si="36"/>
        <v/>
      </c>
      <c r="AC128" s="89">
        <v>0</v>
      </c>
      <c r="AD128" s="36">
        <f t="shared" si="35"/>
        <v>0</v>
      </c>
      <c r="AF128" s="8">
        <f t="shared" ca="1" si="29"/>
        <v>0</v>
      </c>
      <c r="AH128" s="8">
        <f t="shared" ca="1" si="30"/>
        <v>0</v>
      </c>
      <c r="AJ128" s="8">
        <f t="shared" ca="1" si="31"/>
        <v>0</v>
      </c>
      <c r="AL128" s="8">
        <f t="shared" ca="1" si="32"/>
        <v>0</v>
      </c>
      <c r="AN128" s="8">
        <f t="shared" ca="1" si="33"/>
        <v>0</v>
      </c>
    </row>
    <row r="129" spans="2:46" ht="13" x14ac:dyDescent="0.3">
      <c r="B129" s="18">
        <f t="shared" si="34"/>
        <v>76</v>
      </c>
      <c r="D129" s="35" t="s">
        <v>116</v>
      </c>
      <c r="F129" s="76">
        <v>191.86462860127</v>
      </c>
      <c r="H129" s="76"/>
      <c r="K129" s="70">
        <f>_xlfn.IFNA(MATCH(J129,'Function Factors'!$B$9:$B$455,0),0)</f>
        <v>0</v>
      </c>
      <c r="L129" s="48">
        <f t="shared" si="25"/>
        <v>191.86462860127</v>
      </c>
      <c r="N129" s="2" t="s">
        <v>46</v>
      </c>
      <c r="O129" s="70">
        <f>_xlfn.IFNA(MATCH(N129,'Function Factors'!$B$9:$B$455,0),0)</f>
        <v>96</v>
      </c>
      <c r="P129" s="76">
        <f ca="1">OFFSET('Function Factors'!$B$9,$O129-1,P$14)*$L129+OFFSET('Function Factors'!$B$9,$K129-1,P$14)*$H129</f>
        <v>0</v>
      </c>
      <c r="R129" s="76">
        <f ca="1">OFFSET('Function Factors'!$B$9,$O129-1,R$14)*$L129+OFFSET('Function Factors'!$B$9,$K129-1,R$14)*$H129</f>
        <v>191.86462860127</v>
      </c>
      <c r="S129" s="76"/>
      <c r="T129" s="76">
        <f ca="1">OFFSET('Function Factors'!$B$9,$O129-1,T$14)*$L129+OFFSET('Function Factors'!$B$9,$K129-1,T$14)*$H129</f>
        <v>0</v>
      </c>
      <c r="U129" s="76"/>
      <c r="V129" s="76">
        <f ca="1">OFFSET('Function Factors'!$B$9,$O129-1,V$14)*$L129+OFFSET('Function Factors'!$B$9,$K129-1,V$14)*$H129</f>
        <v>0</v>
      </c>
      <c r="X129" s="76">
        <f t="shared" ca="1" si="26"/>
        <v>191.86462860127</v>
      </c>
      <c r="Z129" s="49" t="str">
        <f t="shared" ca="1" si="36"/>
        <v/>
      </c>
      <c r="AC129" s="89">
        <v>0</v>
      </c>
      <c r="AD129" s="36">
        <f t="shared" si="35"/>
        <v>0</v>
      </c>
      <c r="AF129" s="8">
        <f t="shared" ca="1" si="29"/>
        <v>0</v>
      </c>
      <c r="AH129" s="8">
        <f t="shared" ca="1" si="30"/>
        <v>0</v>
      </c>
      <c r="AJ129" s="8">
        <f t="shared" ca="1" si="31"/>
        <v>0</v>
      </c>
      <c r="AL129" s="8">
        <f t="shared" ca="1" si="32"/>
        <v>0</v>
      </c>
      <c r="AN129" s="8">
        <f t="shared" ca="1" si="33"/>
        <v>0</v>
      </c>
    </row>
    <row r="130" spans="2:46" ht="13" x14ac:dyDescent="0.3">
      <c r="B130" s="18">
        <f t="shared" si="34"/>
        <v>77</v>
      </c>
      <c r="D130" s="35" t="s">
        <v>117</v>
      </c>
      <c r="F130" s="76">
        <v>4026.3844920256997</v>
      </c>
      <c r="H130" s="76"/>
      <c r="K130" s="70">
        <f>_xlfn.IFNA(MATCH(J130,'Function Factors'!$B$9:$B$455,0),0)</f>
        <v>0</v>
      </c>
      <c r="L130" s="48">
        <f t="shared" si="25"/>
        <v>4026.3844920256997</v>
      </c>
      <c r="N130" s="2" t="s">
        <v>46</v>
      </c>
      <c r="O130" s="70">
        <f>_xlfn.IFNA(MATCH(N130,'Function Factors'!$B$9:$B$455,0),0)</f>
        <v>96</v>
      </c>
      <c r="P130" s="76">
        <f ca="1">OFFSET('Function Factors'!$B$9,$O130-1,P$14)*$L130+OFFSET('Function Factors'!$B$9,$K130-1,P$14)*$H130</f>
        <v>0</v>
      </c>
      <c r="R130" s="76">
        <f ca="1">OFFSET('Function Factors'!$B$9,$O130-1,R$14)*$L130+OFFSET('Function Factors'!$B$9,$K130-1,R$14)*$H130</f>
        <v>4026.3844920256997</v>
      </c>
      <c r="S130" s="76"/>
      <c r="T130" s="76">
        <f ca="1">OFFSET('Function Factors'!$B$9,$O130-1,T$14)*$L130+OFFSET('Function Factors'!$B$9,$K130-1,T$14)*$H130</f>
        <v>0</v>
      </c>
      <c r="U130" s="76"/>
      <c r="V130" s="76">
        <f ca="1">OFFSET('Function Factors'!$B$9,$O130-1,V$14)*$L130+OFFSET('Function Factors'!$B$9,$K130-1,V$14)*$H130</f>
        <v>0</v>
      </c>
      <c r="X130" s="76">
        <f t="shared" ca="1" si="26"/>
        <v>4026.3844920256997</v>
      </c>
      <c r="Z130" s="49" t="str">
        <f t="shared" ca="1" si="36"/>
        <v/>
      </c>
      <c r="AC130" s="89">
        <v>0</v>
      </c>
      <c r="AD130" s="36">
        <f t="shared" si="35"/>
        <v>0</v>
      </c>
      <c r="AF130" s="8">
        <f t="shared" ca="1" si="29"/>
        <v>0</v>
      </c>
      <c r="AH130" s="8">
        <f t="shared" ca="1" si="30"/>
        <v>0</v>
      </c>
      <c r="AJ130" s="8">
        <f t="shared" ca="1" si="31"/>
        <v>0</v>
      </c>
      <c r="AL130" s="8">
        <f t="shared" ca="1" si="32"/>
        <v>0</v>
      </c>
      <c r="AN130" s="8">
        <f t="shared" ca="1" si="33"/>
        <v>0</v>
      </c>
    </row>
    <row r="131" spans="2:46" ht="13" x14ac:dyDescent="0.3">
      <c r="B131" s="18">
        <f t="shared" si="34"/>
        <v>78</v>
      </c>
      <c r="D131" s="35" t="s">
        <v>118</v>
      </c>
      <c r="F131" s="76">
        <v>1816.3293445332881</v>
      </c>
      <c r="H131" s="76"/>
      <c r="K131" s="70">
        <f>_xlfn.IFNA(MATCH(J131,'Function Factors'!$B$9:$B$455,0),0)</f>
        <v>0</v>
      </c>
      <c r="L131" s="48">
        <f t="shared" si="25"/>
        <v>1816.3293445332881</v>
      </c>
      <c r="N131" s="2" t="s">
        <v>46</v>
      </c>
      <c r="O131" s="70">
        <f>_xlfn.IFNA(MATCH(N131,'Function Factors'!$B$9:$B$455,0),0)</f>
        <v>96</v>
      </c>
      <c r="P131" s="76">
        <f ca="1">OFFSET('Function Factors'!$B$9,$O131-1,P$14)*$L131+OFFSET('Function Factors'!$B$9,$K131-1,P$14)*$H131</f>
        <v>0</v>
      </c>
      <c r="R131" s="76">
        <f ca="1">OFFSET('Function Factors'!$B$9,$O131-1,R$14)*$L131+OFFSET('Function Factors'!$B$9,$K131-1,R$14)*$H131</f>
        <v>1816.3293445332881</v>
      </c>
      <c r="S131" s="76"/>
      <c r="T131" s="76">
        <f ca="1">OFFSET('Function Factors'!$B$9,$O131-1,T$14)*$L131+OFFSET('Function Factors'!$B$9,$K131-1,T$14)*$H131</f>
        <v>0</v>
      </c>
      <c r="U131" s="76"/>
      <c r="V131" s="76">
        <f ca="1">OFFSET('Function Factors'!$B$9,$O131-1,V$14)*$L131+OFFSET('Function Factors'!$B$9,$K131-1,V$14)*$H131</f>
        <v>0</v>
      </c>
      <c r="X131" s="76">
        <f t="shared" ca="1" si="26"/>
        <v>1816.3293445332881</v>
      </c>
      <c r="Z131" s="49" t="str">
        <f t="shared" ca="1" si="36"/>
        <v/>
      </c>
      <c r="AC131" s="89">
        <v>366.20012159340001</v>
      </c>
      <c r="AD131" s="36">
        <f t="shared" si="35"/>
        <v>0.20161548493150419</v>
      </c>
      <c r="AF131" s="8">
        <f t="shared" ca="1" si="29"/>
        <v>0</v>
      </c>
      <c r="AH131" s="8">
        <f t="shared" ca="1" si="30"/>
        <v>366.20012159340001</v>
      </c>
      <c r="AJ131" s="8">
        <f t="shared" ca="1" si="31"/>
        <v>0</v>
      </c>
      <c r="AL131" s="8">
        <f t="shared" ca="1" si="32"/>
        <v>0</v>
      </c>
      <c r="AN131" s="8">
        <f t="shared" ca="1" si="33"/>
        <v>366.20012159340001</v>
      </c>
    </row>
    <row r="132" spans="2:46" ht="13" x14ac:dyDescent="0.3">
      <c r="D132" s="1" t="s">
        <v>19</v>
      </c>
      <c r="K132" s="70"/>
      <c r="Z132" s="49" t="str">
        <f t="shared" si="36"/>
        <v/>
      </c>
      <c r="AF132" s="8"/>
      <c r="AH132" s="8"/>
      <c r="AJ132" s="8"/>
      <c r="AL132" s="8"/>
      <c r="AN132" s="8"/>
    </row>
    <row r="133" spans="2:46" ht="13" x14ac:dyDescent="0.3">
      <c r="B133" s="18">
        <f>B131+1</f>
        <v>79</v>
      </c>
      <c r="D133" s="1" t="s">
        <v>119</v>
      </c>
      <c r="F133" s="76">
        <v>3740.6240013717302</v>
      </c>
      <c r="K133" s="70">
        <f>_xlfn.IFNA(MATCH(J133,'Function Factors'!$B$9:$B$455,0),0)</f>
        <v>0</v>
      </c>
      <c r="L133" s="48">
        <f>F133-H133</f>
        <v>3740.6240013717302</v>
      </c>
      <c r="N133" s="2" t="s">
        <v>107</v>
      </c>
      <c r="O133" s="70">
        <f>_xlfn.IFNA(MATCH(N133,'Function Factors'!$B$9:$B$455,0),0)</f>
        <v>105</v>
      </c>
      <c r="P133" s="76">
        <f ca="1">OFFSET('Function Factors'!$B$9,$O133-1,P$14)*$L133+OFFSET('Function Factors'!$B$9,$K133-1,P$14)*$H133</f>
        <v>0</v>
      </c>
      <c r="R133" s="76">
        <f ca="1">OFFSET('Function Factors'!$B$9,$O133-1,R$14)*$L133+OFFSET('Function Factors'!$B$9,$K133-1,R$14)*$H133</f>
        <v>0</v>
      </c>
      <c r="S133" s="76"/>
      <c r="T133" s="76">
        <f ca="1">OFFSET('Function Factors'!$B$9,$O133-1,T$14)*$L133+OFFSET('Function Factors'!$B$9,$K133-1,T$14)*$H133</f>
        <v>3740.6240013717302</v>
      </c>
      <c r="U133" s="76"/>
      <c r="V133" s="76">
        <f ca="1">OFFSET('Function Factors'!$B$9,$O133-1,V$14)*$L133+OFFSET('Function Factors'!$B$9,$K133-1,V$14)*$H133</f>
        <v>0</v>
      </c>
      <c r="X133" s="76">
        <f t="shared" ref="X133:X136" ca="1" si="37">P133+R133+T133+V133</f>
        <v>3740.6240013717302</v>
      </c>
      <c r="Z133" s="49" t="str">
        <f t="shared" ca="1" si="36"/>
        <v/>
      </c>
      <c r="AC133" s="89">
        <v>1805.5576216432</v>
      </c>
      <c r="AD133" s="36">
        <f t="shared" ref="AD133:AD136" si="38">IFERROR(AC133/F133,0)</f>
        <v>0.48268888318662373</v>
      </c>
      <c r="AF133" s="8">
        <f t="shared" ca="1" si="29"/>
        <v>0</v>
      </c>
      <c r="AH133" s="8">
        <f t="shared" ca="1" si="30"/>
        <v>0</v>
      </c>
      <c r="AJ133" s="8">
        <f t="shared" ca="1" si="31"/>
        <v>1805.5576216432</v>
      </c>
      <c r="AL133" s="8">
        <f t="shared" ca="1" si="32"/>
        <v>0</v>
      </c>
      <c r="AN133" s="8">
        <f t="shared" ca="1" si="33"/>
        <v>1805.5576216432</v>
      </c>
    </row>
    <row r="134" spans="2:46" ht="13" x14ac:dyDescent="0.3">
      <c r="B134" s="18">
        <f>B133+1</f>
        <v>80</v>
      </c>
      <c r="D134" s="35" t="s">
        <v>120</v>
      </c>
      <c r="F134" s="76">
        <v>184.23818852302003</v>
      </c>
      <c r="H134" s="76"/>
      <c r="K134" s="70">
        <f>_xlfn.IFNA(MATCH(J134,'Function Factors'!$B$9:$B$455,0),0)</f>
        <v>0</v>
      </c>
      <c r="L134" s="48">
        <f t="shared" ref="L134:L136" si="39">F134-H134</f>
        <v>184.23818852302003</v>
      </c>
      <c r="N134" s="2" t="s">
        <v>107</v>
      </c>
      <c r="O134" s="70">
        <f>_xlfn.IFNA(MATCH(N134,'Function Factors'!$B$9:$B$455,0),0)</f>
        <v>105</v>
      </c>
      <c r="P134" s="76">
        <f ca="1">OFFSET('Function Factors'!$B$9,$O134-1,P$14)*$L134+OFFSET('Function Factors'!$B$9,$K134-1,P$14)*$H134</f>
        <v>0</v>
      </c>
      <c r="R134" s="76">
        <f ca="1">OFFSET('Function Factors'!$B$9,$O134-1,R$14)*$L134+OFFSET('Function Factors'!$B$9,$K134-1,R$14)*$H134</f>
        <v>0</v>
      </c>
      <c r="S134" s="76"/>
      <c r="T134" s="76">
        <f ca="1">OFFSET('Function Factors'!$B$9,$O134-1,T$14)*$L134+OFFSET('Function Factors'!$B$9,$K134-1,T$14)*$H134</f>
        <v>184.23818852302003</v>
      </c>
      <c r="U134" s="76"/>
      <c r="V134" s="76">
        <f ca="1">OFFSET('Function Factors'!$B$9,$O134-1,V$14)*$L134+OFFSET('Function Factors'!$B$9,$K134-1,V$14)*$H134</f>
        <v>0</v>
      </c>
      <c r="X134" s="76">
        <f t="shared" ca="1" si="37"/>
        <v>184.23818852302003</v>
      </c>
      <c r="Z134" s="49" t="str">
        <f t="shared" ca="1" si="36"/>
        <v/>
      </c>
      <c r="AC134" s="89">
        <v>131.92818852177001</v>
      </c>
      <c r="AD134" s="36">
        <f t="shared" si="38"/>
        <v>0.71607406466269052</v>
      </c>
      <c r="AF134" s="8">
        <f t="shared" ca="1" si="29"/>
        <v>0</v>
      </c>
      <c r="AH134" s="8">
        <f t="shared" ca="1" si="30"/>
        <v>0</v>
      </c>
      <c r="AJ134" s="8">
        <f t="shared" ca="1" si="31"/>
        <v>131.92818852177001</v>
      </c>
      <c r="AL134" s="8">
        <f t="shared" ca="1" si="32"/>
        <v>0</v>
      </c>
      <c r="AN134" s="8">
        <f t="shared" ca="1" si="33"/>
        <v>131.92818852177001</v>
      </c>
    </row>
    <row r="135" spans="2:46" ht="13" x14ac:dyDescent="0.3">
      <c r="B135" s="18">
        <f t="shared" ref="B135:B136" si="40">B134+1</f>
        <v>81</v>
      </c>
      <c r="D135" s="35" t="s">
        <v>114</v>
      </c>
      <c r="F135" s="76">
        <v>5613.0094337191604</v>
      </c>
      <c r="H135" s="76"/>
      <c r="K135" s="70">
        <f>_xlfn.IFNA(MATCH(J135,'Function Factors'!$B$9:$B$455,0),0)</f>
        <v>0</v>
      </c>
      <c r="L135" s="48">
        <f t="shared" si="39"/>
        <v>5613.0094337191604</v>
      </c>
      <c r="N135" s="2" t="s">
        <v>107</v>
      </c>
      <c r="O135" s="70">
        <f>_xlfn.IFNA(MATCH(N135,'Function Factors'!$B$9:$B$455,0),0)</f>
        <v>105</v>
      </c>
      <c r="P135" s="76">
        <f ca="1">OFFSET('Function Factors'!$B$9,$O135-1,P$14)*$L135+OFFSET('Function Factors'!$B$9,$K135-1,P$14)*$H135</f>
        <v>0</v>
      </c>
      <c r="R135" s="76">
        <f ca="1">OFFSET('Function Factors'!$B$9,$O135-1,R$14)*$L135+OFFSET('Function Factors'!$B$9,$K135-1,R$14)*$H135</f>
        <v>0</v>
      </c>
      <c r="S135" s="76"/>
      <c r="T135" s="76">
        <f ca="1">OFFSET('Function Factors'!$B$9,$O135-1,T$14)*$L135+OFFSET('Function Factors'!$B$9,$K135-1,T$14)*$H135</f>
        <v>5613.0094337191604</v>
      </c>
      <c r="U135" s="76"/>
      <c r="V135" s="76">
        <f ca="1">OFFSET('Function Factors'!$B$9,$O135-1,V$14)*$L135+OFFSET('Function Factors'!$B$9,$K135-1,V$14)*$H135</f>
        <v>0</v>
      </c>
      <c r="X135" s="76">
        <f t="shared" ca="1" si="37"/>
        <v>5613.0094337191604</v>
      </c>
      <c r="Z135" s="49" t="str">
        <f t="shared" ca="1" si="36"/>
        <v/>
      </c>
      <c r="AC135" s="89">
        <v>740.08452798859992</v>
      </c>
      <c r="AD135" s="36">
        <f t="shared" si="38"/>
        <v>0.13185164513401193</v>
      </c>
      <c r="AF135" s="8">
        <f t="shared" ca="1" si="29"/>
        <v>0</v>
      </c>
      <c r="AH135" s="8">
        <f t="shared" ca="1" si="30"/>
        <v>0</v>
      </c>
      <c r="AJ135" s="8">
        <f t="shared" ca="1" si="31"/>
        <v>740.08452798860003</v>
      </c>
      <c r="AL135" s="8">
        <f t="shared" ca="1" si="32"/>
        <v>0</v>
      </c>
      <c r="AN135" s="8">
        <f t="shared" ca="1" si="33"/>
        <v>740.08452798860003</v>
      </c>
    </row>
    <row r="136" spans="2:46" ht="13" x14ac:dyDescent="0.3">
      <c r="B136" s="18">
        <f t="shared" si="40"/>
        <v>82</v>
      </c>
      <c r="D136" s="35" t="s">
        <v>39</v>
      </c>
      <c r="F136" s="76">
        <v>2500.134475710754</v>
      </c>
      <c r="H136" s="76"/>
      <c r="K136" s="70">
        <f>_xlfn.IFNA(MATCH(J136,'Function Factors'!$B$9:$B$455,0),0)</f>
        <v>0</v>
      </c>
      <c r="L136" s="48">
        <f t="shared" si="39"/>
        <v>2500.134475710754</v>
      </c>
      <c r="N136" s="2" t="s">
        <v>107</v>
      </c>
      <c r="O136" s="70">
        <f>_xlfn.IFNA(MATCH(N136,'Function Factors'!$B$9:$B$455,0),0)</f>
        <v>105</v>
      </c>
      <c r="P136" s="76">
        <f ca="1">OFFSET('Function Factors'!$B$9,$O136-1,P$14)*$L136+OFFSET('Function Factors'!$B$9,$K136-1,P$14)*$H136</f>
        <v>0</v>
      </c>
      <c r="R136" s="76">
        <f ca="1">OFFSET('Function Factors'!$B$9,$O136-1,R$14)*$L136+OFFSET('Function Factors'!$B$9,$K136-1,R$14)*$H136</f>
        <v>0</v>
      </c>
      <c r="S136" s="76"/>
      <c r="T136" s="76">
        <f ca="1">OFFSET('Function Factors'!$B$9,$O136-1,T$14)*$L136+OFFSET('Function Factors'!$B$9,$K136-1,T$14)*$H136</f>
        <v>2500.134475710754</v>
      </c>
      <c r="U136" s="76"/>
      <c r="V136" s="76">
        <f ca="1">OFFSET('Function Factors'!$B$9,$O136-1,V$14)*$L136+OFFSET('Function Factors'!$B$9,$K136-1,V$14)*$H136</f>
        <v>0</v>
      </c>
      <c r="X136" s="76">
        <f t="shared" ca="1" si="37"/>
        <v>2500.134475710754</v>
      </c>
      <c r="Z136" s="49" t="str">
        <f t="shared" ca="1" si="36"/>
        <v/>
      </c>
      <c r="AC136" s="89">
        <v>1026.9737405468377</v>
      </c>
      <c r="AD136" s="36">
        <f t="shared" si="38"/>
        <v>0.41076740092345759</v>
      </c>
      <c r="AF136" s="8">
        <f t="shared" ca="1" si="29"/>
        <v>0</v>
      </c>
      <c r="AH136" s="8">
        <f t="shared" ca="1" si="30"/>
        <v>0</v>
      </c>
      <c r="AJ136" s="8">
        <f t="shared" ca="1" si="31"/>
        <v>1026.9737405468377</v>
      </c>
      <c r="AL136" s="8">
        <f t="shared" ca="1" si="32"/>
        <v>0</v>
      </c>
      <c r="AN136" s="8">
        <f t="shared" ca="1" si="33"/>
        <v>1026.9737405468377</v>
      </c>
    </row>
    <row r="137" spans="2:46" ht="13" x14ac:dyDescent="0.3">
      <c r="D137" s="1" t="s">
        <v>20</v>
      </c>
      <c r="K137" s="70"/>
      <c r="Z137" s="49" t="str">
        <f t="shared" si="36"/>
        <v/>
      </c>
      <c r="AD137" s="36"/>
      <c r="AF137" s="8"/>
      <c r="AH137" s="8"/>
      <c r="AJ137" s="8"/>
      <c r="AL137" s="8"/>
      <c r="AN137" s="8"/>
    </row>
    <row r="138" spans="2:46" ht="13" x14ac:dyDescent="0.3">
      <c r="B138" s="18">
        <f>B136+1</f>
        <v>83</v>
      </c>
      <c r="D138" s="1" t="s">
        <v>121</v>
      </c>
      <c r="F138" s="76">
        <v>10616.772187581613</v>
      </c>
      <c r="K138" s="70">
        <f>_xlfn.IFNA(MATCH(J138,'Function Factors'!$B$9:$B$455,0),0)</f>
        <v>0</v>
      </c>
      <c r="L138" s="48">
        <f t="shared" si="25"/>
        <v>10616.772187581613</v>
      </c>
      <c r="N138" s="2" t="s">
        <v>50</v>
      </c>
      <c r="O138" s="70">
        <f>_xlfn.IFNA(MATCH(N138,'Function Factors'!$B$9:$B$455,0),0)</f>
        <v>36</v>
      </c>
      <c r="P138" s="76">
        <f ca="1">OFFSET('Function Factors'!$B$9,$O138-1,P$14)*$L138+OFFSET('Function Factors'!$B$9,$K138-1,P$14)*$H138</f>
        <v>0</v>
      </c>
      <c r="R138" s="76">
        <f ca="1">OFFSET('Function Factors'!$B$9,$O138-1,R$14)*$L138+OFFSET('Function Factors'!$B$9,$K138-1,R$14)*$H138</f>
        <v>0</v>
      </c>
      <c r="S138" s="76"/>
      <c r="T138" s="76">
        <f ca="1">OFFSET('Function Factors'!$B$9,$O138-1,T$14)*$L138+OFFSET('Function Factors'!$B$9,$K138-1,T$14)*$H138</f>
        <v>0</v>
      </c>
      <c r="U138" s="76"/>
      <c r="V138" s="76">
        <f ca="1">OFFSET('Function Factors'!$B$9,$O138-1,V$14)*$L138+OFFSET('Function Factors'!$B$9,$K138-1,V$14)*$H138</f>
        <v>10616.772187581613</v>
      </c>
      <c r="X138" s="76">
        <f t="shared" ref="X138:X143" ca="1" si="41">P138+R138+T138+V138</f>
        <v>10616.772187581613</v>
      </c>
      <c r="Z138" s="49" t="str">
        <f t="shared" ca="1" si="36"/>
        <v/>
      </c>
      <c r="AC138" s="89">
        <v>7329.8580613904187</v>
      </c>
      <c r="AD138" s="36">
        <f>IFERROR(AC138/F138,0)</f>
        <v>0.69040363039569763</v>
      </c>
      <c r="AF138" s="8">
        <f t="shared" ca="1" si="29"/>
        <v>0</v>
      </c>
      <c r="AH138" s="8">
        <f t="shared" ca="1" si="30"/>
        <v>0</v>
      </c>
      <c r="AJ138" s="8">
        <f t="shared" ca="1" si="31"/>
        <v>0</v>
      </c>
      <c r="AL138" s="8">
        <f t="shared" ca="1" si="32"/>
        <v>7329.8580613904187</v>
      </c>
      <c r="AN138" s="8">
        <f t="shared" ca="1" si="33"/>
        <v>7329.8580613904187</v>
      </c>
      <c r="AO138" s="59"/>
      <c r="AP138" s="59"/>
      <c r="AQ138" s="59"/>
      <c r="AR138" s="59"/>
      <c r="AS138" s="59"/>
      <c r="AT138" s="59"/>
    </row>
    <row r="139" spans="2:46" ht="13" x14ac:dyDescent="0.3">
      <c r="B139" s="18">
        <f>B138+1</f>
        <v>84</v>
      </c>
      <c r="D139" s="35" t="s">
        <v>122</v>
      </c>
      <c r="F139" s="76">
        <v>22130.98895566666</v>
      </c>
      <c r="H139" s="76"/>
      <c r="K139" s="70">
        <f>_xlfn.IFNA(MATCH(J139,'Function Factors'!$B$9:$B$455,0),0)</f>
        <v>0</v>
      </c>
      <c r="L139" s="48">
        <f t="shared" si="25"/>
        <v>22130.98895566666</v>
      </c>
      <c r="N139" s="2" t="s">
        <v>50</v>
      </c>
      <c r="O139" s="70">
        <f>_xlfn.IFNA(MATCH(N139,'Function Factors'!$B$9:$B$455,0),0)</f>
        <v>36</v>
      </c>
      <c r="P139" s="76">
        <f ca="1">OFFSET('Function Factors'!$B$9,$O139-1,P$14)*$L139+OFFSET('Function Factors'!$B$9,$K139-1,P$14)*$H139</f>
        <v>0</v>
      </c>
      <c r="R139" s="76">
        <f ca="1">OFFSET('Function Factors'!$B$9,$O139-1,R$14)*$L139+OFFSET('Function Factors'!$B$9,$K139-1,R$14)*$H139</f>
        <v>0</v>
      </c>
      <c r="S139" s="76"/>
      <c r="T139" s="76">
        <f ca="1">OFFSET('Function Factors'!$B$9,$O139-1,T$14)*$L139+OFFSET('Function Factors'!$B$9,$K139-1,T$14)*$H139</f>
        <v>0</v>
      </c>
      <c r="U139" s="76"/>
      <c r="V139" s="76">
        <f ca="1">OFFSET('Function Factors'!$B$9,$O139-1,V$14)*$L139+OFFSET('Function Factors'!$B$9,$K139-1,V$14)*$H139</f>
        <v>22130.98895566666</v>
      </c>
      <c r="X139" s="76">
        <f t="shared" ca="1" si="41"/>
        <v>22130.98895566666</v>
      </c>
      <c r="Z139" s="49" t="str">
        <f t="shared" ca="1" si="36"/>
        <v/>
      </c>
      <c r="AC139" s="89">
        <v>5485.71519527688</v>
      </c>
      <c r="AD139" s="36">
        <f>IFERROR(AC139/F139,0)</f>
        <v>0.24787483317017595</v>
      </c>
      <c r="AF139" s="8">
        <f t="shared" ca="1" si="29"/>
        <v>0</v>
      </c>
      <c r="AH139" s="8">
        <f t="shared" ca="1" si="30"/>
        <v>0</v>
      </c>
      <c r="AJ139" s="8">
        <f t="shared" ca="1" si="31"/>
        <v>0</v>
      </c>
      <c r="AL139" s="8">
        <f t="shared" ca="1" si="32"/>
        <v>5485.71519527688</v>
      </c>
      <c r="AN139" s="8">
        <f t="shared" ca="1" si="33"/>
        <v>5485.71519527688</v>
      </c>
    </row>
    <row r="140" spans="2:46" ht="13" x14ac:dyDescent="0.3">
      <c r="B140" s="18">
        <f t="shared" ref="B140:B143" si="42">B139+1</f>
        <v>85</v>
      </c>
      <c r="D140" s="35" t="s">
        <v>123</v>
      </c>
      <c r="F140" s="76">
        <v>0</v>
      </c>
      <c r="H140" s="76"/>
      <c r="K140" s="70">
        <f>_xlfn.IFNA(MATCH(J140,'Function Factors'!$B$9:$B$455,0),0)</f>
        <v>0</v>
      </c>
      <c r="L140" s="48">
        <f t="shared" si="25"/>
        <v>0</v>
      </c>
      <c r="N140" s="2" t="s">
        <v>50</v>
      </c>
      <c r="O140" s="70">
        <f>_xlfn.IFNA(MATCH(N140,'Function Factors'!$B$9:$B$455,0),0)</f>
        <v>36</v>
      </c>
      <c r="P140" s="76">
        <f ca="1">OFFSET('Function Factors'!$B$9,$O140-1,P$14)*$L140+OFFSET('Function Factors'!$B$9,$K140-1,P$14)*$H140</f>
        <v>0</v>
      </c>
      <c r="R140" s="76">
        <f ca="1">OFFSET('Function Factors'!$B$9,$O140-1,R$14)*$L140+OFFSET('Function Factors'!$B$9,$K140-1,R$14)*$H140</f>
        <v>0</v>
      </c>
      <c r="S140" s="76"/>
      <c r="T140" s="76">
        <f ca="1">OFFSET('Function Factors'!$B$9,$O140-1,T$14)*$L140+OFFSET('Function Factors'!$B$9,$K140-1,T$14)*$H140</f>
        <v>0</v>
      </c>
      <c r="U140" s="76"/>
      <c r="V140" s="76">
        <f ca="1">OFFSET('Function Factors'!$B$9,$O140-1,V$14)*$L140+OFFSET('Function Factors'!$B$9,$K140-1,V$14)*$H140</f>
        <v>0</v>
      </c>
      <c r="X140" s="76">
        <f t="shared" ca="1" si="41"/>
        <v>0</v>
      </c>
      <c r="Z140" s="49" t="str">
        <f t="shared" ca="1" si="36"/>
        <v/>
      </c>
      <c r="AC140" s="89">
        <v>0</v>
      </c>
      <c r="AD140" s="36">
        <f t="shared" ref="AD140:AD143" si="43">IFERROR(AC140/F140,0)</f>
        <v>0</v>
      </c>
      <c r="AF140" s="8">
        <f t="shared" ca="1" si="29"/>
        <v>0</v>
      </c>
      <c r="AH140" s="8">
        <f t="shared" ca="1" si="30"/>
        <v>0</v>
      </c>
      <c r="AJ140" s="8">
        <f t="shared" ca="1" si="31"/>
        <v>0</v>
      </c>
      <c r="AL140" s="8">
        <f t="shared" ca="1" si="32"/>
        <v>0</v>
      </c>
      <c r="AN140" s="8">
        <f t="shared" ca="1" si="33"/>
        <v>0</v>
      </c>
    </row>
    <row r="141" spans="2:46" ht="13" x14ac:dyDescent="0.3">
      <c r="B141" s="18">
        <f t="shared" si="42"/>
        <v>86</v>
      </c>
      <c r="D141" s="35" t="s">
        <v>124</v>
      </c>
      <c r="F141" s="76">
        <v>59329.65715247715</v>
      </c>
      <c r="H141" s="76"/>
      <c r="K141" s="70">
        <f>_xlfn.IFNA(MATCH(J141,'Function Factors'!$B$9:$B$455,0),0)</f>
        <v>0</v>
      </c>
      <c r="L141" s="48">
        <f t="shared" si="25"/>
        <v>59329.65715247715</v>
      </c>
      <c r="N141" s="2" t="s">
        <v>50</v>
      </c>
      <c r="O141" s="70">
        <f>_xlfn.IFNA(MATCH(N141,'Function Factors'!$B$9:$B$455,0),0)</f>
        <v>36</v>
      </c>
      <c r="P141" s="76">
        <f ca="1">OFFSET('Function Factors'!$B$9,$O141-1,P$14)*$L141+OFFSET('Function Factors'!$B$9,$K141-1,P$14)*$H141</f>
        <v>0</v>
      </c>
      <c r="R141" s="76">
        <f ca="1">OFFSET('Function Factors'!$B$9,$O141-1,R$14)*$L141+OFFSET('Function Factors'!$B$9,$K141-1,R$14)*$H141</f>
        <v>0</v>
      </c>
      <c r="S141" s="76"/>
      <c r="T141" s="76">
        <f ca="1">OFFSET('Function Factors'!$B$9,$O141-1,T$14)*$L141+OFFSET('Function Factors'!$B$9,$K141-1,T$14)*$H141</f>
        <v>0</v>
      </c>
      <c r="U141" s="76"/>
      <c r="V141" s="76">
        <f ca="1">OFFSET('Function Factors'!$B$9,$O141-1,V$14)*$L141+OFFSET('Function Factors'!$B$9,$K141-1,V$14)*$H141</f>
        <v>59329.65715247715</v>
      </c>
      <c r="X141" s="76">
        <f t="shared" ca="1" si="41"/>
        <v>59329.65715247715</v>
      </c>
      <c r="Z141" s="49" t="str">
        <f t="shared" ca="1" si="36"/>
        <v/>
      </c>
      <c r="AC141" s="89">
        <v>20405.421374016114</v>
      </c>
      <c r="AD141" s="36">
        <f t="shared" si="43"/>
        <v>0.34393290562212764</v>
      </c>
      <c r="AF141" s="8">
        <f t="shared" ca="1" si="29"/>
        <v>0</v>
      </c>
      <c r="AH141" s="8">
        <f t="shared" ca="1" si="30"/>
        <v>0</v>
      </c>
      <c r="AJ141" s="8">
        <f t="shared" ca="1" si="31"/>
        <v>0</v>
      </c>
      <c r="AL141" s="8">
        <f t="shared" ca="1" si="32"/>
        <v>20405.421374016114</v>
      </c>
      <c r="AN141" s="8">
        <f t="shared" ca="1" si="33"/>
        <v>20405.421374016114</v>
      </c>
    </row>
    <row r="142" spans="2:46" ht="13" x14ac:dyDescent="0.3">
      <c r="B142" s="18">
        <f t="shared" si="42"/>
        <v>87</v>
      </c>
      <c r="D142" s="35" t="s">
        <v>39</v>
      </c>
      <c r="F142" s="76">
        <v>8901.2312001131213</v>
      </c>
      <c r="H142" s="76"/>
      <c r="K142" s="70">
        <f>_xlfn.IFNA(MATCH(J142,'Function Factors'!$B$9:$B$455,0),0)</f>
        <v>0</v>
      </c>
      <c r="L142" s="48">
        <f t="shared" si="25"/>
        <v>8901.2312001131213</v>
      </c>
      <c r="N142" s="2" t="s">
        <v>50</v>
      </c>
      <c r="O142" s="70">
        <f>_xlfn.IFNA(MATCH(N142,'Function Factors'!$B$9:$B$455,0),0)</f>
        <v>36</v>
      </c>
      <c r="P142" s="76">
        <f ca="1">OFFSET('Function Factors'!$B$9,$O142-1,P$14)*$L142+OFFSET('Function Factors'!$B$9,$K142-1,P$14)*$H142</f>
        <v>0</v>
      </c>
      <c r="R142" s="76">
        <f ca="1">OFFSET('Function Factors'!$B$9,$O142-1,R$14)*$L142+OFFSET('Function Factors'!$B$9,$K142-1,R$14)*$H142</f>
        <v>0</v>
      </c>
      <c r="S142" s="76"/>
      <c r="T142" s="76">
        <f ca="1">OFFSET('Function Factors'!$B$9,$O142-1,T$14)*$L142+OFFSET('Function Factors'!$B$9,$K142-1,T$14)*$H142</f>
        <v>0</v>
      </c>
      <c r="U142" s="76"/>
      <c r="V142" s="76">
        <f ca="1">OFFSET('Function Factors'!$B$9,$O142-1,V$14)*$L142+OFFSET('Function Factors'!$B$9,$K142-1,V$14)*$H142</f>
        <v>8901.2312001131213</v>
      </c>
      <c r="X142" s="76">
        <f t="shared" ca="1" si="41"/>
        <v>8901.2312001131213</v>
      </c>
      <c r="Z142" s="49" t="str">
        <f t="shared" ca="1" si="36"/>
        <v/>
      </c>
      <c r="AC142" s="89">
        <v>4222.653922803057</v>
      </c>
      <c r="AD142" s="36">
        <f t="shared" si="43"/>
        <v>0.47438987122920628</v>
      </c>
      <c r="AF142" s="8">
        <f t="shared" ca="1" si="29"/>
        <v>0</v>
      </c>
      <c r="AH142" s="8">
        <f t="shared" ca="1" si="30"/>
        <v>0</v>
      </c>
      <c r="AJ142" s="8">
        <f t="shared" ca="1" si="31"/>
        <v>0</v>
      </c>
      <c r="AL142" s="8">
        <f t="shared" ca="1" si="32"/>
        <v>4222.653922803057</v>
      </c>
      <c r="AN142" s="8">
        <f t="shared" ca="1" si="33"/>
        <v>4222.653922803057</v>
      </c>
    </row>
    <row r="143" spans="2:46" ht="13" x14ac:dyDescent="0.3">
      <c r="B143" s="18">
        <f t="shared" si="42"/>
        <v>88</v>
      </c>
      <c r="D143" s="35" t="s">
        <v>125</v>
      </c>
      <c r="F143" s="76">
        <v>352.78073788360939</v>
      </c>
      <c r="H143" s="76"/>
      <c r="K143" s="70">
        <f>_xlfn.IFNA(MATCH(J143,'Function Factors'!$B$9:$B$455,0),0)</f>
        <v>0</v>
      </c>
      <c r="L143" s="48">
        <f t="shared" si="25"/>
        <v>352.78073788360939</v>
      </c>
      <c r="N143" s="2" t="s">
        <v>50</v>
      </c>
      <c r="O143" s="70">
        <f>_xlfn.IFNA(MATCH(N143,'Function Factors'!$B$9:$B$455,0),0)</f>
        <v>36</v>
      </c>
      <c r="P143" s="76">
        <f ca="1">OFFSET('Function Factors'!$B$9,$O143-1,P$14)*$L143+OFFSET('Function Factors'!$B$9,$K143-1,P$14)*$H143</f>
        <v>0</v>
      </c>
      <c r="R143" s="76">
        <f ca="1">OFFSET('Function Factors'!$B$9,$O143-1,R$14)*$L143+OFFSET('Function Factors'!$B$9,$K143-1,R$14)*$H143</f>
        <v>0</v>
      </c>
      <c r="S143" s="76"/>
      <c r="T143" s="76">
        <f ca="1">OFFSET('Function Factors'!$B$9,$O143-1,T$14)*$L143+OFFSET('Function Factors'!$B$9,$K143-1,T$14)*$H143</f>
        <v>0</v>
      </c>
      <c r="U143" s="76"/>
      <c r="V143" s="76">
        <f ca="1">OFFSET('Function Factors'!$B$9,$O143-1,V$14)*$L143+OFFSET('Function Factors'!$B$9,$K143-1,V$14)*$H143</f>
        <v>352.78073788360939</v>
      </c>
      <c r="X143" s="76">
        <f t="shared" ca="1" si="41"/>
        <v>352.78073788360939</v>
      </c>
      <c r="Z143" s="49" t="str">
        <f t="shared" ca="1" si="36"/>
        <v/>
      </c>
      <c r="AC143" s="89">
        <v>165.61362128320948</v>
      </c>
      <c r="AD143" s="36">
        <f t="shared" si="43"/>
        <v>0.46945199524427916</v>
      </c>
      <c r="AF143" s="8">
        <f t="shared" ca="1" si="29"/>
        <v>0</v>
      </c>
      <c r="AH143" s="8">
        <f t="shared" ca="1" si="30"/>
        <v>0</v>
      </c>
      <c r="AJ143" s="8">
        <f t="shared" ca="1" si="31"/>
        <v>0</v>
      </c>
      <c r="AL143" s="8">
        <f t="shared" ca="1" si="32"/>
        <v>165.61362128320948</v>
      </c>
      <c r="AN143" s="8">
        <f t="shared" ca="1" si="33"/>
        <v>165.61362128320948</v>
      </c>
    </row>
    <row r="144" spans="2:46" ht="13" x14ac:dyDescent="0.3">
      <c r="D144" s="1" t="s">
        <v>126</v>
      </c>
      <c r="J144" s="31"/>
      <c r="K144" s="70"/>
      <c r="Z144" s="49" t="str">
        <f t="shared" si="36"/>
        <v/>
      </c>
      <c r="AF144" s="8"/>
      <c r="AH144" s="8"/>
      <c r="AJ144" s="8"/>
      <c r="AL144" s="8"/>
      <c r="AN144" s="8"/>
    </row>
    <row r="145" spans="2:40" ht="13" x14ac:dyDescent="0.3">
      <c r="B145" s="18">
        <f>B143+1</f>
        <v>89</v>
      </c>
      <c r="D145" s="35" t="s">
        <v>127</v>
      </c>
      <c r="F145" s="76">
        <v>197654.2230046961</v>
      </c>
      <c r="H145" s="48">
        <f ca="1">IF(K145&lt;&gt;0,OFFSET('Function Factors'!$A$8,$K145-1,3),0)</f>
        <v>2940.7050695282501</v>
      </c>
      <c r="J145" s="2" t="s">
        <v>128</v>
      </c>
      <c r="K145" s="70">
        <f>_xlfn.IFNA(MATCH(J145,'Function Factors'!$B$9:$B$455,0),0)</f>
        <v>15</v>
      </c>
      <c r="L145" s="48">
        <f t="shared" ca="1" si="25"/>
        <v>194713.51793516785</v>
      </c>
      <c r="N145" s="2" t="s">
        <v>129</v>
      </c>
      <c r="O145" s="70">
        <f>_xlfn.IFNA(MATCH(N145,'Function Factors'!$B$9:$B$455,0),0)</f>
        <v>42</v>
      </c>
      <c r="P145" s="76">
        <f ca="1">OFFSET('Function Factors'!$B$9,$O145-1,P$14)*$L145+OFFSET('Function Factors'!$B$9,$K145-1,P$14)*$H145</f>
        <v>2546.4739944630078</v>
      </c>
      <c r="R145" s="76">
        <f ca="1">OFFSET('Function Factors'!$B$9,$O145-1,R$14)*$L145+OFFSET('Function Factors'!$B$9,$K145-1,R$14)*$H145</f>
        <v>7271.6222767735126</v>
      </c>
      <c r="S145" s="76"/>
      <c r="T145" s="76">
        <f ca="1">OFFSET('Function Factors'!$B$9,$O145-1,T$14)*$L145+OFFSET('Function Factors'!$B$9,$K145-1,T$14)*$H145</f>
        <v>17848.649151574664</v>
      </c>
      <c r="U145" s="76"/>
      <c r="V145" s="76">
        <f ca="1">OFFSET('Function Factors'!$B$9,$O145-1,V$14)*$L145+OFFSET('Function Factors'!$B$9,$K145-1,V$14)*$H145</f>
        <v>169987.47758188492</v>
      </c>
      <c r="X145" s="76">
        <f t="shared" ref="X145" ca="1" si="44">P145+R145+T145+V145</f>
        <v>197654.2230046961</v>
      </c>
      <c r="Z145" s="49" t="str">
        <f t="shared" ca="1" si="36"/>
        <v/>
      </c>
      <c r="AC145" s="89">
        <v>81707.999598993221</v>
      </c>
      <c r="AD145" s="36">
        <f ca="1">IFERROR(AC145/L145,0)</f>
        <v>0.41963188003309998</v>
      </c>
      <c r="AF145" s="8">
        <f ca="1">$AD145*(P145-'Function Factors'!F22)</f>
        <v>0</v>
      </c>
      <c r="AH145" s="8">
        <f ca="1">$AD145*(R145-'Function Factors'!H22)</f>
        <v>3051.4045268930399</v>
      </c>
      <c r="AJ145" s="8">
        <f ca="1">$AD145*(T145-'Function Factors'!J22)</f>
        <v>7489.8621995264712</v>
      </c>
      <c r="AL145" s="8">
        <f ca="1">$AD145*(V145-'Function Factors'!L22)</f>
        <v>71166.732872573702</v>
      </c>
      <c r="AN145" s="8">
        <f t="shared" ca="1" si="33"/>
        <v>81707.999598993221</v>
      </c>
    </row>
    <row r="146" spans="2:40" ht="13" x14ac:dyDescent="0.3">
      <c r="D146" s="1" t="s">
        <v>130</v>
      </c>
      <c r="K146" s="70"/>
      <c r="Z146" s="49" t="str">
        <f t="shared" si="36"/>
        <v/>
      </c>
      <c r="AF146" s="8"/>
      <c r="AH146" s="8"/>
      <c r="AJ146" s="8"/>
      <c r="AL146" s="8"/>
      <c r="AN146" s="8"/>
    </row>
    <row r="147" spans="2:40" ht="13" x14ac:dyDescent="0.3">
      <c r="B147" s="18">
        <f>B145+1</f>
        <v>90</v>
      </c>
      <c r="D147" s="35" t="s">
        <v>131</v>
      </c>
      <c r="F147" s="76">
        <v>10182.521136802581</v>
      </c>
      <c r="H147" s="76"/>
      <c r="K147" s="70">
        <f>_xlfn.IFNA(MATCH(J147,'Function Factors'!$B$9:$B$455,0),0)</f>
        <v>0</v>
      </c>
      <c r="L147" s="48">
        <f t="shared" si="25"/>
        <v>10182.521136802581</v>
      </c>
      <c r="N147" s="2" t="s">
        <v>50</v>
      </c>
      <c r="O147" s="70">
        <f>_xlfn.IFNA(MATCH(N147,'Function Factors'!$B$9:$B$455,0),0)</f>
        <v>36</v>
      </c>
      <c r="P147" s="76">
        <f ca="1">OFFSET('Function Factors'!$B$9,$O147-1,P$14)*$L147+OFFSET('Function Factors'!$B$9,$K147-1,P$14)*$H147</f>
        <v>0</v>
      </c>
      <c r="R147" s="76">
        <f ca="1">OFFSET('Function Factors'!$B$9,$O147-1,R$14)*$L147+OFFSET('Function Factors'!$B$9,$K147-1,R$14)*$H147</f>
        <v>0</v>
      </c>
      <c r="S147" s="76"/>
      <c r="T147" s="76">
        <f ca="1">OFFSET('Function Factors'!$B$9,$O147-1,T$14)*$L147+OFFSET('Function Factors'!$B$9,$K147-1,T$14)*$H147</f>
        <v>0</v>
      </c>
      <c r="U147" s="76"/>
      <c r="V147" s="76">
        <f ca="1">OFFSET('Function Factors'!$B$9,$O147-1,V$14)*$L147+OFFSET('Function Factors'!$B$9,$K147-1,V$14)*$H147</f>
        <v>10182.521136802581</v>
      </c>
      <c r="X147" s="76">
        <f t="shared" ref="X147:X149" ca="1" si="45">P147+R147+T147+V147</f>
        <v>10182.521136802581</v>
      </c>
      <c r="Z147" s="49" t="str">
        <f t="shared" ca="1" si="36"/>
        <v/>
      </c>
      <c r="AC147" s="89">
        <v>6545.1150972226396</v>
      </c>
      <c r="AD147" s="36">
        <f t="shared" ref="AD147:AD149" si="46">IFERROR(AC147/F147,0)</f>
        <v>0.64277942655740705</v>
      </c>
      <c r="AF147" s="8">
        <f t="shared" ca="1" si="29"/>
        <v>0</v>
      </c>
      <c r="AH147" s="8">
        <f t="shared" ca="1" si="30"/>
        <v>0</v>
      </c>
      <c r="AJ147" s="8">
        <f t="shared" ca="1" si="31"/>
        <v>0</v>
      </c>
      <c r="AL147" s="8">
        <f t="shared" ca="1" si="32"/>
        <v>6545.1150972226396</v>
      </c>
      <c r="AN147" s="8">
        <f t="shared" ca="1" si="33"/>
        <v>6545.1150972226396</v>
      </c>
    </row>
    <row r="148" spans="2:40" ht="13" x14ac:dyDescent="0.3">
      <c r="B148" s="18">
        <f>B147+1</f>
        <v>91</v>
      </c>
      <c r="D148" s="35" t="s">
        <v>132</v>
      </c>
      <c r="F148" s="76">
        <v>150927.52203758305</v>
      </c>
      <c r="H148" s="76"/>
      <c r="K148" s="70">
        <f>_xlfn.IFNA(MATCH(J148,'Function Factors'!$B$9:$B$455,0),0)</f>
        <v>0</v>
      </c>
      <c r="L148" s="48">
        <f t="shared" si="25"/>
        <v>150927.52203758305</v>
      </c>
      <c r="N148" s="2" t="s">
        <v>50</v>
      </c>
      <c r="O148" s="70">
        <f>_xlfn.IFNA(MATCH(N148,'Function Factors'!$B$9:$B$455,0),0)</f>
        <v>36</v>
      </c>
      <c r="P148" s="76">
        <f ca="1">OFFSET('Function Factors'!$B$9,$O148-1,P$14)*$L148+OFFSET('Function Factors'!$B$9,$K148-1,P$14)*$H148</f>
        <v>0</v>
      </c>
      <c r="R148" s="76">
        <f ca="1">OFFSET('Function Factors'!$B$9,$O148-1,R$14)*$L148+OFFSET('Function Factors'!$B$9,$K148-1,R$14)*$H148</f>
        <v>0</v>
      </c>
      <c r="S148" s="76"/>
      <c r="T148" s="76">
        <f ca="1">OFFSET('Function Factors'!$B$9,$O148-1,T$14)*$L148+OFFSET('Function Factors'!$B$9,$K148-1,T$14)*$H148</f>
        <v>0</v>
      </c>
      <c r="U148" s="76"/>
      <c r="V148" s="76">
        <f ca="1">OFFSET('Function Factors'!$B$9,$O148-1,V$14)*$L148+OFFSET('Function Factors'!$B$9,$K148-1,V$14)*$H148</f>
        <v>150927.52203758305</v>
      </c>
      <c r="X148" s="76">
        <f t="shared" ca="1" si="45"/>
        <v>150927.52203758305</v>
      </c>
      <c r="Z148" s="49" t="str">
        <f t="shared" ca="1" si="36"/>
        <v/>
      </c>
      <c r="AC148" s="89">
        <v>0</v>
      </c>
      <c r="AD148" s="36">
        <f t="shared" si="46"/>
        <v>0</v>
      </c>
      <c r="AF148" s="8">
        <f t="shared" ca="1" si="29"/>
        <v>0</v>
      </c>
      <c r="AH148" s="8">
        <f t="shared" ca="1" si="30"/>
        <v>0</v>
      </c>
      <c r="AJ148" s="8">
        <f t="shared" ca="1" si="31"/>
        <v>0</v>
      </c>
      <c r="AL148" s="8">
        <f t="shared" ca="1" si="32"/>
        <v>0</v>
      </c>
      <c r="AN148" s="8">
        <f t="shared" ca="1" si="33"/>
        <v>0</v>
      </c>
    </row>
    <row r="149" spans="2:40" ht="13" x14ac:dyDescent="0.3">
      <c r="B149" s="18">
        <f t="shared" ref="B149" si="47">B148+1</f>
        <v>92</v>
      </c>
      <c r="D149" s="35" t="s">
        <v>133</v>
      </c>
      <c r="F149" s="76">
        <v>32154.405162180323</v>
      </c>
      <c r="H149" s="76"/>
      <c r="K149" s="70">
        <f>_xlfn.IFNA(MATCH(J149,'Function Factors'!$B$9:$B$455,0),0)</f>
        <v>0</v>
      </c>
      <c r="L149" s="48">
        <f t="shared" si="25"/>
        <v>32154.405162180323</v>
      </c>
      <c r="N149" s="2" t="s">
        <v>50</v>
      </c>
      <c r="O149" s="70">
        <f>_xlfn.IFNA(MATCH(N149,'Function Factors'!$B$9:$B$455,0),0)</f>
        <v>36</v>
      </c>
      <c r="P149" s="76">
        <f ca="1">OFFSET('Function Factors'!$B$9,$O149-1,P$14)*$L149+OFFSET('Function Factors'!$B$9,$K149-1,P$14)*$H149</f>
        <v>0</v>
      </c>
      <c r="R149" s="76">
        <f ca="1">OFFSET('Function Factors'!$B$9,$O149-1,R$14)*$L149+OFFSET('Function Factors'!$B$9,$K149-1,R$14)*$H149</f>
        <v>0</v>
      </c>
      <c r="S149" s="76"/>
      <c r="T149" s="76">
        <f ca="1">OFFSET('Function Factors'!$B$9,$O149-1,T$14)*$L149+OFFSET('Function Factors'!$B$9,$K149-1,T$14)*$H149</f>
        <v>0</v>
      </c>
      <c r="U149" s="76"/>
      <c r="V149" s="76">
        <f ca="1">OFFSET('Function Factors'!$B$9,$O149-1,V$14)*$L149+OFFSET('Function Factors'!$B$9,$K149-1,V$14)*$H149</f>
        <v>32154.405162180323</v>
      </c>
      <c r="X149" s="76">
        <f t="shared" ca="1" si="45"/>
        <v>32154.405162180323</v>
      </c>
      <c r="Z149" s="49" t="str">
        <f t="shared" ca="1" si="36"/>
        <v/>
      </c>
      <c r="AC149" s="89">
        <v>18121.6757442331</v>
      </c>
      <c r="AD149" s="36">
        <f t="shared" si="46"/>
        <v>0.56358298817319208</v>
      </c>
      <c r="AF149" s="8">
        <f t="shared" ca="1" si="29"/>
        <v>0</v>
      </c>
      <c r="AH149" s="8">
        <f t="shared" ca="1" si="30"/>
        <v>0</v>
      </c>
      <c r="AJ149" s="8">
        <f t="shared" ca="1" si="31"/>
        <v>0</v>
      </c>
      <c r="AL149" s="8">
        <f t="shared" ca="1" si="32"/>
        <v>18121.6757442331</v>
      </c>
      <c r="AN149" s="8">
        <f t="shared" ca="1" si="33"/>
        <v>18121.6757442331</v>
      </c>
    </row>
    <row r="150" spans="2:40" ht="13" x14ac:dyDescent="0.3">
      <c r="D150" s="1" t="s">
        <v>134</v>
      </c>
      <c r="K150" s="70"/>
      <c r="Z150" s="49" t="str">
        <f t="shared" si="36"/>
        <v/>
      </c>
      <c r="AF150" s="8"/>
      <c r="AH150" s="8"/>
      <c r="AJ150" s="8"/>
      <c r="AL150" s="8"/>
      <c r="AN150" s="8"/>
    </row>
    <row r="151" spans="2:40" ht="13" x14ac:dyDescent="0.3">
      <c r="B151" s="18">
        <f>B149+1</f>
        <v>93</v>
      </c>
      <c r="D151" s="35" t="s">
        <v>111</v>
      </c>
      <c r="F151" s="76">
        <v>4294.5103658632952</v>
      </c>
      <c r="H151" s="48">
        <f ca="1">IF(K151&lt;&gt;0,OFFSET('Function Factors'!$A$8,$K151-1,3),0)</f>
        <v>1708.3898809221498</v>
      </c>
      <c r="J151" s="2" t="s">
        <v>135</v>
      </c>
      <c r="K151" s="70">
        <f>_xlfn.IFNA(MATCH(J151,'Function Factors'!$B$9:$B$455,0),0)</f>
        <v>9</v>
      </c>
      <c r="L151" s="48">
        <f ca="1">F151-H151</f>
        <v>2586.1204849411452</v>
      </c>
      <c r="N151" s="2" t="s">
        <v>50</v>
      </c>
      <c r="O151" s="70">
        <f>_xlfn.IFNA(MATCH(N151,'Function Factors'!$B$9:$B$455,0),0)</f>
        <v>36</v>
      </c>
      <c r="P151" s="76">
        <f ca="1">OFFSET('Function Factors'!$B$9,$O151-1,P$14)*$L151+OFFSET('Function Factors'!$B$9,$K151-1,P$14)*$H151</f>
        <v>1295.4715209674002</v>
      </c>
      <c r="R151" s="76">
        <f ca="1">OFFSET('Function Factors'!$B$9,$O151-1,R$14)*$L151+OFFSET('Function Factors'!$B$9,$K151-1,R$14)*$H151</f>
        <v>0</v>
      </c>
      <c r="S151" s="76"/>
      <c r="T151" s="76">
        <f ca="1">OFFSET('Function Factors'!$B$9,$O151-1,T$14)*$L151+OFFSET('Function Factors'!$B$9,$K151-1,T$14)*$H151</f>
        <v>0</v>
      </c>
      <c r="U151" s="76"/>
      <c r="V151" s="76">
        <f ca="1">OFFSET('Function Factors'!$B$9,$O151-1,V$14)*$L151+OFFSET('Function Factors'!$B$9,$K151-1,V$14)*$H151</f>
        <v>2999.0388448958947</v>
      </c>
      <c r="X151" s="76">
        <f t="shared" ref="X151:X157" ca="1" si="48">P151+R151+T151+V151</f>
        <v>4294.5103658632952</v>
      </c>
      <c r="Z151" s="49" t="str">
        <f t="shared" ca="1" si="36"/>
        <v/>
      </c>
      <c r="AC151" s="89">
        <v>4273.2481020128562</v>
      </c>
      <c r="AD151" s="36">
        <f ca="1">IFERROR(AC151/L151,0)</f>
        <v>1.6523778095010553</v>
      </c>
      <c r="AF151" s="8">
        <f ca="1">$AD151*(P151-'Function Factors'!F16)</f>
        <v>0</v>
      </c>
      <c r="AH151" s="8">
        <f ca="1">$AD151*(R151-'Function Factors'!H16)</f>
        <v>0</v>
      </c>
      <c r="AJ151" s="8">
        <f ca="1">$AD151*(T151-'Function Factors'!J16)</f>
        <v>0</v>
      </c>
      <c r="AL151" s="8">
        <f ca="1">$AD151*(V151-'Function Factors'!L16)</f>
        <v>4273.2481020128562</v>
      </c>
      <c r="AN151" s="8">
        <f t="shared" ca="1" si="33"/>
        <v>4273.2481020128562</v>
      </c>
    </row>
    <row r="152" spans="2:40" ht="13" x14ac:dyDescent="0.3">
      <c r="B152" s="18">
        <f>B151+1</f>
        <v>94</v>
      </c>
      <c r="D152" s="35" t="s">
        <v>136</v>
      </c>
      <c r="F152" s="76">
        <v>19535.319138357758</v>
      </c>
      <c r="H152" s="76"/>
      <c r="K152" s="70">
        <f>_xlfn.IFNA(MATCH(J152,'Function Factors'!$B$9:$B$455,0),0)</f>
        <v>0</v>
      </c>
      <c r="L152" s="48">
        <f t="shared" ref="L152:L156" si="49">F152-H152</f>
        <v>19535.319138357758</v>
      </c>
      <c r="N152" s="2" t="s">
        <v>50</v>
      </c>
      <c r="O152" s="70">
        <f>_xlfn.IFNA(MATCH(N152,'Function Factors'!$B$9:$B$455,0),0)</f>
        <v>36</v>
      </c>
      <c r="P152" s="76">
        <f ca="1">OFFSET('Function Factors'!$B$9,$O152-1,P$14)*$L152+OFFSET('Function Factors'!$B$9,$K152-1,P$14)*$H152</f>
        <v>0</v>
      </c>
      <c r="R152" s="76">
        <f ca="1">OFFSET('Function Factors'!$B$9,$O152-1,R$14)*$L152+OFFSET('Function Factors'!$B$9,$K152-1,R$14)*$H152</f>
        <v>0</v>
      </c>
      <c r="S152" s="76"/>
      <c r="T152" s="76">
        <f ca="1">OFFSET('Function Factors'!$B$9,$O152-1,T$14)*$L152+OFFSET('Function Factors'!$B$9,$K152-1,T$14)*$H152</f>
        <v>0</v>
      </c>
      <c r="U152" s="76"/>
      <c r="V152" s="76">
        <f ca="1">OFFSET('Function Factors'!$B$9,$O152-1,V$14)*$L152+OFFSET('Function Factors'!$B$9,$K152-1,V$14)*$H152</f>
        <v>19535.319138357758</v>
      </c>
      <c r="X152" s="76">
        <f t="shared" ca="1" si="48"/>
        <v>19535.319138357758</v>
      </c>
      <c r="Z152" s="49" t="str">
        <f t="shared" ca="1" si="36"/>
        <v/>
      </c>
      <c r="AC152" s="89">
        <v>8208.9423951896006</v>
      </c>
      <c r="AD152" s="36">
        <f t="shared" ref="AD152:AD157" si="50">IFERROR(AC152/F152,0)</f>
        <v>0.42021030406773724</v>
      </c>
      <c r="AF152" s="8">
        <f t="shared" ca="1" si="29"/>
        <v>0</v>
      </c>
      <c r="AH152" s="8">
        <f t="shared" ca="1" si="30"/>
        <v>0</v>
      </c>
      <c r="AJ152" s="8">
        <f t="shared" ca="1" si="31"/>
        <v>0</v>
      </c>
      <c r="AL152" s="8">
        <f t="shared" ca="1" si="32"/>
        <v>8208.9423951896006</v>
      </c>
      <c r="AN152" s="8">
        <f t="shared" ca="1" si="33"/>
        <v>8208.9423951896006</v>
      </c>
    </row>
    <row r="153" spans="2:40" ht="13" x14ac:dyDescent="0.3">
      <c r="B153" s="18">
        <f>B152+1</f>
        <v>95</v>
      </c>
      <c r="D153" s="35" t="s">
        <v>137</v>
      </c>
      <c r="F153" s="76">
        <v>23437.232127810334</v>
      </c>
      <c r="H153" s="76"/>
      <c r="K153" s="70">
        <f>_xlfn.IFNA(MATCH(J153,'Function Factors'!$B$9:$B$455,0),0)</f>
        <v>0</v>
      </c>
      <c r="L153" s="48">
        <f t="shared" si="49"/>
        <v>23437.232127810334</v>
      </c>
      <c r="N153" s="2" t="s">
        <v>50</v>
      </c>
      <c r="O153" s="70">
        <f>_xlfn.IFNA(MATCH(N153,'Function Factors'!$B$9:$B$455,0),0)</f>
        <v>36</v>
      </c>
      <c r="P153" s="76">
        <f ca="1">OFFSET('Function Factors'!$B$9,$O153-1,P$14)*$L153+OFFSET('Function Factors'!$B$9,$K153-1,P$14)*$H153</f>
        <v>0</v>
      </c>
      <c r="R153" s="76">
        <f ca="1">OFFSET('Function Factors'!$B$9,$O153-1,R$14)*$L153+OFFSET('Function Factors'!$B$9,$K153-1,R$14)*$H153</f>
        <v>0</v>
      </c>
      <c r="S153" s="76"/>
      <c r="T153" s="76">
        <f ca="1">OFFSET('Function Factors'!$B$9,$O153-1,T$14)*$L153+OFFSET('Function Factors'!$B$9,$K153-1,T$14)*$H153</f>
        <v>0</v>
      </c>
      <c r="U153" s="76"/>
      <c r="V153" s="76">
        <f ca="1">OFFSET('Function Factors'!$B$9,$O153-1,V$14)*$L153+OFFSET('Function Factors'!$B$9,$K153-1,V$14)*$H153</f>
        <v>23437.232127810334</v>
      </c>
      <c r="X153" s="76">
        <f t="shared" ca="1" si="48"/>
        <v>23437.232127810334</v>
      </c>
      <c r="Z153" s="49" t="str">
        <f t="shared" ca="1" si="36"/>
        <v/>
      </c>
      <c r="AC153" s="89">
        <v>430.97034567832998</v>
      </c>
      <c r="AD153" s="36">
        <f t="shared" si="50"/>
        <v>1.8388278245832015E-2</v>
      </c>
      <c r="AF153" s="8">
        <f t="shared" ca="1" si="29"/>
        <v>0</v>
      </c>
      <c r="AH153" s="8">
        <f t="shared" ca="1" si="30"/>
        <v>0</v>
      </c>
      <c r="AJ153" s="8">
        <f t="shared" ca="1" si="31"/>
        <v>0</v>
      </c>
      <c r="AL153" s="8">
        <f t="shared" ca="1" si="32"/>
        <v>430.97034567832998</v>
      </c>
      <c r="AN153" s="8">
        <f t="shared" ca="1" si="33"/>
        <v>430.97034567832998</v>
      </c>
    </row>
    <row r="154" spans="2:40" ht="13" x14ac:dyDescent="0.3">
      <c r="B154" s="18">
        <f t="shared" ref="B154:B157" si="51">B153+1</f>
        <v>96</v>
      </c>
      <c r="D154" s="35" t="s">
        <v>138</v>
      </c>
      <c r="F154" s="76">
        <v>47499.389818864729</v>
      </c>
      <c r="H154" s="76"/>
      <c r="K154" s="70">
        <f>_xlfn.IFNA(MATCH(J154,'Function Factors'!$B$9:$B$455,0),0)</f>
        <v>0</v>
      </c>
      <c r="L154" s="48">
        <f t="shared" si="49"/>
        <v>47499.389818864729</v>
      </c>
      <c r="N154" s="2" t="s">
        <v>50</v>
      </c>
      <c r="O154" s="70">
        <f>_xlfn.IFNA(MATCH(N154,'Function Factors'!$B$9:$B$455,0),0)</f>
        <v>36</v>
      </c>
      <c r="P154" s="76">
        <f ca="1">OFFSET('Function Factors'!$B$9,$O154-1,P$14)*$L154+OFFSET('Function Factors'!$B$9,$K154-1,P$14)*$H154</f>
        <v>0</v>
      </c>
      <c r="R154" s="76">
        <f ca="1">OFFSET('Function Factors'!$B$9,$O154-1,R$14)*$L154+OFFSET('Function Factors'!$B$9,$K154-1,R$14)*$H154</f>
        <v>0</v>
      </c>
      <c r="S154" s="76"/>
      <c r="T154" s="76">
        <f ca="1">OFFSET('Function Factors'!$B$9,$O154-1,T$14)*$L154+OFFSET('Function Factors'!$B$9,$K154-1,T$14)*$H154</f>
        <v>0</v>
      </c>
      <c r="U154" s="76"/>
      <c r="V154" s="76">
        <f ca="1">OFFSET('Function Factors'!$B$9,$O154-1,V$14)*$L154+OFFSET('Function Factors'!$B$9,$K154-1,V$14)*$H154</f>
        <v>47499.389818864729</v>
      </c>
      <c r="X154" s="76">
        <f t="shared" ca="1" si="48"/>
        <v>47499.389818864729</v>
      </c>
      <c r="Z154" s="49" t="str">
        <f t="shared" ca="1" si="36"/>
        <v/>
      </c>
      <c r="AC154" s="89">
        <v>4988.9291576484293</v>
      </c>
      <c r="AD154" s="36">
        <f t="shared" si="50"/>
        <v>0.10503143675473152</v>
      </c>
      <c r="AF154" s="8">
        <f t="shared" ca="1" si="29"/>
        <v>0</v>
      </c>
      <c r="AH154" s="8">
        <f t="shared" ca="1" si="30"/>
        <v>0</v>
      </c>
      <c r="AJ154" s="8">
        <f t="shared" ca="1" si="31"/>
        <v>0</v>
      </c>
      <c r="AL154" s="8">
        <f t="shared" ca="1" si="32"/>
        <v>4988.9291576484293</v>
      </c>
      <c r="AN154" s="8">
        <f t="shared" ca="1" si="33"/>
        <v>4988.9291576484293</v>
      </c>
    </row>
    <row r="155" spans="2:40" ht="13" x14ac:dyDescent="0.3">
      <c r="B155" s="18">
        <f t="shared" si="51"/>
        <v>97</v>
      </c>
      <c r="D155" s="35" t="s">
        <v>139</v>
      </c>
      <c r="F155" s="76">
        <v>6052.9452734375218</v>
      </c>
      <c r="H155" s="76"/>
      <c r="K155" s="70">
        <f>_xlfn.IFNA(MATCH(J155,'Function Factors'!$B$9:$B$455,0),0)</f>
        <v>0</v>
      </c>
      <c r="L155" s="48">
        <f t="shared" si="49"/>
        <v>6052.9452734375218</v>
      </c>
      <c r="N155" s="2" t="s">
        <v>50</v>
      </c>
      <c r="O155" s="70">
        <f>_xlfn.IFNA(MATCH(N155,'Function Factors'!$B$9:$B$455,0),0)</f>
        <v>36</v>
      </c>
      <c r="P155" s="76">
        <f ca="1">OFFSET('Function Factors'!$B$9,$O155-1,P$14)*$L155+OFFSET('Function Factors'!$B$9,$K155-1,P$14)*$H155</f>
        <v>0</v>
      </c>
      <c r="R155" s="76">
        <f ca="1">OFFSET('Function Factors'!$B$9,$O155-1,R$14)*$L155+OFFSET('Function Factors'!$B$9,$K155-1,R$14)*$H155</f>
        <v>0</v>
      </c>
      <c r="S155" s="76"/>
      <c r="T155" s="76">
        <f ca="1">OFFSET('Function Factors'!$B$9,$O155-1,T$14)*$L155+OFFSET('Function Factors'!$B$9,$K155-1,T$14)*$H155</f>
        <v>0</v>
      </c>
      <c r="U155" s="76"/>
      <c r="V155" s="76">
        <f ca="1">OFFSET('Function Factors'!$B$9,$O155-1,V$14)*$L155+OFFSET('Function Factors'!$B$9,$K155-1,V$14)*$H155</f>
        <v>6052.9452734375218</v>
      </c>
      <c r="X155" s="76">
        <f t="shared" ca="1" si="48"/>
        <v>6052.9452734375218</v>
      </c>
      <c r="Z155" s="49" t="str">
        <f t="shared" ca="1" si="36"/>
        <v/>
      </c>
      <c r="AC155" s="89">
        <v>5323.0427163833365</v>
      </c>
      <c r="AD155" s="36">
        <f t="shared" si="50"/>
        <v>0.87941365334042298</v>
      </c>
      <c r="AF155" s="8">
        <f t="shared" ca="1" si="29"/>
        <v>0</v>
      </c>
      <c r="AH155" s="8">
        <f t="shared" ca="1" si="30"/>
        <v>0</v>
      </c>
      <c r="AJ155" s="8">
        <f t="shared" ca="1" si="31"/>
        <v>0</v>
      </c>
      <c r="AL155" s="8">
        <f t="shared" ca="1" si="32"/>
        <v>5323.0427163833365</v>
      </c>
      <c r="AN155" s="8">
        <f t="shared" ca="1" si="33"/>
        <v>5323.0427163833365</v>
      </c>
    </row>
    <row r="156" spans="2:40" ht="13" x14ac:dyDescent="0.3">
      <c r="B156" s="18">
        <f t="shared" si="51"/>
        <v>98</v>
      </c>
      <c r="D156" s="35" t="s">
        <v>140</v>
      </c>
      <c r="F156" s="76">
        <v>6258.7532042938401</v>
      </c>
      <c r="H156" s="76"/>
      <c r="K156" s="70">
        <f>_xlfn.IFNA(MATCH(J156,'Function Factors'!$B$9:$B$455,0),0)</f>
        <v>0</v>
      </c>
      <c r="L156" s="48">
        <f t="shared" si="49"/>
        <v>6258.7532042938401</v>
      </c>
      <c r="N156" s="2" t="s">
        <v>50</v>
      </c>
      <c r="O156" s="70">
        <f>_xlfn.IFNA(MATCH(N156,'Function Factors'!$B$9:$B$455,0),0)</f>
        <v>36</v>
      </c>
      <c r="P156" s="76">
        <f ca="1">OFFSET('Function Factors'!$B$9,$O156-1,P$14)*$L156+OFFSET('Function Factors'!$B$9,$K156-1,P$14)*$H156</f>
        <v>0</v>
      </c>
      <c r="R156" s="76">
        <f ca="1">OFFSET('Function Factors'!$B$9,$O156-1,R$14)*$L156+OFFSET('Function Factors'!$B$9,$K156-1,R$14)*$H156</f>
        <v>0</v>
      </c>
      <c r="S156" s="76"/>
      <c r="T156" s="76">
        <f ca="1">OFFSET('Function Factors'!$B$9,$O156-1,T$14)*$L156+OFFSET('Function Factors'!$B$9,$K156-1,T$14)*$H156</f>
        <v>0</v>
      </c>
      <c r="U156" s="76"/>
      <c r="V156" s="76">
        <f ca="1">OFFSET('Function Factors'!$B$9,$O156-1,V$14)*$L156+OFFSET('Function Factors'!$B$9,$K156-1,V$14)*$H156</f>
        <v>6258.7532042938401</v>
      </c>
      <c r="X156" s="76">
        <f t="shared" ca="1" si="48"/>
        <v>6258.7532042938401</v>
      </c>
      <c r="Z156" s="49" t="str">
        <f t="shared" ca="1" si="36"/>
        <v/>
      </c>
      <c r="AC156" s="89">
        <v>1248.1922043138802</v>
      </c>
      <c r="AD156" s="36">
        <f t="shared" si="50"/>
        <v>0.19943144641932095</v>
      </c>
      <c r="AF156" s="8">
        <f t="shared" ca="1" si="29"/>
        <v>0</v>
      </c>
      <c r="AH156" s="8">
        <f t="shared" ca="1" si="30"/>
        <v>0</v>
      </c>
      <c r="AJ156" s="8">
        <f t="shared" ca="1" si="31"/>
        <v>0</v>
      </c>
      <c r="AL156" s="8">
        <f t="shared" ca="1" si="32"/>
        <v>1248.1922043138802</v>
      </c>
      <c r="AN156" s="8">
        <f t="shared" ca="1" si="33"/>
        <v>1248.1922043138802</v>
      </c>
    </row>
    <row r="157" spans="2:40" ht="13" x14ac:dyDescent="0.3">
      <c r="B157" s="18">
        <f t="shared" si="51"/>
        <v>99</v>
      </c>
      <c r="D157" s="35" t="s">
        <v>141</v>
      </c>
      <c r="F157" s="76">
        <v>21966.003061248291</v>
      </c>
      <c r="H157" s="48">
        <f ca="1">IF(K157&lt;&gt;0,OFFSET('Function Factors'!$A$8,$K157-1,3),0)</f>
        <v>10151.221525209376</v>
      </c>
      <c r="J157" s="2" t="s">
        <v>142</v>
      </c>
      <c r="K157" s="70">
        <f>_xlfn.IFNA(MATCH(J157,'Function Factors'!$B$9:$B$455,0),0)</f>
        <v>18</v>
      </c>
      <c r="L157" s="48">
        <f ca="1">F157-H157</f>
        <v>11814.781536038916</v>
      </c>
      <c r="N157" s="2" t="s">
        <v>50</v>
      </c>
      <c r="O157" s="70">
        <f>_xlfn.IFNA(MATCH(N157,'Function Factors'!$B$9:$B$455,0),0)</f>
        <v>36</v>
      </c>
      <c r="P157" s="76">
        <f ca="1">OFFSET('Function Factors'!$B$9,$O157-1,P$14)*$L157+OFFSET('Function Factors'!$B$9,$K157-1,P$14)*$H157</f>
        <v>10151.221525209376</v>
      </c>
      <c r="R157" s="76">
        <f ca="1">OFFSET('Function Factors'!$B$9,$O157-1,R$14)*$L157+OFFSET('Function Factors'!$B$9,$K157-1,R$14)*$H157</f>
        <v>0</v>
      </c>
      <c r="S157" s="76"/>
      <c r="T157" s="76">
        <f ca="1">OFFSET('Function Factors'!$B$9,$O157-1,T$14)*$L157+OFFSET('Function Factors'!$B$9,$K157-1,T$14)*$H157</f>
        <v>0</v>
      </c>
      <c r="U157" s="76"/>
      <c r="V157" s="76">
        <f ca="1">OFFSET('Function Factors'!$B$9,$O157-1,V$14)*$L157+OFFSET('Function Factors'!$B$9,$K157-1,V$14)*$H157</f>
        <v>11814.781536038916</v>
      </c>
      <c r="X157" s="76">
        <f t="shared" ca="1" si="48"/>
        <v>21966.003061248291</v>
      </c>
      <c r="Z157" s="49" t="str">
        <f t="shared" ca="1" si="36"/>
        <v/>
      </c>
      <c r="AC157" s="89">
        <v>0</v>
      </c>
      <c r="AD157" s="36">
        <f t="shared" si="50"/>
        <v>0</v>
      </c>
      <c r="AF157" s="8">
        <f t="shared" ca="1" si="29"/>
        <v>0</v>
      </c>
      <c r="AH157" s="8">
        <f t="shared" ca="1" si="30"/>
        <v>0</v>
      </c>
      <c r="AJ157" s="8">
        <f t="shared" ca="1" si="31"/>
        <v>0</v>
      </c>
      <c r="AL157" s="8">
        <f t="shared" ca="1" si="32"/>
        <v>0</v>
      </c>
      <c r="AN157" s="8">
        <f t="shared" ca="1" si="33"/>
        <v>0</v>
      </c>
    </row>
    <row r="158" spans="2:40" ht="13" x14ac:dyDescent="0.3">
      <c r="D158" s="1" t="s">
        <v>143</v>
      </c>
      <c r="K158" s="70"/>
      <c r="Z158" s="49" t="str">
        <f t="shared" si="36"/>
        <v/>
      </c>
      <c r="AF158" s="8"/>
      <c r="AH158" s="8"/>
      <c r="AJ158" s="8"/>
      <c r="AL158" s="8"/>
      <c r="AN158" s="8"/>
    </row>
    <row r="159" spans="2:40" ht="13" x14ac:dyDescent="0.3">
      <c r="B159" s="18">
        <f>B157+1</f>
        <v>100</v>
      </c>
      <c r="D159" s="35" t="s">
        <v>144</v>
      </c>
      <c r="F159" s="76">
        <v>176362.21253862113</v>
      </c>
      <c r="H159" s="48">
        <f ca="1">IF(K159&lt;&gt;0,OFFSET('Function Factors'!$A$8,$K159-1,3),0)</f>
        <v>2531.2823068200137</v>
      </c>
      <c r="J159" s="2" t="s">
        <v>145</v>
      </c>
      <c r="K159" s="70">
        <f>_xlfn.IFNA(MATCH(J159,'Function Factors'!$B$9:$B$455,0),0)</f>
        <v>12</v>
      </c>
      <c r="L159" s="48">
        <f t="shared" ca="1" si="25"/>
        <v>173830.93023180112</v>
      </c>
      <c r="N159" s="2" t="s">
        <v>146</v>
      </c>
      <c r="O159" s="70">
        <f>_xlfn.IFNA(MATCH(N159,'Function Factors'!$B$9:$B$455,0),0)</f>
        <v>51</v>
      </c>
      <c r="P159" s="76">
        <f ca="1">OFFSET('Function Factors'!$B$9,$O159-1,P$14)*$L159+OFFSET('Function Factors'!$B$9,$K159-1,P$14)*$H159</f>
        <v>2104.1517941099964</v>
      </c>
      <c r="R159" s="76">
        <f ca="1">OFFSET('Function Factors'!$B$9,$O159-1,R$14)*$L159+OFFSET('Function Factors'!$B$9,$K159-1,R$14)*$H159</f>
        <v>10406.168494020048</v>
      </c>
      <c r="S159" s="76"/>
      <c r="T159" s="76">
        <f ca="1">OFFSET('Function Factors'!$B$9,$O159-1,T$14)*$L159+OFFSET('Function Factors'!$B$9,$K159-1,T$14)*$H159</f>
        <v>12393.267122205594</v>
      </c>
      <c r="U159" s="76"/>
      <c r="V159" s="76">
        <f ca="1">OFFSET('Function Factors'!$B$9,$O159-1,V$14)*$L159+OFFSET('Function Factors'!$B$9,$K159-1,V$14)*$H159</f>
        <v>151458.62512828552</v>
      </c>
      <c r="X159" s="76">
        <f t="shared" ref="X159:X160" ca="1" si="52">P159+R159+T159+V159</f>
        <v>176362.21253862116</v>
      </c>
      <c r="Z159" s="49" t="str">
        <f t="shared" ca="1" si="36"/>
        <v/>
      </c>
      <c r="AC159" s="89">
        <v>0</v>
      </c>
      <c r="AD159" s="36">
        <f t="shared" ref="AD159" si="53">IFERROR(AC159/F159,0)</f>
        <v>0</v>
      </c>
      <c r="AF159" s="8"/>
      <c r="AH159" s="8"/>
      <c r="AJ159" s="8"/>
      <c r="AL159" s="8"/>
      <c r="AN159" s="8"/>
    </row>
    <row r="160" spans="2:40" ht="13" x14ac:dyDescent="0.3">
      <c r="B160" s="18">
        <f>B159+1</f>
        <v>101</v>
      </c>
      <c r="D160" s="35" t="s">
        <v>147</v>
      </c>
      <c r="F160" s="37">
        <v>218020.94145853553</v>
      </c>
      <c r="H160" s="48">
        <f ca="1">IF(K160&lt;&gt;0,OFFSET('Function Factors'!$A$8,$K160-1,3),0)</f>
        <v>5865.9645385754357</v>
      </c>
      <c r="J160" s="2" t="s">
        <v>148</v>
      </c>
      <c r="K160" s="70">
        <f>_xlfn.IFNA(MATCH(J160,'Function Factors'!$B$9:$B$455,0),0)</f>
        <v>6</v>
      </c>
      <c r="L160" s="48">
        <f ca="1">F160-H160</f>
        <v>212154.97691996009</v>
      </c>
      <c r="N160" s="2" t="s">
        <v>149</v>
      </c>
      <c r="O160" s="70">
        <f>_xlfn.IFNA(MATCH(N160,'Function Factors'!$B$9:$B$455,0),0)</f>
        <v>81</v>
      </c>
      <c r="P160" s="76">
        <f ca="1">OFFSET('Function Factors'!$B$9,$O160-1,P$14)*$L160+OFFSET('Function Factors'!$B$9,$K160-1,P$14)*$H160</f>
        <v>4758.6044086021757</v>
      </c>
      <c r="R160" s="76">
        <f ca="1">OFFSET('Function Factors'!$B$9,$O160-1,R$14)*$L160+OFFSET('Function Factors'!$B$9,$K160-1,R$14)*$H160</f>
        <v>13722.899779797006</v>
      </c>
      <c r="S160" s="76"/>
      <c r="T160" s="76">
        <f ca="1">OFFSET('Function Factors'!$B$9,$O160-1,T$14)*$L160+OFFSET('Function Factors'!$B$9,$K160-1,T$14)*$H160</f>
        <v>15289.379593203619</v>
      </c>
      <c r="U160" s="76"/>
      <c r="V160" s="76">
        <f ca="1">OFFSET('Function Factors'!$B$9,$O160-1,V$14)*$L160+OFFSET('Function Factors'!$B$9,$K160-1,V$14)*$H160</f>
        <v>184250.05767693275</v>
      </c>
      <c r="X160" s="37">
        <f t="shared" ca="1" si="52"/>
        <v>218020.94145853556</v>
      </c>
      <c r="Z160" s="49" t="str">
        <f t="shared" ca="1" si="36"/>
        <v/>
      </c>
      <c r="AC160" s="89">
        <v>121615.23698714731</v>
      </c>
      <c r="AD160" s="36">
        <f ca="1">IFERROR(AC160/L160,0)</f>
        <v>0.57323772815864327</v>
      </c>
      <c r="AF160" s="8">
        <v>0</v>
      </c>
      <c r="AH160" s="8">
        <v>7866.4838935195812</v>
      </c>
      <c r="AJ160" s="8">
        <v>8764.4492229631633</v>
      </c>
      <c r="AL160" s="8">
        <v>104984.30387066457</v>
      </c>
      <c r="AN160" s="8">
        <f t="shared" si="33"/>
        <v>121615.23698714732</v>
      </c>
    </row>
    <row r="161" spans="2:40" ht="13" x14ac:dyDescent="0.3">
      <c r="K161" s="70"/>
      <c r="X161" s="48"/>
      <c r="Z161" s="49" t="str">
        <f t="shared" si="36"/>
        <v/>
      </c>
    </row>
    <row r="162" spans="2:40" ht="13" x14ac:dyDescent="0.3">
      <c r="B162" s="18">
        <f>B160+1</f>
        <v>102</v>
      </c>
      <c r="D162" s="1" t="s">
        <v>150</v>
      </c>
      <c r="F162" s="78">
        <f>SUM(F116:F160)</f>
        <v>3408398.9906034837</v>
      </c>
      <c r="H162" s="78">
        <f ca="1">SUM(H116:H160)</f>
        <v>23197.563321055226</v>
      </c>
      <c r="L162" s="78">
        <f ca="1">SUM(L116:L160)</f>
        <v>3385201.4272824293</v>
      </c>
      <c r="P162" s="78">
        <f ca="1">SUM(P116:P160)</f>
        <v>2268393.9371493408</v>
      </c>
      <c r="Q162" s="48"/>
      <c r="R162" s="78">
        <f ca="1">SUM(R116:R160)</f>
        <v>83789.27223971051</v>
      </c>
      <c r="S162" s="48"/>
      <c r="T162" s="78">
        <f ca="1">SUM(T116:T160)</f>
        <v>109276.40884090039</v>
      </c>
      <c r="U162" s="48"/>
      <c r="V162" s="78">
        <f ca="1">SUM(V116:V160)</f>
        <v>946939.3723735325</v>
      </c>
      <c r="X162" s="78">
        <f ca="1">SUM(X116:X160)</f>
        <v>3408398.9906034842</v>
      </c>
      <c r="Z162" s="49" t="str">
        <f t="shared" ca="1" si="36"/>
        <v/>
      </c>
      <c r="AC162" s="78">
        <f>SUM(AC116:AC161)</f>
        <v>302587.37595488038</v>
      </c>
      <c r="AF162" s="78">
        <f ca="1">SUM(AF116:AF161)</f>
        <v>0</v>
      </c>
      <c r="AH162" s="78">
        <f ca="1">SUM(AH116:AH161)</f>
        <v>18114.010056501611</v>
      </c>
      <c r="AJ162" s="78">
        <f ca="1">SUM(AJ116:AJ161)</f>
        <v>21572.951217688635</v>
      </c>
      <c r="AL162" s="78">
        <f ca="1">SUM(AL116:AL161)</f>
        <v>262900.4146806901</v>
      </c>
      <c r="AN162" s="78">
        <f ca="1">SUM(AN116:AN161)</f>
        <v>302587.37595488038</v>
      </c>
    </row>
    <row r="163" spans="2:40" ht="13" x14ac:dyDescent="0.3">
      <c r="Z163" s="49" t="str">
        <f t="shared" si="36"/>
        <v/>
      </c>
    </row>
    <row r="164" spans="2:40" ht="13.5" thickBot="1" x14ac:dyDescent="0.35">
      <c r="B164" s="18">
        <f>B162+1</f>
        <v>103</v>
      </c>
      <c r="D164" s="1" t="s">
        <v>151</v>
      </c>
      <c r="F164" s="80">
        <f>F162+F104+F110+F97</f>
        <v>5329890.4041851545</v>
      </c>
      <c r="H164" s="80">
        <f ca="1">H162+H104+H110+H97</f>
        <v>23197.563321055226</v>
      </c>
      <c r="L164" s="80">
        <f ca="1">L162+L104+L110+L97</f>
        <v>5306692.8408641005</v>
      </c>
      <c r="P164" s="80">
        <f ca="1">P162+P104+P110+P97</f>
        <v>2268393.9371493408</v>
      </c>
      <c r="R164" s="80">
        <f ca="1">R162+R104+R110+R97</f>
        <v>193487.49708184868</v>
      </c>
      <c r="T164" s="80">
        <f ca="1">T162+T104+T110+T97</f>
        <v>403717.30409028684</v>
      </c>
      <c r="V164" s="80">
        <f ca="1">V162+V104+V110+V97</f>
        <v>2464291.6658636788</v>
      </c>
      <c r="X164" s="80">
        <f ca="1">X162+X104+X110+X97</f>
        <v>5329890.4041851554</v>
      </c>
      <c r="Z164" s="49" t="str">
        <f t="shared" ca="1" si="36"/>
        <v/>
      </c>
      <c r="AF164" s="24"/>
      <c r="AH164" s="24"/>
      <c r="AJ164" s="24"/>
      <c r="AL164" s="24"/>
      <c r="AN164" s="24"/>
    </row>
    <row r="165" spans="2:40" ht="13.5" thickTop="1" x14ac:dyDescent="0.3">
      <c r="F165" s="48"/>
      <c r="H165" s="48"/>
      <c r="L165" s="48"/>
      <c r="P165" s="48"/>
      <c r="R165" s="48"/>
      <c r="T165" s="48"/>
      <c r="V165" s="48"/>
      <c r="X165" s="48"/>
      <c r="Z165" s="49" t="str">
        <f t="shared" si="36"/>
        <v/>
      </c>
    </row>
    <row r="166" spans="2:40" ht="13" x14ac:dyDescent="0.3">
      <c r="F166" s="48"/>
      <c r="H166" s="48"/>
      <c r="L166" s="48"/>
      <c r="P166" s="48"/>
      <c r="R166" s="48"/>
      <c r="T166" s="48"/>
      <c r="V166" s="48"/>
      <c r="X166" s="48"/>
      <c r="Z166" s="49" t="str">
        <f t="shared" si="36"/>
        <v/>
      </c>
      <c r="AH166" s="24"/>
      <c r="AJ166" s="24"/>
      <c r="AL166" s="24"/>
      <c r="AN166" s="24"/>
    </row>
    <row r="167" spans="2:40" ht="13" x14ac:dyDescent="0.3">
      <c r="F167" s="48"/>
      <c r="H167" s="48"/>
      <c r="L167" s="48"/>
      <c r="P167" s="48"/>
      <c r="R167" s="48"/>
      <c r="T167" s="48"/>
      <c r="V167" s="48"/>
      <c r="X167" s="48"/>
      <c r="Z167" s="49" t="str">
        <f t="shared" si="36"/>
        <v/>
      </c>
    </row>
    <row r="168" spans="2:40" ht="13" x14ac:dyDescent="0.3">
      <c r="D168" s="6" t="s">
        <v>152</v>
      </c>
      <c r="X168" s="48"/>
      <c r="Z168" s="49" t="str">
        <f t="shared" si="36"/>
        <v/>
      </c>
    </row>
    <row r="169" spans="2:40" ht="13" x14ac:dyDescent="0.3">
      <c r="D169" s="6"/>
      <c r="F169" s="76"/>
      <c r="H169" s="76"/>
      <c r="L169" s="48"/>
      <c r="N169" s="2"/>
      <c r="P169" s="76"/>
      <c r="R169" s="76"/>
      <c r="S169" s="76"/>
      <c r="T169" s="76"/>
      <c r="U169" s="76"/>
      <c r="V169" s="76"/>
      <c r="X169" s="76"/>
      <c r="Z169" s="49" t="str">
        <f t="shared" si="36"/>
        <v/>
      </c>
    </row>
    <row r="170" spans="2:40" ht="13" x14ac:dyDescent="0.3">
      <c r="B170" s="18">
        <f>B164+1</f>
        <v>104</v>
      </c>
      <c r="D170" s="1" t="s">
        <v>153</v>
      </c>
      <c r="F170" s="76">
        <v>2942.6114096800702</v>
      </c>
      <c r="H170" s="76"/>
      <c r="K170" s="70">
        <f>_xlfn.IFNA(MATCH(J170,'Function Factors'!$B$9:$B$455,0),0)</f>
        <v>0</v>
      </c>
      <c r="L170" s="48">
        <f t="shared" ref="L170" si="54">F170-H170</f>
        <v>2942.6114096800702</v>
      </c>
      <c r="N170" s="2" t="s">
        <v>98</v>
      </c>
      <c r="O170" s="70">
        <f>_xlfn.IFNA(MATCH(N170,'Function Factors'!$B$9:$B$455,0),0)</f>
        <v>39</v>
      </c>
      <c r="P170" s="76">
        <f ca="1">OFFSET('Function Factors'!$B$9,$O170-1,P$14)*$L170+OFFSET('Function Factors'!$B$9,$K170-1,P$14)*$H170</f>
        <v>2942.6114096800702</v>
      </c>
      <c r="R170" s="76">
        <f ca="1">OFFSET('Function Factors'!$B$9,$O170-1,R$14)*$L170+OFFSET('Function Factors'!$B$9,$K170-1,R$14)*$H170</f>
        <v>0</v>
      </c>
      <c r="S170" s="76"/>
      <c r="T170" s="76">
        <f ca="1">OFFSET('Function Factors'!$B$9,$O170-1,T$14)*$L170+OFFSET('Function Factors'!$B$9,$K170-1,T$14)*$H170</f>
        <v>0</v>
      </c>
      <c r="U170" s="76"/>
      <c r="V170" s="76">
        <f ca="1">OFFSET('Function Factors'!$B$9,$O170-1,V$14)*$L170+OFFSET('Function Factors'!$B$9,$K170-1,V$14)*$H170</f>
        <v>0</v>
      </c>
      <c r="X170" s="76">
        <f t="shared" ref="X170:X176" ca="1" si="55">P170+R170+T170+V170</f>
        <v>2942.6114096800702</v>
      </c>
      <c r="Z170" s="49" t="str">
        <f t="shared" ca="1" si="36"/>
        <v/>
      </c>
    </row>
    <row r="171" spans="2:40" ht="13" x14ac:dyDescent="0.3">
      <c r="B171" s="18">
        <f t="shared" ref="B171:B176" si="56">B170+1</f>
        <v>105</v>
      </c>
      <c r="D171" s="1" t="s">
        <v>154</v>
      </c>
      <c r="F171" s="76">
        <v>2421.6385455058507</v>
      </c>
      <c r="H171" s="76"/>
      <c r="K171" s="70">
        <f>_xlfn.IFNA(MATCH(J171,'Function Factors'!$B$9:$B$455,0),0)</f>
        <v>0</v>
      </c>
      <c r="L171" s="48">
        <f>F171-H171</f>
        <v>2421.6385455058507</v>
      </c>
      <c r="N171" s="2" t="s">
        <v>98</v>
      </c>
      <c r="O171" s="70">
        <f>_xlfn.IFNA(MATCH(N171,'Function Factors'!$B$9:$B$455,0),0)</f>
        <v>39</v>
      </c>
      <c r="P171" s="76">
        <f ca="1">OFFSET('Function Factors'!$B$9,$O171-1,P$14)*$L171+OFFSET('Function Factors'!$B$9,$K171-1,P$14)*$H171</f>
        <v>2421.6385455058507</v>
      </c>
      <c r="R171" s="76">
        <f ca="1">OFFSET('Function Factors'!$B$9,$O171-1,R$14)*$L171+OFFSET('Function Factors'!$B$9,$K171-1,R$14)*$H171</f>
        <v>0</v>
      </c>
      <c r="S171" s="76"/>
      <c r="T171" s="76">
        <f ca="1">OFFSET('Function Factors'!$B$9,$O171-1,T$14)*$L171+OFFSET('Function Factors'!$B$9,$K171-1,T$14)*$H171</f>
        <v>0</v>
      </c>
      <c r="U171" s="76"/>
      <c r="V171" s="76">
        <f ca="1">OFFSET('Function Factors'!$B$9,$O171-1,V$14)*$L171+OFFSET('Function Factors'!$B$9,$K171-1,V$14)*$H171</f>
        <v>0</v>
      </c>
      <c r="X171" s="76">
        <f t="shared" ca="1" si="55"/>
        <v>2421.6385455058507</v>
      </c>
      <c r="Z171" s="49" t="str">
        <f t="shared" ca="1" si="36"/>
        <v/>
      </c>
    </row>
    <row r="172" spans="2:40" ht="13" x14ac:dyDescent="0.3">
      <c r="B172" s="18">
        <f t="shared" si="56"/>
        <v>106</v>
      </c>
      <c r="D172" s="1" t="s">
        <v>155</v>
      </c>
      <c r="F172" s="76">
        <v>15336.5926054518</v>
      </c>
      <c r="H172" s="76"/>
      <c r="K172" s="70">
        <f>_xlfn.IFNA(MATCH(J172,'Function Factors'!$B$9:$B$455,0),0)</f>
        <v>0</v>
      </c>
      <c r="L172" s="48">
        <f>F172-H172</f>
        <v>15336.5926054518</v>
      </c>
      <c r="N172" s="2" t="s">
        <v>98</v>
      </c>
      <c r="O172" s="70">
        <f>_xlfn.IFNA(MATCH(N172,'Function Factors'!$B$9:$B$455,0),0)</f>
        <v>39</v>
      </c>
      <c r="P172" s="76">
        <f ca="1">OFFSET('Function Factors'!$B$9,$O172-1,P$14)*$L172+OFFSET('Function Factors'!$B$9,$K172-1,P$14)*$H172</f>
        <v>15336.5926054518</v>
      </c>
      <c r="R172" s="76">
        <f ca="1">OFFSET('Function Factors'!$B$9,$O172-1,R$14)*$L172+OFFSET('Function Factors'!$B$9,$K172-1,R$14)*$H172</f>
        <v>0</v>
      </c>
      <c r="S172" s="76"/>
      <c r="T172" s="76">
        <f ca="1">OFFSET('Function Factors'!$B$9,$O172-1,T$14)*$L172+OFFSET('Function Factors'!$B$9,$K172-1,T$14)*$H172</f>
        <v>0</v>
      </c>
      <c r="U172" s="76"/>
      <c r="V172" s="76">
        <f ca="1">OFFSET('Function Factors'!$B$9,$O172-1,V$14)*$L172+OFFSET('Function Factors'!$B$9,$K172-1,V$14)*$H172</f>
        <v>0</v>
      </c>
      <c r="X172" s="76">
        <f t="shared" ca="1" si="55"/>
        <v>15336.5926054518</v>
      </c>
      <c r="Z172" s="49" t="str">
        <f ca="1">IF(ROUND(F172,4)=ROUND(X172,4), "", "check")</f>
        <v/>
      </c>
    </row>
    <row r="173" spans="2:40" ht="13" x14ac:dyDescent="0.3">
      <c r="B173" s="18">
        <f t="shared" si="56"/>
        <v>107</v>
      </c>
      <c r="D173" s="1" t="s">
        <v>156</v>
      </c>
      <c r="F173" s="76">
        <v>26870.623617239937</v>
      </c>
      <c r="H173" s="76"/>
      <c r="K173" s="70">
        <f>_xlfn.IFNA(MATCH(J173,'Function Factors'!$B$9:$B$455,0),0)</f>
        <v>0</v>
      </c>
      <c r="L173" s="48">
        <f>F173-H173</f>
        <v>26870.623617239937</v>
      </c>
      <c r="N173" s="2" t="s">
        <v>50</v>
      </c>
      <c r="O173" s="70">
        <f>_xlfn.IFNA(MATCH(N173,'Function Factors'!$B$9:$B$455,0),0)</f>
        <v>36</v>
      </c>
      <c r="P173" s="76">
        <f ca="1">OFFSET('Function Factors'!$B$9,$O173-1,P$14)*$L173+OFFSET('Function Factors'!$B$9,$K173-1,P$14)*$H173</f>
        <v>0</v>
      </c>
      <c r="R173" s="76">
        <f ca="1">OFFSET('Function Factors'!$B$9,$O173-1,R$14)*$L173+OFFSET('Function Factors'!$B$9,$K173-1,R$14)*$H173</f>
        <v>0</v>
      </c>
      <c r="S173" s="76"/>
      <c r="T173" s="76">
        <f ca="1">OFFSET('Function Factors'!$B$9,$O173-1,T$14)*$L173+OFFSET('Function Factors'!$B$9,$K173-1,T$14)*$H173</f>
        <v>0</v>
      </c>
      <c r="U173" s="76"/>
      <c r="V173" s="76">
        <f ca="1">OFFSET('Function Factors'!$B$9,$O173-1,V$14)*$L173+OFFSET('Function Factors'!$B$9,$K173-1,V$14)*$H173</f>
        <v>26870.623617239937</v>
      </c>
      <c r="X173" s="76">
        <f t="shared" ca="1" si="55"/>
        <v>26870.623617239937</v>
      </c>
      <c r="Z173" s="49" t="str">
        <f t="shared" ca="1" si="36"/>
        <v/>
      </c>
    </row>
    <row r="174" spans="2:40" ht="13" x14ac:dyDescent="0.3">
      <c r="B174" s="18">
        <f>B173+1</f>
        <v>108</v>
      </c>
      <c r="D174" s="1" t="s">
        <v>157</v>
      </c>
      <c r="F174" s="76">
        <v>14283.139384300001</v>
      </c>
      <c r="H174" s="76"/>
      <c r="K174" s="70">
        <f>_xlfn.IFNA(MATCH(J174,'Function Factors'!$B$9:$B$455,0),0)</f>
        <v>0</v>
      </c>
      <c r="L174" s="48">
        <f t="shared" ref="L174:L176" si="57">F174-H174</f>
        <v>14283.139384300001</v>
      </c>
      <c r="N174" s="2" t="s">
        <v>50</v>
      </c>
      <c r="O174" s="70">
        <f>_xlfn.IFNA(MATCH(N174,'Function Factors'!$B$9:$B$455,0),0)</f>
        <v>36</v>
      </c>
      <c r="P174" s="76">
        <f ca="1">OFFSET('Function Factors'!$B$9,$O174-1,P$14)*$L174+OFFSET('Function Factors'!$B$9,$K174-1,P$14)*$H174</f>
        <v>0</v>
      </c>
      <c r="R174" s="76">
        <f ca="1">OFFSET('Function Factors'!$B$9,$O174-1,R$14)*$L174+OFFSET('Function Factors'!$B$9,$K174-1,R$14)*$H174</f>
        <v>0</v>
      </c>
      <c r="S174" s="76"/>
      <c r="T174" s="76">
        <f ca="1">OFFSET('Function Factors'!$B$9,$O174-1,T$14)*$L174+OFFSET('Function Factors'!$B$9,$K174-1,T$14)*$H174</f>
        <v>0</v>
      </c>
      <c r="U174" s="76"/>
      <c r="V174" s="76">
        <f ca="1">OFFSET('Function Factors'!$B$9,$O174-1,V$14)*$L174+OFFSET('Function Factors'!$B$9,$K174-1,V$14)*$H174</f>
        <v>14283.139384300001</v>
      </c>
      <c r="X174" s="76">
        <f t="shared" ca="1" si="55"/>
        <v>14283.139384300001</v>
      </c>
      <c r="Z174" s="49" t="str">
        <f t="shared" ca="1" si="36"/>
        <v/>
      </c>
    </row>
    <row r="175" spans="2:40" ht="13" x14ac:dyDescent="0.3">
      <c r="B175" s="18">
        <f t="shared" si="56"/>
        <v>109</v>
      </c>
      <c r="D175" s="1" t="s">
        <v>158</v>
      </c>
      <c r="F175" s="76">
        <v>17761.652743977927</v>
      </c>
      <c r="H175" s="76"/>
      <c r="K175" s="70">
        <f>_xlfn.IFNA(MATCH(J175,'Function Factors'!$B$9:$B$455,0),0)</f>
        <v>0</v>
      </c>
      <c r="L175" s="48">
        <f t="shared" si="57"/>
        <v>17761.652743977927</v>
      </c>
      <c r="N175" s="2" t="s">
        <v>50</v>
      </c>
      <c r="O175" s="70">
        <f>_xlfn.IFNA(MATCH(N175,'Function Factors'!$B$9:$B$455,0),0)</f>
        <v>36</v>
      </c>
      <c r="P175" s="76">
        <f ca="1">OFFSET('Function Factors'!$B$9,$O175-1,P$14)*$L175+OFFSET('Function Factors'!$B$9,$K175-1,P$14)*$H175</f>
        <v>0</v>
      </c>
      <c r="R175" s="76">
        <f ca="1">OFFSET('Function Factors'!$B$9,$O175-1,R$14)*$L175+OFFSET('Function Factors'!$B$9,$K175-1,R$14)*$H175</f>
        <v>0</v>
      </c>
      <c r="S175" s="76"/>
      <c r="T175" s="76">
        <f ca="1">OFFSET('Function Factors'!$B$9,$O175-1,T$14)*$L175+OFFSET('Function Factors'!$B$9,$K175-1,T$14)*$H175</f>
        <v>0</v>
      </c>
      <c r="U175" s="76"/>
      <c r="V175" s="76">
        <f ca="1">OFFSET('Function Factors'!$B$9,$O175-1,V$14)*$L175+OFFSET('Function Factors'!$B$9,$K175-1,V$14)*$H175</f>
        <v>17761.652743977927</v>
      </c>
      <c r="X175" s="76">
        <f t="shared" ca="1" si="55"/>
        <v>17761.652743977927</v>
      </c>
      <c r="Z175" s="49" t="str">
        <f t="shared" ca="1" si="36"/>
        <v/>
      </c>
    </row>
    <row r="176" spans="2:40" ht="13" x14ac:dyDescent="0.3">
      <c r="B176" s="18">
        <f t="shared" si="56"/>
        <v>110</v>
      </c>
      <c r="D176" s="1" t="s">
        <v>159</v>
      </c>
      <c r="F176" s="76">
        <v>6017.1693334783249</v>
      </c>
      <c r="H176" s="76"/>
      <c r="K176" s="70">
        <f>_xlfn.IFNA(MATCH(J176,'Function Factors'!$B$9:$B$455,0),0)</f>
        <v>0</v>
      </c>
      <c r="L176" s="48">
        <f t="shared" si="57"/>
        <v>6017.1693334783249</v>
      </c>
      <c r="N176" s="2" t="s">
        <v>50</v>
      </c>
      <c r="O176" s="70">
        <f>_xlfn.IFNA(MATCH(N176,'Function Factors'!$B$9:$B$455,0),0)</f>
        <v>36</v>
      </c>
      <c r="P176" s="76">
        <f ca="1">OFFSET('Function Factors'!$B$9,$O176-1,P$14)*$L176+OFFSET('Function Factors'!$B$9,$K176-1,P$14)*$H176</f>
        <v>0</v>
      </c>
      <c r="R176" s="76">
        <f ca="1">OFFSET('Function Factors'!$B$9,$O176-1,R$14)*$L176+OFFSET('Function Factors'!$B$9,$K176-1,R$14)*$H176</f>
        <v>0</v>
      </c>
      <c r="S176" s="76"/>
      <c r="T176" s="76">
        <f ca="1">OFFSET('Function Factors'!$B$9,$O176-1,T$14)*$L176+OFFSET('Function Factors'!$B$9,$K176-1,T$14)*$H176</f>
        <v>0</v>
      </c>
      <c r="U176" s="76"/>
      <c r="V176" s="76">
        <f ca="1">OFFSET('Function Factors'!$B$9,$O176-1,V$14)*$L176+OFFSET('Function Factors'!$B$9,$K176-1,V$14)*$H176</f>
        <v>6017.1693334783249</v>
      </c>
      <c r="X176" s="76">
        <f t="shared" ca="1" si="55"/>
        <v>6017.1693334783249</v>
      </c>
      <c r="Z176" s="49" t="str">
        <f t="shared" ca="1" si="36"/>
        <v/>
      </c>
    </row>
    <row r="177" spans="2:26" ht="13" x14ac:dyDescent="0.3">
      <c r="F177" s="76"/>
      <c r="K177" s="70"/>
      <c r="X177" s="76"/>
      <c r="Z177" s="49" t="str">
        <f t="shared" si="36"/>
        <v/>
      </c>
    </row>
    <row r="178" spans="2:26" ht="13" x14ac:dyDescent="0.3">
      <c r="B178" s="18">
        <f>B176+1</f>
        <v>111</v>
      </c>
      <c r="D178" s="1" t="s">
        <v>160</v>
      </c>
      <c r="F178" s="40">
        <f>SUM(F170:F176)</f>
        <v>85633.427639633912</v>
      </c>
      <c r="H178" s="40">
        <f>SUM(H170:H176)</f>
        <v>0</v>
      </c>
      <c r="L178" s="40">
        <f>SUM(L170:L176)</f>
        <v>85633.427639633912</v>
      </c>
      <c r="P178" s="40">
        <f ca="1">SUM(P170:P176)</f>
        <v>20700.84256063772</v>
      </c>
      <c r="Q178" s="48"/>
      <c r="R178" s="40">
        <f ca="1">SUM(R170:R176)</f>
        <v>0</v>
      </c>
      <c r="S178" s="48"/>
      <c r="T178" s="40">
        <f ca="1">SUM(T170:T176)</f>
        <v>0</v>
      </c>
      <c r="U178" s="48"/>
      <c r="V178" s="40">
        <f ca="1">SUM(V170:V176)</f>
        <v>64932.585078996191</v>
      </c>
      <c r="X178" s="40">
        <f ca="1">SUM(X170:X176)</f>
        <v>85633.427639633912</v>
      </c>
      <c r="Z178" s="49" t="str">
        <f t="shared" ca="1" si="36"/>
        <v/>
      </c>
    </row>
    <row r="179" spans="2:26" ht="13" x14ac:dyDescent="0.3">
      <c r="Z179" s="49" t="str">
        <f t="shared" si="36"/>
        <v/>
      </c>
    </row>
    <row r="180" spans="2:26" ht="13.5" thickBot="1" x14ac:dyDescent="0.35">
      <c r="B180" s="18">
        <f>B178+1</f>
        <v>112</v>
      </c>
      <c r="D180" s="1" t="s">
        <v>161</v>
      </c>
      <c r="F180" s="80">
        <f>F164-F178</f>
        <v>5244256.9765455201</v>
      </c>
      <c r="H180" s="80">
        <f ca="1">H164-H178</f>
        <v>23197.563321055226</v>
      </c>
      <c r="L180" s="80">
        <f ca="1">L164-L178</f>
        <v>5221059.4132244661</v>
      </c>
      <c r="P180" s="80">
        <f ca="1">P164-P178</f>
        <v>2247693.094588703</v>
      </c>
      <c r="R180" s="80">
        <f ca="1">R164-R178</f>
        <v>193487.49708184868</v>
      </c>
      <c r="T180" s="80">
        <f ca="1">T164-T178</f>
        <v>403717.30409028684</v>
      </c>
      <c r="V180" s="80">
        <f ca="1">V164-V178</f>
        <v>2399359.0807846827</v>
      </c>
      <c r="X180" s="80">
        <f ca="1">X164-X178</f>
        <v>5244256.9765455211</v>
      </c>
      <c r="Z180" s="49" t="str">
        <f t="shared" ca="1" si="36"/>
        <v/>
      </c>
    </row>
    <row r="181" spans="2:26" ht="13" thickTop="1" x14ac:dyDescent="0.25">
      <c r="D181" s="1" t="s">
        <v>162</v>
      </c>
    </row>
    <row r="184" spans="2:26" x14ac:dyDescent="0.25">
      <c r="P184" s="48"/>
      <c r="R184" s="48"/>
      <c r="T184" s="48"/>
      <c r="V184" s="48"/>
      <c r="X184" s="48"/>
    </row>
    <row r="185" spans="2:26" x14ac:dyDescent="0.25">
      <c r="P185" s="48"/>
      <c r="R185" s="48"/>
      <c r="T185" s="48"/>
      <c r="V185" s="48"/>
      <c r="X185" s="48"/>
    </row>
    <row r="186" spans="2:26" x14ac:dyDescent="0.25">
      <c r="P186" s="48"/>
    </row>
    <row r="187" spans="2:26" x14ac:dyDescent="0.25">
      <c r="X187" s="48"/>
    </row>
    <row r="188" spans="2:26" x14ac:dyDescent="0.25">
      <c r="P188" s="48"/>
      <c r="R188" s="48"/>
      <c r="T188" s="48"/>
      <c r="V188" s="48"/>
      <c r="X188" s="48"/>
    </row>
    <row r="189" spans="2:26" x14ac:dyDescent="0.25">
      <c r="P189" s="48"/>
      <c r="R189" s="48"/>
      <c r="T189" s="48"/>
      <c r="V189" s="48"/>
      <c r="X189" s="48"/>
    </row>
  </sheetData>
  <mergeCells count="3">
    <mergeCell ref="B5:X5"/>
    <mergeCell ref="B6:X6"/>
    <mergeCell ref="B7:X7"/>
  </mergeCells>
  <pageMargins left="0.7" right="0.7" top="0.75" bottom="0.75" header="0.3" footer="0.3"/>
  <pageSetup scale="56" fitToHeight="4" orientation="landscape" r:id="rId1"/>
  <rowBreaks count="1" manualBreakCount="1">
    <brk id="111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sheetPr>
    <pageSetUpPr fitToPage="1"/>
  </sheetPr>
  <dimension ref="A6:BW145"/>
  <sheetViews>
    <sheetView topLeftCell="A21" zoomScale="80" zoomScaleNormal="80" workbookViewId="0">
      <selection activeCell="F54" sqref="F54:X54"/>
    </sheetView>
  </sheetViews>
  <sheetFormatPr defaultColWidth="9.1796875" defaultRowHeight="12.5" x14ac:dyDescent="0.25"/>
  <cols>
    <col min="1" max="1" width="6.453125" style="1" customWidth="1"/>
    <col min="2" max="2" width="30.7265625" style="1" customWidth="1"/>
    <col min="3" max="3" width="8.26953125" style="18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1.7265625" style="1" customWidth="1"/>
    <col min="14" max="14" width="15.7265625" style="1" customWidth="1"/>
    <col min="15" max="15" width="1.7265625" style="1" customWidth="1"/>
    <col min="16" max="16" width="15.7265625" style="1" customWidth="1"/>
    <col min="17" max="17" width="1.7265625" style="1" customWidth="1"/>
    <col min="18" max="18" width="15.7265625" style="1" customWidth="1"/>
    <col min="19" max="19" width="1.7265625" style="1" customWidth="1"/>
    <col min="20" max="20" width="15.7265625" style="1" customWidth="1"/>
    <col min="21" max="21" width="1.7265625" style="1" customWidth="1"/>
    <col min="22" max="22" width="15.7265625" style="1" customWidth="1"/>
    <col min="23" max="23" width="1.7265625" style="1" customWidth="1"/>
    <col min="24" max="24" width="15.7265625" style="1" customWidth="1"/>
    <col min="25" max="25" width="9.1796875" style="1"/>
    <col min="26" max="27" width="9.1796875" style="1" customWidth="1"/>
    <col min="28" max="28" width="25.81640625" style="1" bestFit="1" customWidth="1"/>
    <col min="29" max="29" width="1.7265625" style="1" customWidth="1"/>
    <col min="30" max="30" width="11.7265625" style="1" customWidth="1"/>
    <col min="31" max="31" width="1.7265625" style="1" customWidth="1"/>
    <col min="32" max="32" width="11.7265625" style="1" customWidth="1"/>
    <col min="33" max="33" width="1.7265625" style="1" customWidth="1"/>
    <col min="34" max="34" width="11.7265625" style="1" customWidth="1"/>
    <col min="35" max="35" width="1.7265625" style="1" customWidth="1"/>
    <col min="36" max="36" width="11.7265625" style="1" customWidth="1"/>
    <col min="37" max="37" width="1.7265625" style="1" customWidth="1"/>
    <col min="38" max="38" width="11.7265625" style="1" customWidth="1"/>
    <col min="39" max="39" width="1.7265625" style="1" customWidth="1"/>
    <col min="40" max="40" width="11.7265625" style="1" customWidth="1"/>
    <col min="41" max="41" width="1.7265625" style="1" customWidth="1"/>
    <col min="42" max="42" width="11.7265625" style="1" customWidth="1"/>
    <col min="43" max="43" width="1.7265625" style="1" customWidth="1"/>
    <col min="44" max="44" width="11.7265625" style="1" customWidth="1"/>
    <col min="45" max="45" width="1.7265625" style="1" customWidth="1"/>
    <col min="46" max="46" width="11.7265625" style="1" customWidth="1"/>
    <col min="47" max="47" width="1.7265625" style="1" customWidth="1"/>
    <col min="48" max="48" width="11.7265625" style="1" customWidth="1"/>
    <col min="49" max="71" width="9.1796875" style="1" customWidth="1"/>
    <col min="72" max="77" width="9" style="1" customWidth="1"/>
    <col min="78" max="16384" width="9.1796875" style="1"/>
  </cols>
  <sheetData>
    <row r="6" spans="1:75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</row>
    <row r="7" spans="1:75" x14ac:dyDescent="0.25">
      <c r="B7" s="155" t="s">
        <v>312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9" spans="1:75" ht="14.5" x14ac:dyDescent="0.35">
      <c r="F9" s="156" t="s">
        <v>274</v>
      </c>
      <c r="G9" s="157"/>
      <c r="H9" s="157"/>
      <c r="I9" s="157"/>
      <c r="J9" s="157"/>
      <c r="K9" s="157"/>
      <c r="L9" s="157"/>
      <c r="N9" s="156" t="s">
        <v>275</v>
      </c>
      <c r="O9" s="156"/>
      <c r="P9" s="156"/>
      <c r="Q9" s="156"/>
      <c r="R9" s="156"/>
      <c r="S9" s="156"/>
      <c r="T9" s="156"/>
      <c r="U9" s="156"/>
      <c r="V9" s="156"/>
      <c r="W9"/>
      <c r="X9"/>
    </row>
    <row r="10" spans="1:75" x14ac:dyDescent="0.25">
      <c r="F10" s="18"/>
      <c r="H10" s="18"/>
      <c r="J10" s="18"/>
      <c r="L10" s="18" t="s">
        <v>177</v>
      </c>
      <c r="V10" s="18" t="s">
        <v>276</v>
      </c>
      <c r="X10" s="2"/>
      <c r="AX10" s="18"/>
    </row>
    <row r="11" spans="1:75" x14ac:dyDescent="0.25">
      <c r="A11" s="18" t="s">
        <v>6</v>
      </c>
      <c r="B11" s="18" t="s">
        <v>20</v>
      </c>
      <c r="F11" s="18" t="s">
        <v>277</v>
      </c>
      <c r="G11" s="18"/>
      <c r="H11" s="18" t="s">
        <v>277</v>
      </c>
      <c r="I11" s="3"/>
      <c r="J11" s="2" t="s">
        <v>278</v>
      </c>
      <c r="K11" s="3"/>
      <c r="L11" s="2" t="s">
        <v>279</v>
      </c>
      <c r="M11" s="3"/>
      <c r="N11" s="2" t="s">
        <v>20</v>
      </c>
      <c r="O11" s="2"/>
      <c r="P11" s="2" t="s">
        <v>20</v>
      </c>
      <c r="Q11" s="2"/>
      <c r="R11" s="2" t="s">
        <v>20</v>
      </c>
      <c r="S11" s="2"/>
      <c r="T11" s="2" t="s">
        <v>313</v>
      </c>
      <c r="U11" s="2"/>
      <c r="V11" s="2" t="s">
        <v>279</v>
      </c>
      <c r="W11" s="2"/>
      <c r="X11" s="2" t="s">
        <v>20</v>
      </c>
      <c r="AX11" s="18"/>
    </row>
    <row r="12" spans="1:75" x14ac:dyDescent="0.25">
      <c r="A12" s="4" t="s">
        <v>11</v>
      </c>
      <c r="B12" s="4" t="s">
        <v>191</v>
      </c>
      <c r="D12" s="4" t="s">
        <v>2</v>
      </c>
      <c r="F12" s="4" t="s">
        <v>314</v>
      </c>
      <c r="G12" s="18"/>
      <c r="H12" s="4" t="s">
        <v>281</v>
      </c>
      <c r="I12" s="18"/>
      <c r="J12" s="4" t="s">
        <v>282</v>
      </c>
      <c r="K12" s="18"/>
      <c r="L12" s="4" t="s">
        <v>10</v>
      </c>
      <c r="M12" s="18"/>
      <c r="N12" s="33" t="s">
        <v>41</v>
      </c>
      <c r="O12" s="2"/>
      <c r="P12" s="33" t="s">
        <v>49</v>
      </c>
      <c r="Q12" s="2"/>
      <c r="R12" s="33" t="s">
        <v>283</v>
      </c>
      <c r="S12" s="2"/>
      <c r="T12" s="33" t="s">
        <v>284</v>
      </c>
      <c r="U12" s="2"/>
      <c r="V12" s="33" t="s">
        <v>10</v>
      </c>
      <c r="W12" s="2"/>
      <c r="X12" s="33" t="s">
        <v>175</v>
      </c>
      <c r="AX12" s="18"/>
      <c r="BE12" s="18"/>
      <c r="BG12" s="18"/>
      <c r="BI12" s="18"/>
      <c r="BK12" s="18"/>
      <c r="BU12" s="18"/>
      <c r="BW12" s="2"/>
    </row>
    <row r="13" spans="1:75" x14ac:dyDescent="0.25">
      <c r="A13" s="18"/>
      <c r="B13" s="18"/>
      <c r="D13" s="18" t="s">
        <v>22</v>
      </c>
      <c r="F13" s="18" t="s">
        <v>23</v>
      </c>
      <c r="G13" s="18"/>
      <c r="H13" s="18" t="s">
        <v>24</v>
      </c>
      <c r="I13" s="18"/>
      <c r="J13" s="18" t="s">
        <v>165</v>
      </c>
      <c r="K13" s="18"/>
      <c r="L13" s="18" t="s">
        <v>26</v>
      </c>
      <c r="M13" s="18"/>
      <c r="N13" s="2" t="s">
        <v>27</v>
      </c>
      <c r="O13" s="2"/>
      <c r="P13" s="2" t="s">
        <v>28</v>
      </c>
      <c r="Q13" s="2"/>
      <c r="R13" s="2" t="s">
        <v>29</v>
      </c>
      <c r="S13" s="2"/>
      <c r="T13" s="2" t="s">
        <v>30</v>
      </c>
      <c r="U13" s="2"/>
      <c r="V13" s="2" t="s">
        <v>180</v>
      </c>
      <c r="W13" s="2"/>
      <c r="X13" s="2" t="s">
        <v>181</v>
      </c>
      <c r="AX13" s="18"/>
      <c r="AZ13" s="18"/>
      <c r="BE13" s="18"/>
      <c r="BF13" s="18"/>
      <c r="BG13" s="18"/>
      <c r="BH13" s="3"/>
      <c r="BI13" s="2"/>
      <c r="BJ13" s="3"/>
      <c r="BK13" s="2"/>
      <c r="BL13" s="3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25">
      <c r="D14" s="18"/>
      <c r="E14" s="18"/>
      <c r="F14" s="55"/>
      <c r="G14" s="18"/>
      <c r="H14" s="55"/>
      <c r="I14" s="18"/>
      <c r="J14" s="55"/>
      <c r="K14" s="18"/>
      <c r="L14" s="55"/>
      <c r="N14" s="55"/>
      <c r="O14" s="18"/>
      <c r="P14" s="55"/>
      <c r="R14" s="55"/>
      <c r="T14" s="55"/>
      <c r="U14" s="18"/>
      <c r="V14" s="55"/>
      <c r="W14" s="18"/>
      <c r="X14" s="55"/>
      <c r="AX14" s="18"/>
      <c r="AZ14" s="18"/>
      <c r="BC14" s="18"/>
      <c r="BE14" s="18"/>
      <c r="BF14" s="18"/>
      <c r="BG14" s="18"/>
      <c r="BH14" s="18"/>
      <c r="BI14" s="18"/>
      <c r="BJ14" s="18"/>
      <c r="BK14" s="18"/>
      <c r="BL14" s="18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25">
      <c r="A15" s="18">
        <v>1</v>
      </c>
      <c r="C15" s="2" t="s">
        <v>167</v>
      </c>
      <c r="D15" s="20">
        <f ca="1">SUM(F15:X15)</f>
        <v>1643676.7618643751</v>
      </c>
      <c r="E15" s="20"/>
      <c r="F15" s="20">
        <v>0</v>
      </c>
      <c r="G15" s="20"/>
      <c r="H15" s="20">
        <v>0</v>
      </c>
      <c r="I15" s="20"/>
      <c r="J15" s="20">
        <f ca="1">'Distribution Class'!T164</f>
        <v>344372.00780846307</v>
      </c>
      <c r="K15" s="20"/>
      <c r="L15" s="20">
        <v>0</v>
      </c>
      <c r="M15" s="20"/>
      <c r="N15" s="20">
        <f ca="1">'Distribution Class'!X164</f>
        <v>373864.90964815381</v>
      </c>
      <c r="O15" s="20"/>
      <c r="P15" s="20">
        <f ca="1">'Distribution Class'!Z164</f>
        <v>583743.7291515196</v>
      </c>
      <c r="Q15" s="20"/>
      <c r="R15" s="20">
        <f ca="1">'Distribution Class'!AB164</f>
        <v>293237.9955716416</v>
      </c>
      <c r="S15" s="20"/>
      <c r="T15" s="20">
        <f ca="1">'Distribution Class'!AD164</f>
        <v>48458.119684596852</v>
      </c>
      <c r="U15" s="20"/>
      <c r="V15" s="20">
        <v>0</v>
      </c>
      <c r="W15" s="20"/>
      <c r="X15" s="20">
        <v>0</v>
      </c>
      <c r="AX15" s="18"/>
      <c r="BC15" s="18"/>
      <c r="BD15" s="18"/>
      <c r="BE15" s="55"/>
      <c r="BF15" s="18"/>
      <c r="BG15" s="55"/>
      <c r="BH15" s="18"/>
      <c r="BI15" s="55"/>
      <c r="BJ15" s="18"/>
      <c r="BK15" s="55"/>
      <c r="BM15" s="55"/>
      <c r="BN15" s="18"/>
      <c r="BO15" s="55"/>
      <c r="BQ15" s="55"/>
      <c r="BS15" s="55"/>
      <c r="BT15" s="18"/>
      <c r="BU15" s="55"/>
      <c r="BV15" s="18"/>
      <c r="BW15" s="55"/>
    </row>
    <row r="16" spans="1:75" x14ac:dyDescent="0.25">
      <c r="A16" s="18">
        <v>2</v>
      </c>
      <c r="B16" s="2" t="s">
        <v>311</v>
      </c>
      <c r="C16" s="2"/>
      <c r="D16" s="24">
        <f ca="1">SUM(F16:X16)</f>
        <v>1</v>
      </c>
      <c r="E16" s="24"/>
      <c r="F16" s="24">
        <f ca="1">IFERROR(F15/$D15,0)</f>
        <v>0</v>
      </c>
      <c r="G16" s="24"/>
      <c r="H16" s="24">
        <f ca="1">IFERROR(H15/$D15,0)</f>
        <v>0</v>
      </c>
      <c r="I16" s="24"/>
      <c r="J16" s="24">
        <f ca="1">IFERROR(J15/$D15,0)</f>
        <v>0.20951321804772116</v>
      </c>
      <c r="K16" s="24"/>
      <c r="L16" s="24">
        <f ca="1">IFERROR(L15/$D15,0)</f>
        <v>0</v>
      </c>
      <c r="M16" s="24"/>
      <c r="N16" s="24">
        <f ca="1">IFERROR(N15/$D15,0)</f>
        <v>0.22745646730692332</v>
      </c>
      <c r="O16" s="24"/>
      <c r="P16" s="24">
        <f ca="1">IFERROR(P15/$D15,0)</f>
        <v>0.35514508855706883</v>
      </c>
      <c r="Q16" s="24"/>
      <c r="R16" s="24">
        <f ca="1">IFERROR(R15/$D15,0)</f>
        <v>0.17840368761983968</v>
      </c>
      <c r="S16" s="24"/>
      <c r="T16" s="24">
        <f ca="1">IFERROR(T15/$D15,0)</f>
        <v>2.9481538468446925E-2</v>
      </c>
      <c r="U16" s="24"/>
      <c r="V16" s="24">
        <f ca="1">IFERROR(V15/$D15,0)</f>
        <v>0</v>
      </c>
      <c r="W16" s="24"/>
      <c r="X16" s="24">
        <f ca="1">IFERROR(X15/$D15,0)</f>
        <v>0</v>
      </c>
      <c r="AX16" s="18"/>
    </row>
    <row r="17" spans="1:75" x14ac:dyDescent="0.25">
      <c r="A17" s="18"/>
      <c r="B17" s="2"/>
      <c r="C17" s="2"/>
      <c r="D17" s="24"/>
      <c r="F17" s="24"/>
      <c r="H17" s="24"/>
      <c r="J17" s="24"/>
      <c r="L17" s="24"/>
      <c r="N17" s="24"/>
      <c r="P17" s="24"/>
      <c r="R17" s="24"/>
      <c r="T17" s="24"/>
      <c r="V17" s="24"/>
      <c r="X17" s="24"/>
      <c r="AX17" s="18"/>
      <c r="AZ17" s="2"/>
      <c r="BA17" s="31"/>
      <c r="BC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x14ac:dyDescent="0.25">
      <c r="A18" s="18">
        <v>3</v>
      </c>
      <c r="B18" s="2"/>
      <c r="C18" s="2" t="s">
        <v>167</v>
      </c>
      <c r="D18" s="20">
        <f>SUM(F18:X18)</f>
        <v>1</v>
      </c>
      <c r="E18" s="59"/>
      <c r="F18" s="59">
        <v>0</v>
      </c>
      <c r="G18" s="59"/>
      <c r="H18" s="59">
        <v>0</v>
      </c>
      <c r="I18" s="59"/>
      <c r="J18" s="59">
        <v>0</v>
      </c>
      <c r="K18" s="59"/>
      <c r="L18" s="59">
        <v>0</v>
      </c>
      <c r="M18" s="59"/>
      <c r="N18" s="59">
        <v>0</v>
      </c>
      <c r="O18" s="59"/>
      <c r="P18" s="59">
        <v>0</v>
      </c>
      <c r="Q18" s="59"/>
      <c r="R18" s="20">
        <v>1</v>
      </c>
      <c r="S18" s="59"/>
      <c r="T18" s="59">
        <v>0</v>
      </c>
      <c r="U18" s="59"/>
      <c r="V18" s="59">
        <v>0</v>
      </c>
      <c r="W18" s="59"/>
      <c r="X18" s="59">
        <v>0</v>
      </c>
      <c r="AX18" s="18"/>
      <c r="AZ18" s="2"/>
      <c r="BA18" s="31"/>
      <c r="BC18" s="61"/>
      <c r="BE18" s="61"/>
      <c r="BG18" s="61"/>
      <c r="BI18" s="61"/>
      <c r="BK18" s="61"/>
      <c r="BM18" s="61"/>
      <c r="BO18" s="61"/>
      <c r="BQ18" s="61"/>
      <c r="BS18" s="61"/>
      <c r="BU18" s="61"/>
      <c r="BW18" s="61"/>
    </row>
    <row r="19" spans="1:75" x14ac:dyDescent="0.25">
      <c r="A19" s="18">
        <v>4</v>
      </c>
      <c r="B19" s="2" t="s">
        <v>296</v>
      </c>
      <c r="C19" s="2"/>
      <c r="D19" s="24">
        <f>SUM(F19:X19)</f>
        <v>1</v>
      </c>
      <c r="E19" s="24"/>
      <c r="F19" s="24">
        <f>IFERROR(F18/$D18,0)</f>
        <v>0</v>
      </c>
      <c r="G19" s="24"/>
      <c r="H19" s="24">
        <f>IFERROR(H18/$D18,0)</f>
        <v>0</v>
      </c>
      <c r="I19" s="24"/>
      <c r="J19" s="24">
        <f>IFERROR(J18/$D18,0)</f>
        <v>0</v>
      </c>
      <c r="K19" s="24"/>
      <c r="L19" s="24">
        <f>IFERROR(L18/$D18,0)</f>
        <v>0</v>
      </c>
      <c r="M19" s="24"/>
      <c r="N19" s="24">
        <f>IFERROR(N18/$D18,0)</f>
        <v>0</v>
      </c>
      <c r="O19" s="24"/>
      <c r="P19" s="24">
        <f>IFERROR(P18/$D18,0)</f>
        <v>0</v>
      </c>
      <c r="Q19" s="24"/>
      <c r="R19" s="24">
        <f>IFERROR(R18/$D18,0)</f>
        <v>1</v>
      </c>
      <c r="S19" s="24"/>
      <c r="T19" s="24">
        <f>IFERROR(T18/$D18,0)</f>
        <v>0</v>
      </c>
      <c r="U19" s="24"/>
      <c r="V19" s="24">
        <f>IFERROR(V18/$D18,0)</f>
        <v>0</v>
      </c>
      <c r="W19" s="24"/>
      <c r="X19" s="24">
        <f>IFERROR(X18/$D18,0)</f>
        <v>0</v>
      </c>
      <c r="AX19" s="18"/>
      <c r="AZ19" s="2"/>
      <c r="BA19" s="31"/>
      <c r="BC19" s="17"/>
      <c r="BE19" s="61"/>
      <c r="BG19" s="61"/>
      <c r="BI19" s="61"/>
      <c r="BK19" s="61"/>
    </row>
    <row r="20" spans="1:75" x14ac:dyDescent="0.25">
      <c r="A20" s="18"/>
      <c r="B20" s="2"/>
      <c r="C20" s="2"/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  <c r="AX20" s="18"/>
      <c r="AZ20" s="2"/>
      <c r="BA20" s="31"/>
      <c r="BC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x14ac:dyDescent="0.25">
      <c r="A21" s="18">
        <v>5</v>
      </c>
      <c r="B21" s="31"/>
      <c r="C21" s="2" t="s">
        <v>167</v>
      </c>
      <c r="D21" s="20">
        <f>SUM(F21:X21)</f>
        <v>1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>
        <v>1</v>
      </c>
      <c r="Q21" s="20"/>
      <c r="R21" s="20">
        <v>0</v>
      </c>
      <c r="S21" s="20"/>
      <c r="T21" s="20">
        <v>0</v>
      </c>
      <c r="U21" s="20"/>
      <c r="V21" s="20">
        <v>0</v>
      </c>
      <c r="W21" s="20"/>
      <c r="X21" s="20">
        <v>0</v>
      </c>
      <c r="AX21" s="18"/>
      <c r="AZ21" s="2"/>
      <c r="BA21" s="31"/>
      <c r="BC21" s="61"/>
      <c r="BE21" s="61"/>
      <c r="BG21" s="61"/>
      <c r="BI21" s="61"/>
      <c r="BK21" s="61"/>
      <c r="BM21" s="61"/>
      <c r="BO21" s="61"/>
      <c r="BQ21" s="61"/>
      <c r="BS21" s="61"/>
      <c r="BU21" s="61"/>
      <c r="BW21" s="61"/>
    </row>
    <row r="22" spans="1:75" x14ac:dyDescent="0.25">
      <c r="A22" s="18">
        <v>6</v>
      </c>
      <c r="B22" s="2" t="s">
        <v>295</v>
      </c>
      <c r="C22" s="2"/>
      <c r="D22" s="24">
        <f>SUM(F22:X22)</f>
        <v>1</v>
      </c>
      <c r="E22" s="24"/>
      <c r="F22" s="24">
        <f>IFERROR(F21/$D21,0)</f>
        <v>0</v>
      </c>
      <c r="G22" s="24"/>
      <c r="H22" s="24">
        <f>IFERROR(H21/$D21,0)</f>
        <v>0</v>
      </c>
      <c r="I22" s="24"/>
      <c r="J22" s="24">
        <f>IFERROR(J21/$D21,0)</f>
        <v>0</v>
      </c>
      <c r="K22" s="24"/>
      <c r="L22" s="24">
        <f>IFERROR(L21/$D21,0)</f>
        <v>0</v>
      </c>
      <c r="M22" s="24"/>
      <c r="N22" s="24">
        <f>IFERROR(N21/$D21,0)</f>
        <v>0</v>
      </c>
      <c r="O22" s="24"/>
      <c r="P22" s="24">
        <f>IFERROR(P21/$D21,0)</f>
        <v>1</v>
      </c>
      <c r="Q22" s="24"/>
      <c r="R22" s="24">
        <f>IFERROR(R21/$D21,0)</f>
        <v>0</v>
      </c>
      <c r="S22" s="24"/>
      <c r="T22" s="24">
        <f>IFERROR(T21/$D21,0)</f>
        <v>0</v>
      </c>
      <c r="U22" s="24"/>
      <c r="V22" s="24">
        <f>IFERROR(V21/$D21,0)</f>
        <v>0</v>
      </c>
      <c r="W22" s="24"/>
      <c r="X22" s="24">
        <f>IFERROR(X21/$D21,0)</f>
        <v>0</v>
      </c>
      <c r="AX22" s="18"/>
      <c r="AZ22" s="31"/>
      <c r="BA22" s="31"/>
    </row>
    <row r="23" spans="1:75" x14ac:dyDescent="0.25">
      <c r="A23" s="18"/>
      <c r="B23" s="2"/>
      <c r="C23" s="2"/>
      <c r="D23" s="24"/>
      <c r="F23" s="24"/>
      <c r="H23" s="24"/>
      <c r="J23" s="24"/>
      <c r="L23" s="24"/>
      <c r="N23" s="24"/>
      <c r="P23" s="24"/>
      <c r="R23" s="24"/>
      <c r="T23" s="24"/>
      <c r="V23" s="24"/>
      <c r="X23" s="24"/>
      <c r="AX23" s="18"/>
      <c r="AZ23" s="2"/>
      <c r="BA23" s="31"/>
      <c r="BC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5">
      <c r="A24" s="18">
        <v>7</v>
      </c>
      <c r="B24" s="31"/>
      <c r="C24" s="2" t="s">
        <v>167</v>
      </c>
      <c r="D24" s="20">
        <f>SUM(F24:X24)</f>
        <v>1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>
        <v>0</v>
      </c>
      <c r="Q24" s="20"/>
      <c r="R24" s="20">
        <v>0</v>
      </c>
      <c r="S24" s="20"/>
      <c r="T24" s="20">
        <v>0</v>
      </c>
      <c r="U24" s="20"/>
      <c r="V24" s="20">
        <v>1</v>
      </c>
      <c r="W24" s="20"/>
      <c r="X24" s="20">
        <v>0</v>
      </c>
      <c r="AX24" s="18"/>
      <c r="AZ24" s="2"/>
      <c r="BA24" s="31"/>
      <c r="BC24" s="61"/>
      <c r="BE24" s="61"/>
      <c r="BG24" s="61"/>
      <c r="BI24" s="61"/>
      <c r="BK24" s="61"/>
      <c r="BM24" s="61"/>
      <c r="BO24" s="61"/>
      <c r="BQ24" s="61"/>
      <c r="BS24" s="61"/>
      <c r="BU24" s="61"/>
      <c r="BW24" s="61"/>
    </row>
    <row r="25" spans="1:75" x14ac:dyDescent="0.25">
      <c r="A25" s="18">
        <v>8</v>
      </c>
      <c r="B25" s="2" t="s">
        <v>307</v>
      </c>
      <c r="C25" s="2"/>
      <c r="D25" s="24">
        <f>SUM(F25:X25)</f>
        <v>1</v>
      </c>
      <c r="E25" s="24"/>
      <c r="F25" s="24">
        <f>IFERROR(F24/$D24,0)</f>
        <v>0</v>
      </c>
      <c r="G25" s="24"/>
      <c r="H25" s="24">
        <f>IFERROR(H24/$D24,0)</f>
        <v>0</v>
      </c>
      <c r="I25" s="24"/>
      <c r="J25" s="24">
        <f>IFERROR(J24/$D24,0)</f>
        <v>0</v>
      </c>
      <c r="K25" s="24"/>
      <c r="L25" s="24">
        <f>IFERROR(L24/$D24,0)</f>
        <v>0</v>
      </c>
      <c r="M25" s="24"/>
      <c r="N25" s="24">
        <f>IFERROR(N24/$D24,0)</f>
        <v>0</v>
      </c>
      <c r="O25" s="24"/>
      <c r="P25" s="24">
        <f>IFERROR(P24/$D24,0)</f>
        <v>0</v>
      </c>
      <c r="Q25" s="24"/>
      <c r="R25" s="24">
        <f>IFERROR(R24/$D24,0)</f>
        <v>0</v>
      </c>
      <c r="S25" s="24"/>
      <c r="T25" s="24">
        <f>IFERROR(T24/$D24,0)</f>
        <v>0</v>
      </c>
      <c r="U25" s="24"/>
      <c r="V25" s="24">
        <f>IFERROR(V24/$D24,0)</f>
        <v>1</v>
      </c>
      <c r="W25" s="24"/>
      <c r="X25" s="24">
        <f>IFERROR(X24/$D24,0)</f>
        <v>0</v>
      </c>
      <c r="AX25" s="18"/>
      <c r="AZ25" s="31"/>
      <c r="BA25" s="31"/>
    </row>
    <row r="26" spans="1:75" x14ac:dyDescent="0.25">
      <c r="A26" s="18"/>
      <c r="B26" s="2"/>
      <c r="C26" s="2"/>
      <c r="D26" s="24"/>
      <c r="F26" s="24"/>
      <c r="H26" s="24"/>
      <c r="J26" s="24"/>
      <c r="L26" s="24"/>
      <c r="N26" s="24"/>
      <c r="P26" s="24"/>
      <c r="R26" s="24"/>
      <c r="T26" s="24"/>
      <c r="V26" s="24"/>
      <c r="X26" s="24"/>
      <c r="AX26" s="18"/>
      <c r="AZ26" s="2"/>
      <c r="BA26" s="31"/>
      <c r="BC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x14ac:dyDescent="0.25">
      <c r="A27" s="18">
        <v>9</v>
      </c>
      <c r="B27" s="2"/>
      <c r="C27" s="2" t="s">
        <v>167</v>
      </c>
      <c r="D27" s="20">
        <f>SUM(F27:X27)</f>
        <v>1</v>
      </c>
      <c r="E27" s="20"/>
      <c r="F27" s="20">
        <v>0</v>
      </c>
      <c r="G27" s="20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1</v>
      </c>
      <c r="U27" s="20"/>
      <c r="V27" s="20">
        <v>0</v>
      </c>
      <c r="W27" s="20"/>
      <c r="X27" s="20">
        <v>0</v>
      </c>
      <c r="AX27" s="18"/>
      <c r="AZ27" s="2"/>
      <c r="BA27" s="31"/>
      <c r="BC27" s="61"/>
      <c r="BE27" s="61"/>
      <c r="BG27" s="61"/>
      <c r="BI27" s="61"/>
      <c r="BK27" s="61"/>
      <c r="BM27" s="61"/>
      <c r="BO27" s="61"/>
      <c r="BQ27" s="61"/>
      <c r="BS27" s="61"/>
      <c r="BU27" s="61"/>
      <c r="BW27" s="61"/>
    </row>
    <row r="28" spans="1:75" x14ac:dyDescent="0.25">
      <c r="A28" s="18">
        <v>10</v>
      </c>
      <c r="B28" s="2" t="s">
        <v>294</v>
      </c>
      <c r="C28" s="2"/>
      <c r="D28" s="24">
        <f>SUM(F28:X28)</f>
        <v>1</v>
      </c>
      <c r="E28" s="24"/>
      <c r="F28" s="24">
        <f>IFERROR(F27/$D27,0)</f>
        <v>0</v>
      </c>
      <c r="G28" s="24"/>
      <c r="H28" s="24">
        <f>IFERROR(H27/$D27,0)</f>
        <v>0</v>
      </c>
      <c r="I28" s="24"/>
      <c r="J28" s="24">
        <f>IFERROR(J27/$D27,0)</f>
        <v>0</v>
      </c>
      <c r="K28" s="24"/>
      <c r="L28" s="24">
        <f>IFERROR(L27/$D27,0)</f>
        <v>0</v>
      </c>
      <c r="M28" s="24"/>
      <c r="N28" s="24">
        <f>IFERROR(N27/$D27,0)</f>
        <v>0</v>
      </c>
      <c r="O28" s="24"/>
      <c r="P28" s="24">
        <f>IFERROR(P27/$D27,0)</f>
        <v>0</v>
      </c>
      <c r="Q28" s="24"/>
      <c r="R28" s="24">
        <f>IFERROR(R27/$D27,0)</f>
        <v>0</v>
      </c>
      <c r="S28" s="24"/>
      <c r="T28" s="24">
        <f>IFERROR(T27/$D27,0)</f>
        <v>1</v>
      </c>
      <c r="U28" s="24"/>
      <c r="V28" s="24">
        <f>IFERROR(V27/$D27,0)</f>
        <v>0</v>
      </c>
      <c r="W28" s="24"/>
      <c r="X28" s="24">
        <f>IFERROR(X27/$D27,0)</f>
        <v>0</v>
      </c>
      <c r="AX28" s="18"/>
      <c r="AZ28" s="2"/>
      <c r="BA28" s="31"/>
      <c r="BE28" s="61"/>
      <c r="BG28" s="61"/>
      <c r="BI28" s="61"/>
      <c r="BK28" s="61"/>
      <c r="BM28" s="61"/>
      <c r="BO28" s="61"/>
      <c r="BQ28" s="61"/>
      <c r="BW28" s="61"/>
    </row>
    <row r="29" spans="1:75" x14ac:dyDescent="0.25">
      <c r="A29" s="18"/>
      <c r="B29" s="2"/>
      <c r="C29" s="2"/>
      <c r="D29" s="24"/>
      <c r="F29" s="24"/>
      <c r="H29" s="24"/>
      <c r="J29" s="24"/>
      <c r="L29" s="24"/>
      <c r="N29" s="24"/>
      <c r="P29" s="24"/>
      <c r="R29" s="24"/>
      <c r="T29" s="24"/>
      <c r="V29" s="24"/>
      <c r="X29" s="24"/>
      <c r="AC29" s="74"/>
      <c r="AD29" s="39"/>
      <c r="AX29" s="18"/>
      <c r="AZ29" s="2"/>
      <c r="BA29" s="31"/>
      <c r="BC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pans="1:75" x14ac:dyDescent="0.25">
      <c r="A30" s="18">
        <v>11</v>
      </c>
      <c r="B30" s="31"/>
      <c r="C30" s="2" t="s">
        <v>167</v>
      </c>
      <c r="D30" s="20">
        <f>SUM(F30:X30)</f>
        <v>1</v>
      </c>
      <c r="E30" s="20"/>
      <c r="F30" s="20">
        <v>0</v>
      </c>
      <c r="G30" s="20"/>
      <c r="H30" s="20">
        <v>0</v>
      </c>
      <c r="I30" s="20"/>
      <c r="J30" s="20">
        <v>0</v>
      </c>
      <c r="K30" s="20"/>
      <c r="L30" s="20">
        <v>1</v>
      </c>
      <c r="M30" s="20"/>
      <c r="N30" s="20">
        <v>0</v>
      </c>
      <c r="O30" s="20"/>
      <c r="P30" s="20">
        <v>0</v>
      </c>
      <c r="Q30" s="20"/>
      <c r="R30" s="20">
        <v>0</v>
      </c>
      <c r="S30" s="20"/>
      <c r="T30" s="20">
        <v>0</v>
      </c>
      <c r="U30" s="20"/>
      <c r="V30" s="20">
        <v>0</v>
      </c>
      <c r="W30" s="20"/>
      <c r="X30" s="20">
        <v>0</v>
      </c>
      <c r="AE30" s="18"/>
      <c r="AG30" s="18"/>
      <c r="AI30" s="18"/>
      <c r="AK30" s="18"/>
      <c r="AU30" s="18"/>
      <c r="AX30" s="18"/>
      <c r="AZ30" s="2"/>
      <c r="BA30" s="31"/>
      <c r="BC30" s="61"/>
      <c r="BE30" s="61"/>
      <c r="BG30" s="61"/>
      <c r="BI30" s="61"/>
      <c r="BK30" s="61"/>
      <c r="BM30" s="61"/>
      <c r="BO30" s="61"/>
      <c r="BQ30" s="61"/>
      <c r="BS30" s="61"/>
      <c r="BU30" s="61"/>
      <c r="BW30" s="61"/>
    </row>
    <row r="31" spans="1:75" x14ac:dyDescent="0.25">
      <c r="A31" s="18">
        <v>12</v>
      </c>
      <c r="B31" s="2" t="s">
        <v>308</v>
      </c>
      <c r="C31" s="2"/>
      <c r="D31" s="24">
        <f>SUM(F31:X31)</f>
        <v>1</v>
      </c>
      <c r="E31" s="24"/>
      <c r="F31" s="24">
        <f>IFERROR(F30/$D30,0)</f>
        <v>0</v>
      </c>
      <c r="G31" s="24"/>
      <c r="H31" s="24">
        <f>IFERROR(H30/$D30,0)</f>
        <v>0</v>
      </c>
      <c r="I31" s="24"/>
      <c r="J31" s="24">
        <f>IFERROR(J30/$D30,0)</f>
        <v>0</v>
      </c>
      <c r="K31" s="24"/>
      <c r="L31" s="24">
        <f>IFERROR(L30/$D30,0)</f>
        <v>1</v>
      </c>
      <c r="M31" s="24"/>
      <c r="N31" s="24">
        <f>IFERROR(N30/$D30,0)</f>
        <v>0</v>
      </c>
      <c r="O31" s="24"/>
      <c r="P31" s="24">
        <f>IFERROR(P30/$D30,0)</f>
        <v>0</v>
      </c>
      <c r="Q31" s="24"/>
      <c r="R31" s="24">
        <f>IFERROR(R30/$D30,0)</f>
        <v>0</v>
      </c>
      <c r="S31" s="24"/>
      <c r="T31" s="24">
        <f>IFERROR(T30/$D30,0)</f>
        <v>0</v>
      </c>
      <c r="U31" s="24"/>
      <c r="V31" s="24">
        <f>IFERROR(V30/$D30,0)</f>
        <v>0</v>
      </c>
      <c r="W31" s="24"/>
      <c r="X31" s="24">
        <f>IFERROR(X30/$D30,0)</f>
        <v>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Z31" s="31"/>
      <c r="BA31" s="31"/>
    </row>
    <row r="32" spans="1:75" x14ac:dyDescent="0.25">
      <c r="A32" s="18"/>
      <c r="B32" s="2"/>
      <c r="C32" s="2"/>
      <c r="D32" s="24"/>
      <c r="F32" s="24"/>
      <c r="H32" s="24"/>
      <c r="J32" s="24"/>
      <c r="L32" s="24"/>
      <c r="N32" s="24"/>
      <c r="P32" s="24"/>
      <c r="R32" s="24"/>
      <c r="T32" s="24"/>
      <c r="V32" s="24"/>
      <c r="X32" s="24"/>
      <c r="AX32" s="18"/>
      <c r="AZ32" s="2"/>
      <c r="BA32" s="31"/>
      <c r="BC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pans="1:75" x14ac:dyDescent="0.25">
      <c r="A33" s="18">
        <v>13</v>
      </c>
      <c r="B33" s="2"/>
      <c r="C33" s="2" t="s">
        <v>167</v>
      </c>
      <c r="D33" s="20">
        <f>SUM(F33:X33)</f>
        <v>1</v>
      </c>
      <c r="E33" s="20"/>
      <c r="F33" s="20">
        <v>0</v>
      </c>
      <c r="G33" s="20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0</v>
      </c>
      <c r="W33" s="20"/>
      <c r="X33" s="20">
        <v>1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S33" s="22"/>
      <c r="AU33" s="22"/>
      <c r="AW33" s="22"/>
      <c r="AX33" s="18"/>
      <c r="AZ33" s="2"/>
      <c r="BA33" s="31"/>
      <c r="BC33" s="61"/>
      <c r="BE33" s="61"/>
      <c r="BG33" s="61"/>
      <c r="BI33" s="61"/>
      <c r="BK33" s="61"/>
      <c r="BM33" s="61"/>
      <c r="BO33" s="61"/>
      <c r="BQ33" s="61"/>
      <c r="BS33" s="61"/>
      <c r="BU33" s="61"/>
      <c r="BW33" s="61"/>
    </row>
    <row r="34" spans="1:75" x14ac:dyDescent="0.25">
      <c r="A34" s="18">
        <v>14</v>
      </c>
      <c r="B34" s="2" t="s">
        <v>303</v>
      </c>
      <c r="C34" s="2"/>
      <c r="D34" s="24">
        <f>SUM(F34:X34)</f>
        <v>1</v>
      </c>
      <c r="E34" s="24"/>
      <c r="F34" s="24">
        <f>IFERROR(F33/$D33,0)</f>
        <v>0</v>
      </c>
      <c r="G34" s="24"/>
      <c r="H34" s="24">
        <f>IFERROR(H33/$D33,0)</f>
        <v>0</v>
      </c>
      <c r="I34" s="24"/>
      <c r="J34" s="24">
        <f>IFERROR(J33/$D33,0)</f>
        <v>0</v>
      </c>
      <c r="K34" s="24"/>
      <c r="L34" s="24">
        <f>IFERROR(L33/$D33,0)</f>
        <v>0</v>
      </c>
      <c r="M34" s="24"/>
      <c r="N34" s="24">
        <f>IFERROR(N33/$D33,0)</f>
        <v>0</v>
      </c>
      <c r="O34" s="24"/>
      <c r="P34" s="24">
        <f>IFERROR(P33/$D33,0)</f>
        <v>0</v>
      </c>
      <c r="Q34" s="24"/>
      <c r="R34" s="24">
        <f>IFERROR(R33/$D33,0)</f>
        <v>0</v>
      </c>
      <c r="S34" s="24"/>
      <c r="T34" s="24">
        <f>IFERROR(T33/$D33,0)</f>
        <v>0</v>
      </c>
      <c r="U34" s="24"/>
      <c r="V34" s="24">
        <f>IFERROR(V33/$D33,0)</f>
        <v>0</v>
      </c>
      <c r="W34" s="24"/>
      <c r="X34" s="24">
        <f>IFERROR(X33/$D33,0)</f>
        <v>1</v>
      </c>
      <c r="AE34" s="61"/>
      <c r="AF34" s="61"/>
      <c r="AG34" s="61"/>
      <c r="AH34" s="61"/>
      <c r="AI34" s="61"/>
      <c r="AJ34" s="61"/>
      <c r="AK34" s="61"/>
      <c r="AL34" s="17"/>
      <c r="AM34" s="61"/>
      <c r="AN34" s="17"/>
      <c r="AO34" s="61"/>
      <c r="AP34" s="17"/>
      <c r="AQ34" s="61"/>
      <c r="AR34" s="17"/>
      <c r="AS34" s="61"/>
      <c r="AT34" s="17"/>
      <c r="AU34" s="61"/>
      <c r="AV34" s="17"/>
      <c r="AW34" s="61"/>
      <c r="AX34" s="18"/>
      <c r="AZ34" s="2"/>
      <c r="BA34" s="31"/>
      <c r="BE34" s="61"/>
      <c r="BG34" s="61"/>
      <c r="BI34" s="61"/>
      <c r="BK34" s="61"/>
      <c r="BM34" s="61"/>
      <c r="BO34" s="61"/>
      <c r="BQ34" s="61"/>
      <c r="BW34" s="61"/>
    </row>
    <row r="35" spans="1:75" ht="14.5" x14ac:dyDescent="0.35">
      <c r="A35" s="18"/>
      <c r="B35" s="2"/>
      <c r="C35" s="2"/>
      <c r="D35" s="24"/>
      <c r="F35" s="24"/>
      <c r="H35" s="24"/>
      <c r="J35" s="24"/>
      <c r="L35" s="24"/>
      <c r="N35" s="24"/>
      <c r="P35" s="24"/>
      <c r="R35" s="24"/>
      <c r="T35" s="24"/>
      <c r="V35" s="24"/>
      <c r="X35" s="24"/>
      <c r="AC35"/>
      <c r="AD35"/>
      <c r="AE35"/>
      <c r="AF35"/>
      <c r="AG35"/>
      <c r="AH35"/>
      <c r="AI35"/>
      <c r="AJ35"/>
      <c r="AK35"/>
      <c r="AX35" s="18"/>
      <c r="AZ35" s="2"/>
      <c r="BA35" s="31"/>
      <c r="BC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ht="13" x14ac:dyDescent="0.3">
      <c r="A36" s="18">
        <v>15</v>
      </c>
      <c r="B36" s="31"/>
      <c r="C36" s="2" t="s">
        <v>167</v>
      </c>
      <c r="D36" s="20">
        <f ca="1">SUM(F36:X36)</f>
        <v>565624.7809294943</v>
      </c>
      <c r="E36" s="20"/>
      <c r="F36" s="20">
        <f ca="1">'Distribution Class'!AR31</f>
        <v>65144.815897887223</v>
      </c>
      <c r="G36" s="20">
        <f>'Distribution Class'!AS31</f>
        <v>0</v>
      </c>
      <c r="H36" s="20">
        <f ca="1">'Distribution Class'!AT31</f>
        <v>12459.894573991163</v>
      </c>
      <c r="I36" s="20">
        <f>'Distribution Class'!AU31</f>
        <v>0</v>
      </c>
      <c r="J36" s="20">
        <f ca="1">'Distribution Class'!AV31</f>
        <v>75838.826896445156</v>
      </c>
      <c r="K36" s="20">
        <f>'Distribution Class'!AW31</f>
        <v>0</v>
      </c>
      <c r="L36" s="20">
        <f ca="1">'Distribution Class'!AX31</f>
        <v>0</v>
      </c>
      <c r="M36" s="20">
        <f>'Distribution Class'!AY31</f>
        <v>0</v>
      </c>
      <c r="N36" s="20">
        <f ca="1">'Distribution Class'!AZ31</f>
        <v>79895.341118364944</v>
      </c>
      <c r="O36" s="20">
        <f>'Distribution Class'!BA31</f>
        <v>0</v>
      </c>
      <c r="P36" s="20">
        <f ca="1">'Distribution Class'!BB31</f>
        <v>167835.01764249537</v>
      </c>
      <c r="Q36" s="20">
        <f>'Distribution Class'!BC31</f>
        <v>0</v>
      </c>
      <c r="R36" s="20">
        <f ca="1">'Distribution Class'!BD31</f>
        <v>150968.24809454841</v>
      </c>
      <c r="S36" s="20">
        <f>'Distribution Class'!BE31</f>
        <v>0</v>
      </c>
      <c r="T36" s="20">
        <f ca="1">'Distribution Class'!BF31</f>
        <v>13482.636705762121</v>
      </c>
      <c r="U36" s="20">
        <f>'Distribution Class'!BG31</f>
        <v>0</v>
      </c>
      <c r="V36" s="20">
        <f ca="1">'Distribution Class'!BH31</f>
        <v>0</v>
      </c>
      <c r="W36" s="20">
        <f>'Distribution Class'!BI31</f>
        <v>0</v>
      </c>
      <c r="X36" s="20">
        <f ca="1">'Distribution Class'!BJ31</f>
        <v>0</v>
      </c>
      <c r="Y36" s="111"/>
      <c r="AE36" s="8"/>
      <c r="AF36" s="8"/>
      <c r="AG36" s="8"/>
      <c r="AH36" s="8"/>
      <c r="AI36" s="8"/>
      <c r="AJ36" s="8"/>
      <c r="AK36" s="8"/>
      <c r="AM36" s="8"/>
      <c r="AO36" s="8"/>
      <c r="AQ36" s="8"/>
      <c r="AS36" s="8"/>
      <c r="AU36" s="8"/>
      <c r="AW36" s="8"/>
      <c r="AX36" s="18"/>
      <c r="AZ36" s="2"/>
      <c r="BA36" s="31"/>
      <c r="BC36" s="61"/>
      <c r="BE36" s="61"/>
      <c r="BG36" s="61"/>
      <c r="BI36" s="61"/>
      <c r="BK36" s="61"/>
      <c r="BM36" s="61"/>
      <c r="BO36" s="61"/>
      <c r="BQ36" s="61"/>
      <c r="BS36" s="61"/>
      <c r="BU36" s="61"/>
      <c r="BW36" s="61"/>
    </row>
    <row r="37" spans="1:75" x14ac:dyDescent="0.25">
      <c r="A37" s="18">
        <v>16</v>
      </c>
      <c r="B37" s="2" t="s">
        <v>300</v>
      </c>
      <c r="C37" s="2"/>
      <c r="D37" s="24">
        <f ca="1">SUM(F37:X37)</f>
        <v>1.0000000000000002</v>
      </c>
      <c r="E37" s="24"/>
      <c r="F37" s="24">
        <f ca="1">IFERROR(F36/$D36,0)</f>
        <v>0.11517319978596834</v>
      </c>
      <c r="G37" s="24"/>
      <c r="H37" s="24">
        <f ca="1">IFERROR(H36/$D36,0)</f>
        <v>2.2028551425055581E-2</v>
      </c>
      <c r="I37" s="24"/>
      <c r="J37" s="24">
        <f ca="1">IFERROR(J36/$D36,0)</f>
        <v>0.13407974589058633</v>
      </c>
      <c r="K37" s="24"/>
      <c r="L37" s="24">
        <f ca="1">IFERROR(L36/$D36,0)</f>
        <v>0</v>
      </c>
      <c r="M37" s="24"/>
      <c r="N37" s="24">
        <f ca="1">IFERROR(N36/$D36,0)</f>
        <v>0.14125148651915939</v>
      </c>
      <c r="O37" s="24"/>
      <c r="P37" s="24">
        <f ca="1">IFERROR(P36/$D36,0)</f>
        <v>0.29672500799326923</v>
      </c>
      <c r="Q37" s="24"/>
      <c r="R37" s="24">
        <f ca="1">IFERROR(R36/$D36,0)</f>
        <v>0.26690529337569241</v>
      </c>
      <c r="S37" s="24"/>
      <c r="T37" s="24">
        <f ca="1">IFERROR(T36/$D36,0)</f>
        <v>2.3836715010268874E-2</v>
      </c>
      <c r="U37" s="24"/>
      <c r="V37" s="24">
        <f ca="1">IFERROR(V36/$D36,0)</f>
        <v>0</v>
      </c>
      <c r="W37" s="24"/>
      <c r="X37" s="24">
        <f ca="1">IFERROR(X36/$D36,0)</f>
        <v>0</v>
      </c>
      <c r="AE37" s="66"/>
      <c r="AF37" s="67"/>
      <c r="AG37" s="66"/>
      <c r="AH37" s="67"/>
      <c r="AI37" s="66"/>
      <c r="AJ37" s="67"/>
      <c r="AK37" s="66"/>
      <c r="AM37" s="66"/>
      <c r="AO37" s="66"/>
      <c r="AQ37" s="66"/>
      <c r="AS37" s="66"/>
      <c r="AU37" s="66"/>
      <c r="AW37" s="66"/>
      <c r="AX37" s="18"/>
      <c r="AZ37" s="31"/>
      <c r="BA37" s="31"/>
    </row>
    <row r="38" spans="1:75" x14ac:dyDescent="0.25">
      <c r="A38" s="18"/>
      <c r="B38" s="2"/>
      <c r="C38" s="2"/>
      <c r="D38" s="24"/>
      <c r="F38" s="24"/>
      <c r="H38" s="24"/>
      <c r="J38" s="24"/>
      <c r="L38" s="24"/>
      <c r="N38" s="24"/>
      <c r="P38" s="24"/>
      <c r="R38" s="24"/>
      <c r="T38" s="24"/>
      <c r="V38" s="24"/>
      <c r="X38" s="24"/>
      <c r="AX38" s="18"/>
      <c r="AZ38" s="2"/>
      <c r="BA38" s="31"/>
      <c r="BC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</row>
    <row r="39" spans="1:75" x14ac:dyDescent="0.25">
      <c r="A39" s="18">
        <v>17</v>
      </c>
      <c r="B39" s="31"/>
      <c r="C39" s="2" t="s">
        <v>167</v>
      </c>
      <c r="D39" s="59">
        <f ca="1">SUM(F39:X39)</f>
        <v>99.999999999999972</v>
      </c>
      <c r="E39" s="59"/>
      <c r="F39" s="59">
        <f ca="1">+AD49*100</f>
        <v>13.121729151902203</v>
      </c>
      <c r="G39" s="59"/>
      <c r="H39" s="59">
        <f ca="1">+AF49*100</f>
        <v>2.5097217577135003</v>
      </c>
      <c r="I39" s="59"/>
      <c r="J39" s="59">
        <f ca="1">+AH49*100</f>
        <v>15.275759582972794</v>
      </c>
      <c r="K39" s="59"/>
      <c r="L39" s="59">
        <f ca="1">+AJ49*100</f>
        <v>4.1653951180326647</v>
      </c>
      <c r="M39" s="59"/>
      <c r="N39" s="59">
        <f ca="1">+AL49*100</f>
        <v>16.172939724478564</v>
      </c>
      <c r="O39" s="59"/>
      <c r="P39" s="59">
        <f ca="1">+AN49*100</f>
        <v>24.556492904189241</v>
      </c>
      <c r="Q39" s="59"/>
      <c r="R39" s="59">
        <f ca="1">+AP49*100</f>
        <v>8.8265212684261947</v>
      </c>
      <c r="S39" s="59"/>
      <c r="T39" s="59">
        <f ca="1">+AR49*100</f>
        <v>2.164672487969971</v>
      </c>
      <c r="U39" s="59"/>
      <c r="V39" s="59">
        <f ca="1">+AT49*100</f>
        <v>13.206768004314858</v>
      </c>
      <c r="W39" s="59"/>
      <c r="X39" s="59">
        <f ca="1">+AV49*100</f>
        <v>0</v>
      </c>
      <c r="AB39" s="74" t="s">
        <v>298</v>
      </c>
      <c r="AC39" s="39"/>
      <c r="AD39" s="18"/>
      <c r="AF39" s="18"/>
      <c r="AH39" s="18"/>
      <c r="AJ39" s="18" t="s">
        <v>177</v>
      </c>
      <c r="AT39" s="18" t="s">
        <v>276</v>
      </c>
      <c r="AV39" s="2"/>
      <c r="AW39" s="42"/>
      <c r="AX39" s="18"/>
      <c r="AZ39" s="2"/>
      <c r="BA39" s="31"/>
      <c r="BC39" s="61"/>
      <c r="BE39" s="61"/>
      <c r="BG39" s="61"/>
      <c r="BI39" s="61"/>
      <c r="BK39" s="61"/>
      <c r="BM39" s="61"/>
      <c r="BO39" s="61"/>
      <c r="BQ39" s="61"/>
      <c r="BS39" s="61"/>
      <c r="BU39" s="61"/>
      <c r="BW39" s="61"/>
    </row>
    <row r="40" spans="1:75" x14ac:dyDescent="0.25">
      <c r="A40" s="18">
        <v>18</v>
      </c>
      <c r="B40" s="2" t="s">
        <v>298</v>
      </c>
      <c r="C40" s="2"/>
      <c r="D40" s="24">
        <f ca="1">SUM(F40:X40)</f>
        <v>1.0000000000000004</v>
      </c>
      <c r="E40" s="24"/>
      <c r="F40" s="24">
        <f ca="1">IFERROR(F39/$D39,0)</f>
        <v>0.13121729151902206</v>
      </c>
      <c r="G40" s="24"/>
      <c r="H40" s="24">
        <f ca="1">IFERROR(H39/$D39,0)</f>
        <v>2.5097217577135008E-2</v>
      </c>
      <c r="I40" s="24"/>
      <c r="J40" s="24">
        <f ca="1">IFERROR(J39/$D39,0)</f>
        <v>0.15275759582972798</v>
      </c>
      <c r="K40" s="24"/>
      <c r="L40" s="24">
        <f ca="1">IFERROR(L39/$D39,0)</f>
        <v>4.1653951180326658E-2</v>
      </c>
      <c r="M40" s="24"/>
      <c r="N40" s="24">
        <f ca="1">IFERROR(N39/$D39,0)</f>
        <v>0.16172939724478569</v>
      </c>
      <c r="O40" s="24"/>
      <c r="P40" s="24">
        <f ca="1">IFERROR(P39/$D39,0)</f>
        <v>0.24556492904189248</v>
      </c>
      <c r="Q40" s="24"/>
      <c r="R40" s="24">
        <f ca="1">IFERROR(R39/$D39,0)</f>
        <v>8.8265212684261976E-2</v>
      </c>
      <c r="S40" s="24"/>
      <c r="T40" s="24">
        <f ca="1">IFERROR(T39/$D39,0)</f>
        <v>2.1646724879699715E-2</v>
      </c>
      <c r="U40" s="24"/>
      <c r="V40" s="24">
        <f ca="1">IFERROR(V39/$D39,0)</f>
        <v>0.13206768004314862</v>
      </c>
      <c r="W40" s="24"/>
      <c r="X40" s="24">
        <f ca="1">IFERROR(X39/$D39,0)</f>
        <v>0</v>
      </c>
      <c r="AD40" s="18" t="s">
        <v>277</v>
      </c>
      <c r="AE40" s="18"/>
      <c r="AF40" s="18" t="s">
        <v>277</v>
      </c>
      <c r="AG40" s="3"/>
      <c r="AH40" s="2" t="s">
        <v>278</v>
      </c>
      <c r="AI40" s="3"/>
      <c r="AJ40" s="2" t="s">
        <v>279</v>
      </c>
      <c r="AK40" s="3"/>
      <c r="AL40" s="2" t="s">
        <v>20</v>
      </c>
      <c r="AM40" s="2"/>
      <c r="AN40" s="2" t="s">
        <v>20</v>
      </c>
      <c r="AO40" s="2"/>
      <c r="AP40" s="2" t="s">
        <v>20</v>
      </c>
      <c r="AQ40" s="2"/>
      <c r="AR40" s="2" t="s">
        <v>313</v>
      </c>
      <c r="AS40" s="2"/>
      <c r="AT40" s="2" t="s">
        <v>279</v>
      </c>
      <c r="AU40" s="2"/>
      <c r="AV40" s="2" t="s">
        <v>20</v>
      </c>
      <c r="AX40" s="18"/>
      <c r="AZ40" s="31"/>
      <c r="BA40" s="31"/>
    </row>
    <row r="41" spans="1:75" x14ac:dyDescent="0.25">
      <c r="A41" s="18"/>
      <c r="B41" s="2"/>
      <c r="C41" s="2"/>
      <c r="D41" s="24"/>
      <c r="F41" s="24"/>
      <c r="H41" s="24"/>
      <c r="J41" s="24"/>
      <c r="L41" s="24"/>
      <c r="N41" s="24"/>
      <c r="P41" s="24"/>
      <c r="R41" s="24"/>
      <c r="T41" s="24"/>
      <c r="V41" s="24"/>
      <c r="X41" s="24"/>
      <c r="AD41" s="4" t="s">
        <v>314</v>
      </c>
      <c r="AE41" s="18"/>
      <c r="AF41" s="4" t="s">
        <v>281</v>
      </c>
      <c r="AG41" s="18"/>
      <c r="AH41" s="4" t="s">
        <v>282</v>
      </c>
      <c r="AI41" s="18"/>
      <c r="AJ41" s="4" t="s">
        <v>10</v>
      </c>
      <c r="AK41" s="18"/>
      <c r="AL41" s="33" t="s">
        <v>41</v>
      </c>
      <c r="AM41" s="2"/>
      <c r="AN41" s="33" t="s">
        <v>49</v>
      </c>
      <c r="AO41" s="2"/>
      <c r="AP41" s="33" t="s">
        <v>283</v>
      </c>
      <c r="AQ41" s="2"/>
      <c r="AR41" s="33" t="s">
        <v>284</v>
      </c>
      <c r="AS41" s="2"/>
      <c r="AT41" s="33" t="s">
        <v>10</v>
      </c>
      <c r="AU41" s="2"/>
      <c r="AV41" s="33" t="s">
        <v>175</v>
      </c>
      <c r="AX41" s="18"/>
      <c r="AZ41" s="2"/>
      <c r="BA41" s="31"/>
      <c r="BC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x14ac:dyDescent="0.25">
      <c r="A42" s="18">
        <v>19</v>
      </c>
      <c r="B42" s="31"/>
      <c r="C42" s="2" t="s">
        <v>167</v>
      </c>
      <c r="D42" s="20">
        <f ca="1">SUM(F42:X42)</f>
        <v>262900.4146806901</v>
      </c>
      <c r="E42" s="20"/>
      <c r="F42" s="20">
        <f ca="1">'Distribution Class'!AR162</f>
        <v>28066.267914728069</v>
      </c>
      <c r="G42" s="20">
        <f>'Distribution Class'!AS162</f>
        <v>0</v>
      </c>
      <c r="H42" s="20">
        <f ca="1">'Distribution Class'!AT162</f>
        <v>5368.0823943236283</v>
      </c>
      <c r="I42" s="20">
        <f>'Distribution Class'!AU162</f>
        <v>0</v>
      </c>
      <c r="J42" s="20">
        <f ca="1">'Distribution Class'!AV162</f>
        <v>32673.55667027599</v>
      </c>
      <c r="K42" s="20">
        <f>'Distribution Class'!AW162</f>
        <v>0</v>
      </c>
      <c r="L42" s="20">
        <f ca="1">'Distribution Class'!AX162</f>
        <v>26894.902828451814</v>
      </c>
      <c r="M42" s="20">
        <f>'Distribution Class'!AY162</f>
        <v>0</v>
      </c>
      <c r="N42" s="20">
        <f ca="1">'Distribution Class'!AZ162</f>
        <v>33166.220773794528</v>
      </c>
      <c r="O42" s="20">
        <f>'Distribution Class'!BA162</f>
        <v>0</v>
      </c>
      <c r="P42" s="20">
        <f ca="1">'Distribution Class'!BB162</f>
        <v>51284.355031017098</v>
      </c>
      <c r="Q42" s="20">
        <f>'Distribution Class'!BC162</f>
        <v>0</v>
      </c>
      <c r="R42" s="20">
        <f ca="1">'Distribution Class'!BD162</f>
        <v>21995.349183684521</v>
      </c>
      <c r="S42" s="20">
        <f>'Distribution Class'!BE162</f>
        <v>0</v>
      </c>
      <c r="T42" s="20">
        <f ca="1">'Distribution Class'!BF162</f>
        <v>4943.4762042366647</v>
      </c>
      <c r="U42" s="20">
        <f>'Distribution Class'!BG162</f>
        <v>0</v>
      </c>
      <c r="V42" s="20">
        <f ca="1">'Distribution Class'!BH162</f>
        <v>58508.203680177816</v>
      </c>
      <c r="W42" s="20">
        <f>'Distribution Class'!BI162</f>
        <v>0</v>
      </c>
      <c r="X42" s="20">
        <f ca="1">'Distribution Class'!BJ162</f>
        <v>0</v>
      </c>
      <c r="AX42" s="18"/>
      <c r="AZ42" s="2"/>
      <c r="BA42" s="31"/>
      <c r="BC42" s="61"/>
      <c r="BE42" s="61"/>
      <c r="BG42" s="61"/>
      <c r="BI42" s="61"/>
      <c r="BK42" s="61"/>
      <c r="BM42" s="61"/>
      <c r="BO42" s="61"/>
      <c r="BQ42" s="61"/>
      <c r="BS42" s="61"/>
      <c r="BU42" s="61"/>
      <c r="BW42" s="61"/>
    </row>
    <row r="43" spans="1:75" x14ac:dyDescent="0.25">
      <c r="A43" s="18">
        <v>20</v>
      </c>
      <c r="B43" s="2" t="s">
        <v>309</v>
      </c>
      <c r="C43" s="2"/>
      <c r="D43" s="24">
        <f ca="1">SUM(F43:X43)</f>
        <v>1</v>
      </c>
      <c r="E43" s="24"/>
      <c r="F43" s="24">
        <f ca="1">IFERROR(F42/$D42,0)</f>
        <v>0.10675627099643949</v>
      </c>
      <c r="G43" s="24"/>
      <c r="H43" s="24">
        <f ca="1">IFERROR(H42/$D42,0)</f>
        <v>2.0418691240344823E-2</v>
      </c>
      <c r="I43" s="24"/>
      <c r="J43" s="24">
        <f ca="1">IFERROR(J42/$D42,0)</f>
        <v>0.12428111499922957</v>
      </c>
      <c r="K43" s="24"/>
      <c r="L43" s="24">
        <f ca="1">IFERROR(L42/$D42,0)</f>
        <v>0.10230072425377285</v>
      </c>
      <c r="M43" s="24"/>
      <c r="N43" s="24">
        <f ca="1">IFERROR(N42/$D42,0)</f>
        <v>0.12615507211761948</v>
      </c>
      <c r="O43" s="24"/>
      <c r="P43" s="24">
        <f ca="1">IFERROR(P42/$D42,0)</f>
        <v>0.1950714117104202</v>
      </c>
      <c r="Q43" s="24"/>
      <c r="R43" s="24">
        <f ca="1">IFERROR(R42/$D42,0)</f>
        <v>8.3664185963340243E-2</v>
      </c>
      <c r="S43" s="24"/>
      <c r="T43" s="24">
        <f ca="1">IFERROR(T42/$D42,0)</f>
        <v>1.8803607480957545E-2</v>
      </c>
      <c r="U43" s="24"/>
      <c r="V43" s="24">
        <f ca="1">IFERROR(V42/$D42,0)</f>
        <v>0.2225489212378759</v>
      </c>
      <c r="W43" s="24"/>
      <c r="X43" s="24">
        <f ca="1">IFERROR(X42/$D42,0)</f>
        <v>0</v>
      </c>
      <c r="AB43" s="1" t="s">
        <v>315</v>
      </c>
      <c r="AD43" s="45">
        <f ca="1">'Distribution Class'!P75-'Distribution Class'!P74-'Distribution Class'!P70</f>
        <v>1855571.2585317646</v>
      </c>
      <c r="AE43" s="20"/>
      <c r="AF43" s="45">
        <f ca="1">'Distribution Class'!R75-'Distribution Class'!R74-'Distribution Class'!R70</f>
        <v>354905.02102384059</v>
      </c>
      <c r="AG43" s="20"/>
      <c r="AH43" s="45">
        <f ca="1">'Distribution Class'!T75-'Distribution Class'!T74-'Distribution Class'!T70</f>
        <v>2160177.2225496974</v>
      </c>
      <c r="AI43" s="20"/>
      <c r="AJ43" s="45">
        <f ca="1">'Distribution Class'!V75-'Distribution Class'!V74-'Distribution Class'!V70</f>
        <v>0</v>
      </c>
      <c r="AK43" s="20"/>
      <c r="AL43" s="45">
        <f ca="1">'Distribution Class'!X75-'Distribution Class'!X74-'Distribution Class'!X70</f>
        <v>2330153.0816661459</v>
      </c>
      <c r="AM43" s="20"/>
      <c r="AN43" s="45">
        <f ca="1">'Distribution Class'!Z75-'Distribution Class'!Z74-'Distribution Class'!Z70</f>
        <v>3496978.1869334034</v>
      </c>
      <c r="AO43" s="20"/>
      <c r="AP43" s="45">
        <f ca="1">'Distribution Class'!AB75-'Distribution Class'!AB74-'Distribution Class'!AB70</f>
        <v>1029780.7535093786</v>
      </c>
      <c r="AR43" s="45">
        <f ca="1">'Distribution Class'!AD75-'Distribution Class'!AD74-'Distribution Class'!AD70</f>
        <v>284291.33896399941</v>
      </c>
      <c r="AT43" s="45">
        <f ca="1">'Distribution Class'!AF75-'Distribution Class'!AF74-'Distribution Class'!AF70</f>
        <v>0</v>
      </c>
      <c r="AV43" s="45">
        <f ca="1">'Distribution Class'!AH75-'Distribution Class'!AH74-'Distribution Class'!AH70</f>
        <v>0</v>
      </c>
      <c r="AX43" s="18"/>
      <c r="AZ43" s="31"/>
      <c r="BA43" s="31"/>
    </row>
    <row r="44" spans="1:75" x14ac:dyDescent="0.25">
      <c r="A44" s="18"/>
      <c r="B44" s="2"/>
      <c r="C44" s="2"/>
      <c r="D44" s="24"/>
      <c r="F44" s="24"/>
      <c r="H44" s="24"/>
      <c r="J44" s="24"/>
      <c r="L44" s="24"/>
      <c r="N44" s="24"/>
      <c r="P44" s="24"/>
      <c r="R44" s="24"/>
      <c r="T44" s="24"/>
      <c r="V44" s="24"/>
      <c r="X44" s="24"/>
      <c r="AD44" s="24">
        <f ca="1">AD43/SUM($AD$43:$AV$43)</f>
        <v>0.16118783273504605</v>
      </c>
      <c r="AE44" s="24"/>
      <c r="AF44" s="24">
        <f ca="1">AF43/SUM($AD$43:$AV$43)</f>
        <v>3.0829519967281564E-2</v>
      </c>
      <c r="AG44" s="24"/>
      <c r="AH44" s="24">
        <f ca="1">AH43/SUM($AD$43:$AV$43)</f>
        <v>0.1876480265715629</v>
      </c>
      <c r="AI44" s="24"/>
      <c r="AJ44" s="24">
        <f ca="1">AJ43/SUM($AD$43:$AV$43)</f>
        <v>0</v>
      </c>
      <c r="AK44" s="17"/>
      <c r="AL44" s="24">
        <f ca="1">AL43/SUM($AD$43:$AV$43)</f>
        <v>0.20241331258377285</v>
      </c>
      <c r="AM44" s="17"/>
      <c r="AN44" s="24">
        <f ca="1">AN43/SUM($AD$43:$AV$43)</f>
        <v>0.3037718613509538</v>
      </c>
      <c r="AO44" s="17"/>
      <c r="AP44" s="24">
        <f ca="1">AP43/SUM($AD$43:$AV$43)</f>
        <v>8.9453922659795251E-2</v>
      </c>
      <c r="AQ44" s="17"/>
      <c r="AR44" s="24">
        <f ca="1">AR43/SUM($AD$43:$AV$43)</f>
        <v>2.4695524131587519E-2</v>
      </c>
      <c r="AS44" s="17"/>
      <c r="AT44" s="24">
        <f ca="1">AT43/SUM($AD$43:$AV$43)</f>
        <v>0</v>
      </c>
      <c r="AU44" s="17"/>
      <c r="AV44" s="24">
        <f ca="1">AV43/SUM($AD$43:$AV$43)</f>
        <v>0</v>
      </c>
      <c r="AX44" s="18"/>
      <c r="AZ44" s="2"/>
      <c r="BA44" s="31"/>
      <c r="BC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</row>
    <row r="45" spans="1:75" ht="14.5" x14ac:dyDescent="0.35">
      <c r="A45" s="18">
        <v>21</v>
      </c>
      <c r="B45" s="31"/>
      <c r="C45" s="2" t="s">
        <v>166</v>
      </c>
      <c r="D45" s="20">
        <f>SUM(F45:X45)</f>
        <v>16232.575325999998</v>
      </c>
      <c r="E45" s="20"/>
      <c r="F45" s="20">
        <v>12229.327214586983</v>
      </c>
      <c r="G45" s="20"/>
      <c r="H45" s="20">
        <v>2339.0368934872786</v>
      </c>
      <c r="I45" s="20"/>
      <c r="J45" s="20">
        <v>1664.2112179257374</v>
      </c>
      <c r="K45" s="20"/>
      <c r="L45" s="20">
        <v>0</v>
      </c>
      <c r="M45" s="20"/>
      <c r="N45" s="20">
        <v>0</v>
      </c>
      <c r="O45" s="20"/>
      <c r="P45" s="20">
        <v>0</v>
      </c>
      <c r="Q45" s="20"/>
      <c r="R45" s="20">
        <v>0</v>
      </c>
      <c r="S45" s="20"/>
      <c r="T45" s="20">
        <v>0</v>
      </c>
      <c r="U45" s="20"/>
      <c r="V45" s="20">
        <v>0</v>
      </c>
      <c r="W45" s="20"/>
      <c r="X45" s="20">
        <v>0</v>
      </c>
      <c r="AB45"/>
      <c r="AC45"/>
      <c r="AD45"/>
      <c r="AE45"/>
      <c r="AF45"/>
      <c r="AG45"/>
      <c r="AH45"/>
      <c r="AI45"/>
      <c r="AJ45"/>
      <c r="AX45" s="18"/>
      <c r="AZ45" s="2"/>
      <c r="BA45" s="31"/>
      <c r="BC45" s="61"/>
      <c r="BE45" s="61"/>
      <c r="BG45" s="61"/>
      <c r="BI45" s="61"/>
      <c r="BK45" s="61"/>
      <c r="BM45" s="61"/>
      <c r="BO45" s="61"/>
      <c r="BQ45" s="61"/>
      <c r="BS45" s="61"/>
      <c r="BU45" s="61"/>
      <c r="BW45" s="61"/>
    </row>
    <row r="46" spans="1:75" x14ac:dyDescent="0.25">
      <c r="A46" s="18">
        <v>22</v>
      </c>
      <c r="B46" s="2" t="s">
        <v>297</v>
      </c>
      <c r="C46" s="2"/>
      <c r="D46" s="24">
        <f>SUM(F46:X46)</f>
        <v>1</v>
      </c>
      <c r="E46" s="24"/>
      <c r="F46" s="24">
        <f>IFERROR(F45/$D45,0)</f>
        <v>0.75338182444772372</v>
      </c>
      <c r="G46" s="24"/>
      <c r="H46" s="24">
        <f>IFERROR(H45/$D45,0)</f>
        <v>0.144095243454118</v>
      </c>
      <c r="I46" s="24"/>
      <c r="J46" s="24">
        <f>IFERROR(J45/$D45,0)</f>
        <v>0.10252293209815828</v>
      </c>
      <c r="K46" s="24"/>
      <c r="L46" s="24">
        <f>IFERROR(L45/$D45,0)</f>
        <v>0</v>
      </c>
      <c r="M46" s="24"/>
      <c r="N46" s="24">
        <f>IFERROR(N45/$D45,0)</f>
        <v>0</v>
      </c>
      <c r="O46" s="24"/>
      <c r="P46" s="24">
        <f>IFERROR(P45/$D45,0)</f>
        <v>0</v>
      </c>
      <c r="Q46" s="24"/>
      <c r="R46" s="24">
        <f>IFERROR(R45/$D45,0)</f>
        <v>0</v>
      </c>
      <c r="S46" s="24"/>
      <c r="T46" s="24">
        <f>IFERROR(T45/$D45,0)</f>
        <v>0</v>
      </c>
      <c r="U46" s="24"/>
      <c r="V46" s="24">
        <f>IFERROR(V45/$D45,0)</f>
        <v>0</v>
      </c>
      <c r="W46" s="24"/>
      <c r="X46" s="24">
        <f>IFERROR(X45/$D45,0)</f>
        <v>0</v>
      </c>
      <c r="AB46" s="1" t="s">
        <v>149</v>
      </c>
      <c r="AD46" s="45">
        <f ca="1">'Distribution Class'!P162-'Distribution Class'!P157-'Distribution Class'!P148-SUM('Distribution Class'!P116:P122)</f>
        <v>76456.199527329445</v>
      </c>
      <c r="AE46" s="20"/>
      <c r="AF46" s="45">
        <f ca="1">'Distribution Class'!R162-'Distribution Class'!R157-'Distribution Class'!R148-SUM('Distribution Class'!R116:R122)</f>
        <v>14623.361391208622</v>
      </c>
      <c r="AG46" s="20"/>
      <c r="AH46" s="45">
        <f ca="1">'Distribution Class'!T162-'Distribution Class'!T157-'Distribution Class'!T148-SUM('Distribution Class'!T116:T122)</f>
        <v>89007.059137322096</v>
      </c>
      <c r="AI46" s="20"/>
      <c r="AJ46" s="45">
        <f ca="1">'Distribution Class'!V162-'Distribution Class'!V157-'Distribution Class'!V148-SUM('Distribution Class'!V116:V122)</f>
        <v>62909.728816261922</v>
      </c>
      <c r="AK46" s="20"/>
      <c r="AL46" s="45">
        <f ca="1">'Distribution Class'!X162-'Distribution Class'!X157-'Distribution Class'!X148-SUM('Distribution Class'!X116:X122)</f>
        <v>91407.156168225498</v>
      </c>
      <c r="AM46" s="20"/>
      <c r="AN46" s="45">
        <f ca="1">'Distribution Class'!Z162-'Distribution Class'!Z157-'Distribution Class'!Z148-SUM('Distribution Class'!Z116:Z122)</f>
        <v>141482.86575497035</v>
      </c>
      <c r="AO46" s="20"/>
      <c r="AP46" s="45">
        <f ca="1">'Distribution Class'!AB162-'Distribution Class'!AB157-'Distribution Class'!AB148-SUM('Distribution Class'!AB116:AB122)</f>
        <v>65755.576799421135</v>
      </c>
      <c r="AR46" s="45">
        <f ca="1">'Distribution Class'!AD162-'Distribution Class'!AD157-'Distribution Class'!AD148-SUM('Distribution Class'!AD116:AD122)</f>
        <v>14044.171376751005</v>
      </c>
      <c r="AT46" s="45">
        <f ca="1">'Distribution Class'!AF162-'Distribution Class'!AF157-'Distribution Class'!AF148-SUM('Distribution Class'!AF116:AF122)</f>
        <v>199461.07635597824</v>
      </c>
      <c r="AV46" s="45">
        <f ca="1">'Distribution Class'!AH162-'Distribution Class'!AH157-'Distribution Class'!AH148-SUM('Distribution Class'!AH116:AH122)</f>
        <v>0</v>
      </c>
      <c r="AX46" s="18"/>
      <c r="AZ46" s="31"/>
      <c r="BA46" s="31"/>
    </row>
    <row r="47" spans="1:75" x14ac:dyDescent="0.25">
      <c r="A47" s="18"/>
      <c r="B47" s="2"/>
      <c r="C47" s="2"/>
      <c r="D47" s="24"/>
      <c r="F47" s="24"/>
      <c r="H47" s="24"/>
      <c r="J47" s="24"/>
      <c r="L47" s="24"/>
      <c r="N47" s="24"/>
      <c r="P47" s="24"/>
      <c r="R47" s="24"/>
      <c r="T47" s="24"/>
      <c r="V47" s="24"/>
      <c r="X47" s="24"/>
      <c r="AD47" s="36">
        <f ca="1">AD46/SUM($AD$46:$AV$46)</f>
        <v>0.101246750302998</v>
      </c>
      <c r="AE47" s="104"/>
      <c r="AF47" s="36">
        <f ca="1">AF46/SUM($AD$46:$AV$46)</f>
        <v>1.9364915186988445E-2</v>
      </c>
      <c r="AG47" s="104"/>
      <c r="AH47" s="36">
        <f ca="1">AH46/SUM($AD$46:$AV$46)</f>
        <v>0.11786716508789301</v>
      </c>
      <c r="AI47" s="104"/>
      <c r="AJ47" s="36">
        <f ca="1">AJ46/SUM($AD$46:$AV$46)</f>
        <v>8.3307902360653302E-2</v>
      </c>
      <c r="AL47" s="36">
        <f ca="1">AL46/SUM($AD$46:$AV$46)</f>
        <v>0.12104548190579843</v>
      </c>
      <c r="AN47" s="36">
        <f ca="1">AN46/SUM($AD$46:$AV$46)</f>
        <v>0.18735799673283107</v>
      </c>
      <c r="AP47" s="36">
        <f ca="1">AP46/SUM($AD$46:$AV$46)</f>
        <v>8.7076502708728645E-2</v>
      </c>
      <c r="AR47" s="36">
        <f ca="1">AR46/SUM($AD$46:$AV$46)</f>
        <v>1.8597925627811904E-2</v>
      </c>
      <c r="AT47" s="36">
        <f ca="1">AT46/SUM($AD$46:$AV$46)</f>
        <v>0.26413536008629718</v>
      </c>
      <c r="AV47" s="36">
        <f ca="1">AV46/SUM($AD$46:$AV$46)</f>
        <v>0</v>
      </c>
      <c r="AX47" s="18"/>
      <c r="AZ47" s="2"/>
      <c r="BA47" s="56"/>
      <c r="BC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</row>
    <row r="48" spans="1:75" ht="13" x14ac:dyDescent="0.3">
      <c r="A48" s="18">
        <v>23</v>
      </c>
      <c r="B48" s="31"/>
      <c r="C48" s="2" t="s">
        <v>167</v>
      </c>
      <c r="D48" s="20">
        <f ca="1">SUM(F48:X48)</f>
        <v>9828103.3360033967</v>
      </c>
      <c r="E48" s="20"/>
      <c r="F48" s="20">
        <f ca="1">SUM('Distribution Class'!P21:P22)</f>
        <v>2720953.4692069101</v>
      </c>
      <c r="G48" s="20"/>
      <c r="H48" s="20">
        <f ca="1">SUM('Distribution Class'!R21:R22)</f>
        <v>520421.96911255905</v>
      </c>
      <c r="I48" s="20"/>
      <c r="J48" s="20">
        <f ca="1">SUM('Distribution Class'!T21:T22)</f>
        <v>3167618.4252008493</v>
      </c>
      <c r="K48" s="20"/>
      <c r="L48" s="20">
        <f ca="1">SUM('Distribution Class'!V21:V22)</f>
        <v>0</v>
      </c>
      <c r="M48" s="20"/>
      <c r="N48" s="20">
        <f ca="1">SUM('Distribution Class'!X21:X22)</f>
        <v>3419109.4724830771</v>
      </c>
      <c r="O48" s="20"/>
      <c r="P48" s="20">
        <f ca="1">SUM('Distribution Class'!Z21:Z22)</f>
        <v>0</v>
      </c>
      <c r="Q48" s="20"/>
      <c r="R48" s="20">
        <f ca="1">SUM('Distribution Class'!AB21:AB22)</f>
        <v>0</v>
      </c>
      <c r="S48" s="20"/>
      <c r="T48" s="20">
        <f ca="1">SUM('Distribution Class'!AD21:AD22)</f>
        <v>0</v>
      </c>
      <c r="U48" s="20"/>
      <c r="V48" s="20">
        <f ca="1">SUM('Distribution Class'!AF21:AF22)</f>
        <v>0</v>
      </c>
      <c r="W48" s="20"/>
      <c r="X48" s="20">
        <f ca="1">SUM('Distribution Class'!AH21:AH22)</f>
        <v>0</v>
      </c>
      <c r="Y48" s="111"/>
      <c r="AX48" s="18"/>
      <c r="AZ48" s="2"/>
      <c r="BA48" s="56"/>
      <c r="BC48" s="61"/>
      <c r="BE48" s="61"/>
      <c r="BG48" s="61"/>
      <c r="BI48" s="61"/>
      <c r="BK48" s="61"/>
      <c r="BM48" s="61"/>
      <c r="BO48" s="61"/>
      <c r="BQ48" s="61"/>
      <c r="BS48" s="61"/>
      <c r="BU48" s="61"/>
      <c r="BW48" s="61"/>
    </row>
    <row r="49" spans="1:75" x14ac:dyDescent="0.25">
      <c r="A49" s="18">
        <v>24</v>
      </c>
      <c r="B49" s="2" t="s">
        <v>291</v>
      </c>
      <c r="C49" s="2"/>
      <c r="D49" s="24">
        <f ca="1">SUM(F49:X49)</f>
        <v>0.99999999999999989</v>
      </c>
      <c r="E49" s="24"/>
      <c r="F49" s="24">
        <f ca="1">IFERROR(F48/$D48,0)</f>
        <v>0.27685438137786078</v>
      </c>
      <c r="G49" s="24"/>
      <c r="H49" s="24">
        <f ca="1">IFERROR(H48/$D48,0)</f>
        <v>5.2952431544557699E-2</v>
      </c>
      <c r="I49" s="24"/>
      <c r="J49" s="24">
        <f ca="1">IFERROR(J48/$D48,0)</f>
        <v>0.32230210824064892</v>
      </c>
      <c r="K49" s="24"/>
      <c r="L49" s="24">
        <f ca="1">IFERROR(L48/$D48,0)</f>
        <v>0</v>
      </c>
      <c r="M49" s="24"/>
      <c r="N49" s="24">
        <f ca="1">IFERROR(N48/$D48,0)</f>
        <v>0.34789107883693249</v>
      </c>
      <c r="O49" s="24"/>
      <c r="P49" s="24">
        <f ca="1">IFERROR(P48/$D48,0)</f>
        <v>0</v>
      </c>
      <c r="Q49" s="24"/>
      <c r="R49" s="24">
        <f ca="1">IFERROR(R48/$D48,0)</f>
        <v>0</v>
      </c>
      <c r="S49" s="24"/>
      <c r="T49" s="24">
        <f ca="1">IFERROR(T48/$D48,0)</f>
        <v>0</v>
      </c>
      <c r="U49" s="24"/>
      <c r="V49" s="24">
        <f ca="1">IFERROR(V48/$D48,0)</f>
        <v>0</v>
      </c>
      <c r="W49" s="24"/>
      <c r="X49" s="24">
        <f ca="1">IFERROR(X48/$D48,0)</f>
        <v>0</v>
      </c>
      <c r="Y49" s="39"/>
      <c r="AB49" s="31" t="s">
        <v>316</v>
      </c>
      <c r="AC49" s="31"/>
      <c r="AD49" s="103">
        <f ca="1">0.5*AD44+0.5*AD47</f>
        <v>0.13121729151902203</v>
      </c>
      <c r="AE49" s="105"/>
      <c r="AF49" s="103">
        <f ca="1">0.5*AF44+0.5*AF47</f>
        <v>2.5097217577135005E-2</v>
      </c>
      <c r="AG49" s="83"/>
      <c r="AH49" s="103">
        <f ca="1">0.5*AH44+0.5*AH47</f>
        <v>0.15275759582972795</v>
      </c>
      <c r="AI49" s="83"/>
      <c r="AJ49" s="103">
        <f ca="1">0.5*AJ44+0.5*AJ47</f>
        <v>4.1653951180326651E-2</v>
      </c>
      <c r="AK49" s="31"/>
      <c r="AL49" s="103">
        <f ca="1">0.5*AL44+0.5*AL47</f>
        <v>0.16172939724478563</v>
      </c>
      <c r="AM49" s="31"/>
      <c r="AN49" s="103">
        <f ca="1">0.5*AN44+0.5*AN47</f>
        <v>0.24556492904189242</v>
      </c>
      <c r="AO49" s="31"/>
      <c r="AP49" s="103">
        <f ca="1">0.5*AP44+0.5*AP47</f>
        <v>8.8265212684261948E-2</v>
      </c>
      <c r="AQ49" s="31"/>
      <c r="AR49" s="103">
        <f ca="1">0.5*AR44+0.5*AR47</f>
        <v>2.1646724879699712E-2</v>
      </c>
      <c r="AS49" s="31"/>
      <c r="AT49" s="103">
        <f ca="1">0.5*AT44+0.5*AT47</f>
        <v>0.13206768004314859</v>
      </c>
      <c r="AU49" s="31"/>
      <c r="AV49" s="103">
        <f ca="1">0.5*AV44+0.5*AV47</f>
        <v>0</v>
      </c>
      <c r="AX49" s="18"/>
      <c r="AZ49" s="31"/>
      <c r="BA49" s="31"/>
    </row>
    <row r="50" spans="1:75" x14ac:dyDescent="0.25">
      <c r="A50" s="18"/>
      <c r="B50" s="2"/>
      <c r="C50" s="2"/>
      <c r="D50" s="24"/>
      <c r="F50" s="24"/>
      <c r="H50" s="24"/>
      <c r="J50" s="24"/>
      <c r="L50" s="24"/>
      <c r="N50" s="24"/>
      <c r="P50" s="24"/>
      <c r="R50" s="24"/>
      <c r="T50" s="24"/>
      <c r="V50" s="24"/>
      <c r="X50" s="24"/>
      <c r="AX50" s="18"/>
      <c r="AZ50" s="2"/>
      <c r="BA50" s="31"/>
      <c r="BC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3" x14ac:dyDescent="0.3">
      <c r="A51" s="18">
        <v>25</v>
      </c>
      <c r="B51" s="31"/>
      <c r="C51" s="2" t="s">
        <v>167</v>
      </c>
      <c r="D51" s="20">
        <f ca="1">SUM(F51:X51)</f>
        <v>11511856.863178231</v>
      </c>
      <c r="E51" s="20"/>
      <c r="F51" s="20">
        <f ca="1">'Distribution Class'!P75-'Distribution Class'!P74-'Distribution Class'!P70</f>
        <v>1855571.2585317646</v>
      </c>
      <c r="G51" s="20"/>
      <c r="H51" s="20">
        <f ca="1">'Distribution Class'!R75-'Distribution Class'!R74-'Distribution Class'!R70</f>
        <v>354905.02102384059</v>
      </c>
      <c r="I51" s="20"/>
      <c r="J51" s="20">
        <f ca="1">'Distribution Class'!T75-'Distribution Class'!T74-'Distribution Class'!T70</f>
        <v>2160177.2225496974</v>
      </c>
      <c r="K51" s="20"/>
      <c r="L51" s="20">
        <f ca="1">'Distribution Class'!V75-'Distribution Class'!V74-'Distribution Class'!V70</f>
        <v>0</v>
      </c>
      <c r="M51" s="20"/>
      <c r="N51" s="20">
        <f ca="1">'Distribution Class'!X75-'Distribution Class'!X74-'Distribution Class'!X70</f>
        <v>2330153.0816661459</v>
      </c>
      <c r="O51" s="20"/>
      <c r="P51" s="20">
        <f ca="1">'Distribution Class'!Z75-'Distribution Class'!Z74-'Distribution Class'!Z70</f>
        <v>3496978.1869334034</v>
      </c>
      <c r="Q51" s="20"/>
      <c r="R51" s="20">
        <f ca="1">'Distribution Class'!AB75-'Distribution Class'!AB74-'Distribution Class'!AB70</f>
        <v>1029780.7535093786</v>
      </c>
      <c r="S51" s="20"/>
      <c r="T51" s="20">
        <f ca="1">'Distribution Class'!AD75-'Distribution Class'!AD74-'Distribution Class'!AD70</f>
        <v>284291.33896399941</v>
      </c>
      <c r="U51" s="20"/>
      <c r="V51" s="20">
        <f ca="1">'Distribution Class'!AF75-'Distribution Class'!AF74-'Distribution Class'!AF70</f>
        <v>0</v>
      </c>
      <c r="W51" s="20"/>
      <c r="X51" s="20">
        <f ca="1">'Distribution Class'!AH75-'Distribution Class'!AH74-'Distribution Class'!AH70</f>
        <v>0</v>
      </c>
      <c r="Y51" s="111"/>
      <c r="AX51" s="18"/>
      <c r="AZ51" s="2"/>
      <c r="BA51" s="31"/>
      <c r="BC51" s="61"/>
      <c r="BE51" s="61"/>
      <c r="BG51" s="61"/>
      <c r="BI51" s="61"/>
      <c r="BK51" s="61"/>
      <c r="BM51" s="61"/>
      <c r="BO51" s="61"/>
      <c r="BQ51" s="61"/>
      <c r="BS51" s="61"/>
      <c r="BU51" s="61"/>
      <c r="BW51" s="61"/>
    </row>
    <row r="52" spans="1:75" x14ac:dyDescent="0.25">
      <c r="A52" s="18">
        <v>26</v>
      </c>
      <c r="B52" s="2" t="s">
        <v>299</v>
      </c>
      <c r="C52" s="2"/>
      <c r="D52" s="24">
        <f ca="1">SUM(F52:X52)</f>
        <v>0.99999999999999989</v>
      </c>
      <c r="E52" s="24"/>
      <c r="F52" s="24">
        <f ca="1">IFERROR(F51/$D51,0)</f>
        <v>0.16118783273504605</v>
      </c>
      <c r="G52" s="24"/>
      <c r="H52" s="24">
        <f ca="1">IFERROR(H51/$D51,0)</f>
        <v>3.0829519967281564E-2</v>
      </c>
      <c r="I52" s="24"/>
      <c r="J52" s="24">
        <f ca="1">IFERROR(J51/$D51,0)</f>
        <v>0.1876480265715629</v>
      </c>
      <c r="K52" s="24"/>
      <c r="L52" s="24">
        <f ca="1">IFERROR(L51/$D51,0)</f>
        <v>0</v>
      </c>
      <c r="M52" s="24"/>
      <c r="N52" s="24">
        <f ca="1">IFERROR(N51/$D51,0)</f>
        <v>0.20241331258377285</v>
      </c>
      <c r="O52" s="24"/>
      <c r="P52" s="24">
        <f ca="1">IFERROR(P51/$D51,0)</f>
        <v>0.3037718613509538</v>
      </c>
      <c r="Q52" s="24"/>
      <c r="R52" s="24">
        <f ca="1">IFERROR(R51/$D51,0)</f>
        <v>8.9453922659795251E-2</v>
      </c>
      <c r="S52" s="24"/>
      <c r="T52" s="24">
        <f ca="1">IFERROR(T51/$D51,0)</f>
        <v>2.4695524131587519E-2</v>
      </c>
      <c r="U52" s="24"/>
      <c r="V52" s="24">
        <f ca="1">IFERROR(V51/$D51,0)</f>
        <v>0</v>
      </c>
      <c r="W52" s="24"/>
      <c r="X52" s="24">
        <f ca="1">IFERROR(X51/$D51,0)</f>
        <v>0</v>
      </c>
      <c r="AX52" s="18"/>
      <c r="AZ52" s="31"/>
      <c r="BA52" s="31"/>
    </row>
    <row r="53" spans="1:75" x14ac:dyDescent="0.25">
      <c r="A53" s="18"/>
      <c r="B53" s="2"/>
      <c r="C53" s="2"/>
      <c r="D53" s="24"/>
      <c r="F53" s="24"/>
      <c r="H53" s="24"/>
      <c r="J53" s="24"/>
      <c r="L53" s="24"/>
      <c r="N53" s="24"/>
      <c r="P53" s="24"/>
      <c r="R53" s="24"/>
      <c r="T53" s="24"/>
      <c r="V53" s="24"/>
      <c r="X53" s="24"/>
      <c r="AX53" s="18"/>
      <c r="AZ53" s="2"/>
      <c r="BA53" s="31"/>
      <c r="BC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</row>
    <row r="54" spans="1:75" ht="13" x14ac:dyDescent="0.3">
      <c r="A54" s="18">
        <v>27</v>
      </c>
      <c r="B54" s="31"/>
      <c r="C54" s="2" t="s">
        <v>167</v>
      </c>
      <c r="D54" s="20">
        <f>SUM(F54:X54)</f>
        <v>569662.85770280554</v>
      </c>
      <c r="E54" s="20"/>
      <c r="F54" s="20">
        <v>57855.918846645589</v>
      </c>
      <c r="G54" s="20"/>
      <c r="H54" s="20">
        <v>11065.786883802859</v>
      </c>
      <c r="I54" s="20"/>
      <c r="J54" s="20">
        <v>67353.402628739888</v>
      </c>
      <c r="K54" s="20"/>
      <c r="L54" s="20">
        <v>47605.036446483486</v>
      </c>
      <c r="M54" s="20"/>
      <c r="N54" s="20">
        <v>69169.603537266434</v>
      </c>
      <c r="O54" s="20"/>
      <c r="P54" s="20">
        <v>107062.88371532837</v>
      </c>
      <c r="Q54" s="20"/>
      <c r="R54" s="20">
        <v>49758.545919638702</v>
      </c>
      <c r="S54" s="20"/>
      <c r="T54" s="20">
        <v>10627.502340751915</v>
      </c>
      <c r="U54" s="20"/>
      <c r="V54" s="20">
        <v>149164.17738414826</v>
      </c>
      <c r="W54" s="20"/>
      <c r="X54" s="20">
        <v>0</v>
      </c>
      <c r="Y54" s="111"/>
      <c r="AX54" s="18"/>
      <c r="AZ54" s="2"/>
      <c r="BA54" s="31"/>
      <c r="BC54" s="61"/>
      <c r="BE54" s="61"/>
      <c r="BG54" s="61"/>
      <c r="BI54" s="61"/>
      <c r="BK54" s="61"/>
      <c r="BM54" s="61"/>
      <c r="BO54" s="61"/>
      <c r="BQ54" s="61"/>
      <c r="BS54" s="61"/>
      <c r="BU54" s="61"/>
      <c r="BW54" s="61"/>
    </row>
    <row r="55" spans="1:75" x14ac:dyDescent="0.25">
      <c r="A55" s="18">
        <v>28</v>
      </c>
      <c r="B55" s="2" t="s">
        <v>310</v>
      </c>
      <c r="C55" s="2"/>
      <c r="D55" s="24">
        <f>SUM(F55:X55)</f>
        <v>0.99999999999999989</v>
      </c>
      <c r="E55" s="24"/>
      <c r="F55" s="24">
        <f>IFERROR(F54/$D54,0)</f>
        <v>0.10156168348407429</v>
      </c>
      <c r="G55" s="24"/>
      <c r="H55" s="24">
        <f>IFERROR(H54/$D54,0)</f>
        <v>1.9425150743417267E-2</v>
      </c>
      <c r="I55" s="24"/>
      <c r="J55" s="24">
        <f>IFERROR(J54/$D54,0)</f>
        <v>0.11823379691690961</v>
      </c>
      <c r="K55" s="24"/>
      <c r="L55" s="24">
        <f>IFERROR(L54/$D54,0)</f>
        <v>8.3567035840204182E-2</v>
      </c>
      <c r="M55" s="24"/>
      <c r="N55" s="24">
        <f>IFERROR(N54/$D54,0)</f>
        <v>0.12142200005139246</v>
      </c>
      <c r="O55" s="24"/>
      <c r="P55" s="24">
        <f>IFERROR(P54/$D54,0)</f>
        <v>0.1879407833381746</v>
      </c>
      <c r="Q55" s="24"/>
      <c r="R55" s="24">
        <f>IFERROR(R54/$D54,0)</f>
        <v>8.7347358611885931E-2</v>
      </c>
      <c r="S55" s="24"/>
      <c r="T55" s="24">
        <f>IFERROR(T54/$D54,0)</f>
        <v>1.8655775424095331E-2</v>
      </c>
      <c r="U55" s="24"/>
      <c r="V55" s="24">
        <f>IFERROR(V54/$D54,0)</f>
        <v>0.26184641558984623</v>
      </c>
      <c r="W55" s="24"/>
      <c r="X55" s="24">
        <f>IFERROR(X54/$D54,0)</f>
        <v>0</v>
      </c>
      <c r="AX55" s="18"/>
      <c r="AZ55" s="31"/>
      <c r="BA55" s="31"/>
    </row>
    <row r="56" spans="1:75" x14ac:dyDescent="0.25">
      <c r="A56" s="18"/>
      <c r="B56" s="2"/>
      <c r="C56" s="2"/>
      <c r="D56" s="24"/>
      <c r="F56" s="24"/>
      <c r="H56" s="24"/>
      <c r="J56" s="24"/>
      <c r="L56" s="24"/>
      <c r="N56" s="24"/>
      <c r="P56" s="24"/>
      <c r="R56" s="24"/>
      <c r="T56" s="24"/>
      <c r="V56" s="24"/>
      <c r="X56" s="24"/>
      <c r="AX56" s="18"/>
      <c r="AZ56" s="2"/>
      <c r="BA56" s="31"/>
      <c r="BC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</row>
    <row r="57" spans="1:75" x14ac:dyDescent="0.25">
      <c r="A57" s="18">
        <v>29</v>
      </c>
      <c r="B57" s="2"/>
      <c r="C57" s="2" t="s">
        <v>166</v>
      </c>
      <c r="D57" s="20">
        <f>SUM(F57:X57)</f>
        <v>89821.237678983802</v>
      </c>
      <c r="E57" s="20"/>
      <c r="F57" s="20">
        <v>18566.813256393703</v>
      </c>
      <c r="G57" s="20"/>
      <c r="H57" s="20">
        <v>3551.1733752117329</v>
      </c>
      <c r="I57" s="20"/>
      <c r="J57" s="20">
        <v>20071.128377253117</v>
      </c>
      <c r="K57" s="20"/>
      <c r="L57" s="20">
        <v>0</v>
      </c>
      <c r="M57" s="20"/>
      <c r="N57" s="20">
        <v>30269.97935001133</v>
      </c>
      <c r="O57" s="20"/>
      <c r="P57" s="20">
        <v>17362.143320113923</v>
      </c>
      <c r="Q57" s="20"/>
      <c r="R57" s="20">
        <v>0</v>
      </c>
      <c r="S57" s="20"/>
      <c r="T57" s="20">
        <v>0</v>
      </c>
      <c r="U57" s="20"/>
      <c r="V57" s="20">
        <v>0</v>
      </c>
      <c r="W57" s="20"/>
      <c r="X57" s="20">
        <v>0</v>
      </c>
      <c r="AX57" s="18"/>
      <c r="AZ57" s="2"/>
      <c r="BA57" s="31"/>
      <c r="BC57" s="61"/>
      <c r="BE57" s="61"/>
      <c r="BG57" s="61"/>
      <c r="BI57" s="61"/>
      <c r="BK57" s="61"/>
      <c r="BM57" s="61"/>
      <c r="BO57" s="61"/>
      <c r="BQ57" s="61"/>
      <c r="BS57" s="61"/>
      <c r="BU57" s="61"/>
      <c r="BW57" s="61"/>
    </row>
    <row r="58" spans="1:75" x14ac:dyDescent="0.25">
      <c r="A58" s="18">
        <v>30</v>
      </c>
      <c r="B58" s="2" t="s">
        <v>302</v>
      </c>
      <c r="C58" s="2"/>
      <c r="D58" s="24">
        <f>SUM(F58:X58)</f>
        <v>1</v>
      </c>
      <c r="E58" s="24"/>
      <c r="F58" s="24">
        <f>IFERROR(F57/$D57,0)</f>
        <v>0.20670849941692498</v>
      </c>
      <c r="G58" s="24"/>
      <c r="H58" s="24">
        <f>IFERROR(H57/$D57,0)</f>
        <v>3.9536010268567359E-2</v>
      </c>
      <c r="I58" s="24"/>
      <c r="J58" s="24">
        <f>IFERROR(J57/$D57,0)</f>
        <v>0.22345637731007709</v>
      </c>
      <c r="K58" s="24"/>
      <c r="L58" s="24">
        <f>IFERROR(L57/$D57,0)</f>
        <v>0</v>
      </c>
      <c r="M58" s="24"/>
      <c r="N58" s="24">
        <f>IFERROR(N57/$D57,0)</f>
        <v>0.33700247438355929</v>
      </c>
      <c r="O58" s="24"/>
      <c r="P58" s="24">
        <f>IFERROR(P57/$D57,0)</f>
        <v>0.19329663862087132</v>
      </c>
      <c r="Q58" s="24"/>
      <c r="R58" s="24">
        <f>IFERROR(R57/$D57,0)</f>
        <v>0</v>
      </c>
      <c r="S58" s="24"/>
      <c r="T58" s="24">
        <f>IFERROR(T57/$D57,0)</f>
        <v>0</v>
      </c>
      <c r="U58" s="24"/>
      <c r="V58" s="24">
        <f>IFERROR(V57/$D57,0)</f>
        <v>0</v>
      </c>
      <c r="W58" s="24"/>
      <c r="X58" s="24">
        <f>IFERROR(X57/$D57,0)</f>
        <v>0</v>
      </c>
      <c r="AX58" s="18"/>
      <c r="AZ58" s="2"/>
      <c r="BA58" s="31"/>
      <c r="BC58" s="61"/>
      <c r="BE58" s="61"/>
      <c r="BG58" s="61"/>
      <c r="BI58" s="61"/>
      <c r="BK58" s="61"/>
      <c r="BM58" s="61"/>
      <c r="BO58" s="61"/>
      <c r="BQ58" s="61"/>
      <c r="BS58" s="61"/>
      <c r="BU58" s="61"/>
      <c r="BW58" s="61"/>
    </row>
    <row r="59" spans="1:75" x14ac:dyDescent="0.25">
      <c r="A59" s="18"/>
      <c r="B59" s="2"/>
      <c r="C59" s="2"/>
      <c r="D59" s="24"/>
      <c r="F59" s="24"/>
      <c r="H59" s="24"/>
      <c r="J59" s="24"/>
      <c r="L59" s="24"/>
      <c r="N59" s="24"/>
      <c r="P59" s="24"/>
      <c r="R59" s="24"/>
      <c r="T59" s="24"/>
      <c r="V59" s="24"/>
      <c r="X59" s="24"/>
      <c r="AX59" s="18"/>
      <c r="AZ59" s="2"/>
      <c r="BA59" s="56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</row>
    <row r="60" spans="1:75" ht="13" x14ac:dyDescent="0.3">
      <c r="A60" s="18">
        <v>31</v>
      </c>
      <c r="B60" s="31"/>
      <c r="C60" s="2" t="s">
        <v>167</v>
      </c>
      <c r="D60" s="20">
        <f ca="1">SUM(F60:X60)</f>
        <v>11784194.286187442</v>
      </c>
      <c r="E60" s="20"/>
      <c r="F60" s="20">
        <f ca="1">'Distribution Class'!P92</f>
        <v>1890703.5982501088</v>
      </c>
      <c r="G60" s="20"/>
      <c r="H60" s="20">
        <f ca="1">'Distribution Class'!R92</f>
        <v>361624.592535323</v>
      </c>
      <c r="I60" s="20"/>
      <c r="J60" s="20">
        <f ca="1">'Distribution Class'!T92</f>
        <v>2199227.6750420309</v>
      </c>
      <c r="K60" s="20"/>
      <c r="L60" s="20">
        <f ca="1">'Distribution Class'!V92</f>
        <v>14147.005606596334</v>
      </c>
      <c r="M60" s="20"/>
      <c r="N60" s="20">
        <f ca="1">'Distribution Class'!X92</f>
        <v>2370977.0077151242</v>
      </c>
      <c r="O60" s="20"/>
      <c r="P60" s="20">
        <f ca="1">'Distribution Class'!Z92</f>
        <v>3559212.481231798</v>
      </c>
      <c r="Q60" s="20"/>
      <c r="R60" s="20">
        <f ca="1">'Distribution Class'!AB92</f>
        <v>1053525.1175378759</v>
      </c>
      <c r="S60" s="20"/>
      <c r="T60" s="20">
        <f ca="1">'Distribution Class'!AD92</f>
        <v>289922.42694153643</v>
      </c>
      <c r="U60" s="20"/>
      <c r="V60" s="20">
        <f ca="1">'Distribution Class'!AF92</f>
        <v>44854.381327047551</v>
      </c>
      <c r="W60" s="20"/>
      <c r="X60" s="20">
        <f ca="1">'Distribution Class'!AH92</f>
        <v>0</v>
      </c>
      <c r="Y60" s="111"/>
      <c r="AX60" s="18"/>
      <c r="AZ60" s="2"/>
      <c r="BA60" s="56"/>
      <c r="BC60" s="61"/>
      <c r="BE60" s="61"/>
      <c r="BG60" s="61"/>
      <c r="BI60" s="61"/>
      <c r="BK60" s="61"/>
      <c r="BM60" s="61"/>
      <c r="BO60" s="61"/>
      <c r="BQ60" s="61"/>
      <c r="BS60" s="61"/>
      <c r="BU60" s="61"/>
      <c r="BW60" s="61"/>
    </row>
    <row r="61" spans="1:75" x14ac:dyDescent="0.25">
      <c r="A61" s="18">
        <v>32</v>
      </c>
      <c r="B61" s="2" t="s">
        <v>301</v>
      </c>
      <c r="C61" s="2"/>
      <c r="D61" s="24">
        <f ca="1">SUM(F61:X61)</f>
        <v>0.99999999999999989</v>
      </c>
      <c r="E61" s="24"/>
      <c r="F61" s="24">
        <f ca="1">IFERROR(F60/$D60,0)</f>
        <v>0.16044402802033322</v>
      </c>
      <c r="G61" s="24"/>
      <c r="H61" s="24">
        <f ca="1">IFERROR(H60/$D60,0)</f>
        <v>3.0687256485510638E-2</v>
      </c>
      <c r="I61" s="24"/>
      <c r="J61" s="24">
        <f ca="1">IFERROR(J60/$D60,0)</f>
        <v>0.18662520505282251</v>
      </c>
      <c r="K61" s="24"/>
      <c r="L61" s="24">
        <f ca="1">IFERROR(L60/$D60,0)</f>
        <v>1.2005068198152847E-3</v>
      </c>
      <c r="M61" s="24"/>
      <c r="N61" s="24">
        <f ca="1">IFERROR(N60/$D60,0)</f>
        <v>0.20119975537862672</v>
      </c>
      <c r="O61" s="24"/>
      <c r="P61" s="24">
        <f ca="1">IFERROR(P60/$D60,0)</f>
        <v>0.30203273934507707</v>
      </c>
      <c r="Q61" s="24"/>
      <c r="R61" s="24">
        <f ca="1">IFERROR(R60/$D60,0)</f>
        <v>8.9401540058851522E-2</v>
      </c>
      <c r="S61" s="24"/>
      <c r="T61" s="24">
        <f ca="1">IFERROR(T60/$D60,0)</f>
        <v>2.4602651645124519E-2</v>
      </c>
      <c r="U61" s="24"/>
      <c r="V61" s="24">
        <f ca="1">IFERROR(V60/$D60,0)</f>
        <v>3.806317193838405E-3</v>
      </c>
      <c r="W61" s="24"/>
      <c r="X61" s="24">
        <f ca="1">IFERROR(X60/$D60,0)</f>
        <v>0</v>
      </c>
      <c r="AX61" s="18"/>
      <c r="AZ61" s="31"/>
      <c r="BA61" s="31"/>
    </row>
    <row r="62" spans="1:75" x14ac:dyDescent="0.25">
      <c r="A62" s="18"/>
      <c r="B62" s="2"/>
      <c r="C62" s="2"/>
      <c r="D62" s="24"/>
      <c r="F62" s="24"/>
      <c r="H62" s="24"/>
      <c r="J62" s="24"/>
      <c r="L62" s="24"/>
      <c r="N62" s="24"/>
      <c r="P62" s="24"/>
      <c r="R62" s="24"/>
      <c r="T62" s="24"/>
      <c r="V62" s="24"/>
      <c r="X62" s="24"/>
      <c r="AX62" s="18"/>
      <c r="AZ62" s="2"/>
      <c r="BA62" s="31"/>
      <c r="BC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</row>
    <row r="63" spans="1:75" ht="13" x14ac:dyDescent="0.3">
      <c r="A63" s="18">
        <v>33</v>
      </c>
      <c r="B63" s="31"/>
      <c r="C63" s="2" t="s">
        <v>167</v>
      </c>
      <c r="D63" s="20">
        <f ca="1">SUM(F63:X63)</f>
        <v>90714.658046140539</v>
      </c>
      <c r="E63" s="20"/>
      <c r="F63" s="20">
        <f ca="1">SUM('Distribution Class'!P139:P143)</f>
        <v>12887.684234374017</v>
      </c>
      <c r="G63" s="20"/>
      <c r="H63" s="20">
        <f ca="1">SUM('Distribution Class'!R139:R143)</f>
        <v>2464.9572594524157</v>
      </c>
      <c r="I63" s="20"/>
      <c r="J63" s="20">
        <f ca="1">SUM('Distribution Class'!T139:T143)</f>
        <v>15003.29443372385</v>
      </c>
      <c r="K63" s="20"/>
      <c r="L63" s="20">
        <f ca="1">SUM('Distribution Class'!V139:V143)</f>
        <v>0</v>
      </c>
      <c r="M63" s="20"/>
      <c r="N63" s="20">
        <f ca="1">SUM('Distribution Class'!X139:X143)</f>
        <v>14134.101796934556</v>
      </c>
      <c r="O63" s="20"/>
      <c r="P63" s="20">
        <f ca="1">SUM('Distribution Class'!Z139:Z143)</f>
        <v>23350.481650231377</v>
      </c>
      <c r="Q63" s="20"/>
      <c r="R63" s="20">
        <f ca="1">SUM('Distribution Class'!AB139:AB143)</f>
        <v>19651.883397468569</v>
      </c>
      <c r="S63" s="20"/>
      <c r="T63" s="20">
        <f ca="1">SUM('Distribution Class'!AD139:AD143)</f>
        <v>3222.2552739557595</v>
      </c>
      <c r="U63" s="20"/>
      <c r="V63" s="20">
        <f ca="1">SUM('Distribution Class'!AF139:AF143)</f>
        <v>0</v>
      </c>
      <c r="W63" s="20"/>
      <c r="X63" s="20">
        <f ca="1">SUM('Distribution Class'!AH139:AH143)</f>
        <v>0</v>
      </c>
      <c r="Y63" s="111"/>
      <c r="AX63" s="18"/>
      <c r="AZ63" s="2"/>
      <c r="BA63" s="31"/>
      <c r="BC63" s="61"/>
      <c r="BE63" s="61"/>
      <c r="BG63" s="61"/>
      <c r="BI63" s="61"/>
      <c r="BK63" s="61"/>
      <c r="BM63" s="61"/>
      <c r="BO63" s="61"/>
      <c r="BQ63" s="61"/>
      <c r="BS63" s="61"/>
      <c r="BU63" s="61"/>
      <c r="BW63" s="61"/>
    </row>
    <row r="64" spans="1:75" x14ac:dyDescent="0.25">
      <c r="A64" s="18">
        <v>34</v>
      </c>
      <c r="B64" s="2" t="s">
        <v>305</v>
      </c>
      <c r="C64" s="2"/>
      <c r="D64" s="24">
        <f ca="1">SUM(F64:X64)</f>
        <v>1</v>
      </c>
      <c r="E64" s="24"/>
      <c r="F64" s="24">
        <f ca="1">IFERROR(F63/$D63,0)</f>
        <v>0.14206837695203464</v>
      </c>
      <c r="G64" s="24"/>
      <c r="H64" s="24">
        <f ca="1">IFERROR(H63/$D63,0)</f>
        <v>2.7172645662166914E-2</v>
      </c>
      <c r="I64" s="24"/>
      <c r="J64" s="24">
        <f ca="1">IFERROR(J63/$D63,0)</f>
        <v>0.16538996846675724</v>
      </c>
      <c r="K64" s="24"/>
      <c r="L64" s="24">
        <f ca="1">IFERROR(L63/$D63,0)</f>
        <v>0</v>
      </c>
      <c r="M64" s="24"/>
      <c r="N64" s="24">
        <f ca="1">IFERROR(N63/$D63,0)</f>
        <v>0.15580835667974932</v>
      </c>
      <c r="O64" s="24"/>
      <c r="P64" s="24">
        <f ca="1">IFERROR(P63/$D63,0)</f>
        <v>0.25740582782503058</v>
      </c>
      <c r="Q64" s="24"/>
      <c r="R64" s="24">
        <f ca="1">IFERROR(R63/$D63,0)</f>
        <v>0.2166340459275386</v>
      </c>
      <c r="S64" s="24"/>
      <c r="T64" s="24">
        <f ca="1">IFERROR(T63/$D63,0)</f>
        <v>3.5520778486722748E-2</v>
      </c>
      <c r="U64" s="24"/>
      <c r="V64" s="24">
        <f ca="1">IFERROR(V63/$D63,0)</f>
        <v>0</v>
      </c>
      <c r="W64" s="24"/>
      <c r="X64" s="24">
        <f ca="1">IFERROR(X63/$D63,0)</f>
        <v>0</v>
      </c>
      <c r="AX64" s="18"/>
      <c r="AZ64" s="31"/>
      <c r="BA64" s="31"/>
    </row>
    <row r="65" spans="1:75" x14ac:dyDescent="0.25">
      <c r="A65" s="18"/>
      <c r="B65" s="2"/>
      <c r="C65" s="2"/>
      <c r="D65" s="24"/>
      <c r="F65" s="24"/>
      <c r="H65" s="24"/>
      <c r="J65" s="24"/>
      <c r="L65" s="24"/>
      <c r="N65" s="24"/>
      <c r="P65" s="24"/>
      <c r="R65" s="24"/>
      <c r="T65" s="24"/>
      <c r="V65" s="24"/>
      <c r="X65" s="24"/>
      <c r="AX65" s="18"/>
      <c r="AZ65" s="2"/>
      <c r="BA65" s="31"/>
      <c r="BC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</row>
    <row r="66" spans="1:75" x14ac:dyDescent="0.25">
      <c r="A66" s="18">
        <v>35</v>
      </c>
      <c r="B66" s="31"/>
      <c r="C66" s="2" t="s">
        <v>167</v>
      </c>
      <c r="D66" s="20">
        <f>SUM(F66:X66)</f>
        <v>4181800.174079523</v>
      </c>
      <c r="E66" s="20"/>
      <c r="F66" s="20">
        <f>F75</f>
        <v>1775393.1324474369</v>
      </c>
      <c r="G66" s="20"/>
      <c r="H66" s="20">
        <f>+H75</f>
        <v>339569.78698592697</v>
      </c>
      <c r="I66" s="20"/>
      <c r="J66" s="20">
        <f>+J75</f>
        <v>2066837.2546461592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0</v>
      </c>
      <c r="U66" s="20"/>
      <c r="V66" s="20">
        <v>0</v>
      </c>
      <c r="W66" s="20"/>
      <c r="X66" s="20">
        <v>0</v>
      </c>
      <c r="AX66" s="18"/>
      <c r="AZ66" s="2"/>
      <c r="BA66" s="31"/>
      <c r="BC66" s="61"/>
      <c r="BE66" s="61"/>
      <c r="BG66" s="61"/>
      <c r="BI66" s="61"/>
      <c r="BK66" s="61"/>
      <c r="BM66" s="61"/>
      <c r="BO66" s="61"/>
      <c r="BQ66" s="61"/>
      <c r="BS66" s="61"/>
      <c r="BU66" s="61"/>
      <c r="BW66" s="61"/>
    </row>
    <row r="67" spans="1:75" x14ac:dyDescent="0.25">
      <c r="A67" s="18">
        <v>36</v>
      </c>
      <c r="B67" s="2" t="s">
        <v>292</v>
      </c>
      <c r="C67" s="2"/>
      <c r="D67" s="24">
        <f>SUM(F67:X67)</f>
        <v>1</v>
      </c>
      <c r="E67" s="24"/>
      <c r="F67" s="24">
        <f>IFERROR(F66/$D66,0)</f>
        <v>0.42455235987889539</v>
      </c>
      <c r="G67" s="24"/>
      <c r="H67" s="24">
        <f>IFERROR(H66/$D66,0)</f>
        <v>8.1201820472129899E-2</v>
      </c>
      <c r="I67" s="24"/>
      <c r="J67" s="24">
        <f>IFERROR(J66/$D66,0)</f>
        <v>0.49424581964897479</v>
      </c>
      <c r="K67" s="24"/>
      <c r="L67" s="24">
        <f>IFERROR(L66/$D66,0)</f>
        <v>0</v>
      </c>
      <c r="M67" s="24"/>
      <c r="N67" s="24">
        <f>IFERROR(N66/$D66,0)</f>
        <v>0</v>
      </c>
      <c r="O67" s="24"/>
      <c r="P67" s="24">
        <f>IFERROR(P66/$D66,0)</f>
        <v>0</v>
      </c>
      <c r="Q67" s="24"/>
      <c r="R67" s="24">
        <f>IFERROR(R66/$D66,0)</f>
        <v>0</v>
      </c>
      <c r="S67" s="24"/>
      <c r="T67" s="24">
        <f>IFERROR(T66/$D66,0)</f>
        <v>0</v>
      </c>
      <c r="U67" s="24"/>
      <c r="V67" s="24">
        <f>IFERROR(V66/$D66,0)</f>
        <v>0</v>
      </c>
      <c r="W67" s="24"/>
      <c r="X67" s="24">
        <f>IFERROR(X66/$D66,0)</f>
        <v>0</v>
      </c>
      <c r="AX67" s="18"/>
      <c r="AZ67" s="31"/>
      <c r="BA67" s="31"/>
    </row>
    <row r="68" spans="1:75" x14ac:dyDescent="0.25">
      <c r="A68" s="18"/>
      <c r="B68" s="2"/>
      <c r="C68" s="2"/>
      <c r="D68" s="24"/>
      <c r="F68" s="24"/>
      <c r="H68" s="24"/>
      <c r="J68" s="24"/>
      <c r="L68" s="24"/>
      <c r="N68" s="24"/>
      <c r="P68" s="24"/>
      <c r="R68" s="24"/>
      <c r="T68" s="24"/>
      <c r="V68" s="24"/>
      <c r="X68" s="24"/>
      <c r="AX68" s="18"/>
      <c r="AZ68" s="2"/>
      <c r="BA68" s="31"/>
      <c r="BC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</row>
    <row r="69" spans="1:75" ht="13" x14ac:dyDescent="0.3">
      <c r="A69" s="18">
        <v>37</v>
      </c>
      <c r="B69" s="31"/>
      <c r="C69" s="2" t="s">
        <v>167</v>
      </c>
      <c r="D69" s="20">
        <f ca="1">SUM(F69:X69)</f>
        <v>14437478.352962811</v>
      </c>
      <c r="E69" s="20"/>
      <c r="F69" s="20">
        <f ca="1">'Distribution Class'!P22+'Distribution Class'!P27</f>
        <v>2279749.08388513</v>
      </c>
      <c r="G69" s="20"/>
      <c r="H69" s="20">
        <f ca="1">'Distribution Class'!R22+'Distribution Class'!R27</f>
        <v>436035.20631459646</v>
      </c>
      <c r="I69" s="20"/>
      <c r="J69" s="20">
        <f ca="1">'Distribution Class'!T22+'Distribution Class'!T27</f>
        <v>2653987.025016692</v>
      </c>
      <c r="K69" s="20"/>
      <c r="L69" s="20">
        <f ca="1">'Distribution Class'!V22+'Distribution Class'!V27</f>
        <v>0</v>
      </c>
      <c r="M69" s="20"/>
      <c r="N69" s="20">
        <f ca="1">'Distribution Class'!X22+'Distribution Class'!X27</f>
        <v>3419109.4724830771</v>
      </c>
      <c r="O69" s="20"/>
      <c r="P69" s="20">
        <f ca="1">'Distribution Class'!Z22+'Distribution Class'!Z27</f>
        <v>5648597.565263316</v>
      </c>
      <c r="Q69" s="20"/>
      <c r="R69" s="20">
        <f ca="1">'Distribution Class'!AB22+'Distribution Class'!AB27</f>
        <v>0</v>
      </c>
      <c r="S69" s="20"/>
      <c r="T69" s="20">
        <f ca="1">'Distribution Class'!AD22+'Distribution Class'!AD27</f>
        <v>0</v>
      </c>
      <c r="U69" s="20"/>
      <c r="V69" s="20">
        <f ca="1">'Distribution Class'!AF22+'Distribution Class'!AF27</f>
        <v>0</v>
      </c>
      <c r="W69" s="20"/>
      <c r="X69" s="20">
        <f ca="1">'Distribution Class'!AH22+'Distribution Class'!AH27</f>
        <v>0</v>
      </c>
      <c r="Y69" s="111"/>
      <c r="AX69" s="18"/>
      <c r="AZ69" s="2"/>
      <c r="BA69" s="31"/>
      <c r="BC69" s="61"/>
      <c r="BE69" s="61"/>
      <c r="BG69" s="61"/>
      <c r="BI69" s="61"/>
      <c r="BK69" s="61"/>
      <c r="BM69" s="61"/>
      <c r="BO69" s="61"/>
      <c r="BQ69" s="61"/>
      <c r="BS69" s="61"/>
      <c r="BU69" s="61"/>
      <c r="BW69" s="61"/>
    </row>
    <row r="70" spans="1:75" x14ac:dyDescent="0.25">
      <c r="A70" s="18">
        <v>38</v>
      </c>
      <c r="B70" s="2" t="s">
        <v>306</v>
      </c>
      <c r="C70" s="2"/>
      <c r="D70" s="24">
        <f ca="1">SUM(F70:X70)</f>
        <v>1</v>
      </c>
      <c r="E70" s="24"/>
      <c r="F70" s="24">
        <f ca="1">IFERROR(F69/$D69,0)</f>
        <v>0.15790493520755913</v>
      </c>
      <c r="G70" s="24"/>
      <c r="H70" s="24">
        <f ca="1">IFERROR(H69/$D69,0)</f>
        <v>3.0201618014901805E-2</v>
      </c>
      <c r="I70" s="24"/>
      <c r="J70" s="24">
        <f ca="1">IFERROR(J69/$D69,0)</f>
        <v>0.18382621674871982</v>
      </c>
      <c r="K70" s="24"/>
      <c r="L70" s="24">
        <f ca="1">IFERROR(L69/$D69,0)</f>
        <v>0</v>
      </c>
      <c r="M70" s="24"/>
      <c r="N70" s="24">
        <f ca="1">IFERROR(N69/$D69,0)</f>
        <v>0.23682179040506884</v>
      </c>
      <c r="O70" s="24"/>
      <c r="P70" s="24">
        <f ca="1">IFERROR(P69/$D69,0)</f>
        <v>0.39124543962375047</v>
      </c>
      <c r="Q70" s="24"/>
      <c r="R70" s="24">
        <f ca="1">IFERROR(R69/$D69,0)</f>
        <v>0</v>
      </c>
      <c r="S70" s="24"/>
      <c r="T70" s="24">
        <f ca="1">IFERROR(T69/$D69,0)</f>
        <v>0</v>
      </c>
      <c r="U70" s="24"/>
      <c r="V70" s="24">
        <f ca="1">IFERROR(V69/$D69,0)</f>
        <v>0</v>
      </c>
      <c r="W70" s="24"/>
      <c r="X70" s="24">
        <f ca="1">IFERROR(X69/$D69,0)</f>
        <v>0</v>
      </c>
      <c r="AX70" s="18"/>
      <c r="AZ70" s="31"/>
      <c r="BA70" s="31"/>
    </row>
    <row r="71" spans="1:75" x14ac:dyDescent="0.25">
      <c r="A71" s="18"/>
      <c r="B71" s="2"/>
      <c r="C71" s="2"/>
      <c r="D71" s="24"/>
      <c r="F71" s="24"/>
      <c r="H71" s="24"/>
      <c r="J71" s="24"/>
      <c r="L71" s="24"/>
      <c r="N71" s="24"/>
      <c r="P71" s="24"/>
      <c r="R71" s="24"/>
      <c r="T71" s="24"/>
      <c r="V71" s="24"/>
      <c r="X71" s="24"/>
      <c r="AX71" s="18"/>
      <c r="AZ71" s="2"/>
      <c r="BA71" s="31"/>
      <c r="BC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x14ac:dyDescent="0.25">
      <c r="A72" s="18">
        <v>39</v>
      </c>
      <c r="B72" s="31"/>
      <c r="C72" s="2" t="s">
        <v>167</v>
      </c>
      <c r="D72" s="20">
        <f>SUM(F72:X72)</f>
        <v>1</v>
      </c>
      <c r="E72" s="20"/>
      <c r="F72" s="20">
        <v>1</v>
      </c>
      <c r="G72" s="20"/>
      <c r="H72" s="20">
        <v>0</v>
      </c>
      <c r="I72" s="20"/>
      <c r="J72" s="20">
        <v>0</v>
      </c>
      <c r="K72" s="20"/>
      <c r="L72" s="20">
        <v>0</v>
      </c>
      <c r="M72" s="20"/>
      <c r="N72" s="20">
        <v>0</v>
      </c>
      <c r="O72" s="20"/>
      <c r="P72" s="20">
        <v>0</v>
      </c>
      <c r="Q72" s="20"/>
      <c r="R72" s="20">
        <v>0</v>
      </c>
      <c r="S72" s="20"/>
      <c r="T72" s="20">
        <v>0</v>
      </c>
      <c r="U72" s="20"/>
      <c r="V72" s="20">
        <v>0</v>
      </c>
      <c r="W72" s="20"/>
      <c r="X72" s="20">
        <v>0</v>
      </c>
      <c r="AX72" s="18"/>
      <c r="AZ72" s="2"/>
      <c r="BA72" s="31"/>
      <c r="BC72" s="61"/>
      <c r="BE72" s="61"/>
      <c r="BG72" s="61"/>
      <c r="BI72" s="61"/>
      <c r="BK72" s="61"/>
      <c r="BM72" s="61"/>
      <c r="BO72" s="61"/>
      <c r="BQ72" s="61"/>
      <c r="BS72" s="61"/>
      <c r="BU72" s="61"/>
      <c r="BW72" s="61"/>
    </row>
    <row r="73" spans="1:75" x14ac:dyDescent="0.25">
      <c r="A73" s="18">
        <v>40</v>
      </c>
      <c r="B73" s="2" t="s">
        <v>304</v>
      </c>
      <c r="C73" s="2"/>
      <c r="D73" s="24">
        <f>SUM(F73:X73)</f>
        <v>1</v>
      </c>
      <c r="E73" s="24"/>
      <c r="F73" s="24">
        <f>IFERROR(F72/$D72,0)</f>
        <v>1</v>
      </c>
      <c r="G73" s="24"/>
      <c r="H73" s="24">
        <f>IFERROR(H72/$D72,0)</f>
        <v>0</v>
      </c>
      <c r="I73" s="24"/>
      <c r="J73" s="24">
        <f>IFERROR(J72/$D72,0)</f>
        <v>0</v>
      </c>
      <c r="K73" s="24"/>
      <c r="L73" s="24">
        <f>IFERROR(L72/$D72,0)</f>
        <v>0</v>
      </c>
      <c r="M73" s="24"/>
      <c r="N73" s="24">
        <f>IFERROR(N72/$D72,0)</f>
        <v>0</v>
      </c>
      <c r="O73" s="24"/>
      <c r="P73" s="24">
        <f>IFERROR(P72/$D72,0)</f>
        <v>0</v>
      </c>
      <c r="Q73" s="24"/>
      <c r="R73" s="24">
        <f>IFERROR(R72/$D72,0)</f>
        <v>0</v>
      </c>
      <c r="S73" s="24"/>
      <c r="T73" s="24">
        <f>IFERROR(T72/$D72,0)</f>
        <v>0</v>
      </c>
      <c r="U73" s="24"/>
      <c r="V73" s="24">
        <f>IFERROR(V72/$D72,0)</f>
        <v>0</v>
      </c>
      <c r="W73" s="24"/>
      <c r="X73" s="24">
        <f>IFERROR(X72/$D72,0)</f>
        <v>0</v>
      </c>
      <c r="AX73" s="18"/>
      <c r="AZ73" s="31"/>
      <c r="BA73" s="31"/>
    </row>
    <row r="74" spans="1:75" x14ac:dyDescent="0.25">
      <c r="A74" s="18"/>
      <c r="B74" s="2"/>
      <c r="C74" s="2"/>
      <c r="D74" s="24"/>
      <c r="F74" s="24"/>
      <c r="H74" s="24"/>
      <c r="J74" s="24"/>
      <c r="L74" s="24"/>
      <c r="N74" s="24"/>
      <c r="P74" s="24"/>
      <c r="R74" s="24"/>
      <c r="T74" s="24"/>
      <c r="V74" s="24"/>
      <c r="X74" s="24"/>
      <c r="AX74" s="18"/>
      <c r="AZ74" s="2"/>
      <c r="BA74" s="31"/>
      <c r="BC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</row>
    <row r="75" spans="1:75" x14ac:dyDescent="0.25">
      <c r="A75" s="18">
        <v>41</v>
      </c>
      <c r="B75" s="31"/>
      <c r="C75" s="2" t="s">
        <v>166</v>
      </c>
      <c r="D75" s="20">
        <f>SUM(F75:X75)</f>
        <v>6844489.4671430998</v>
      </c>
      <c r="E75" s="20"/>
      <c r="F75" s="20">
        <v>1775393.1324474369</v>
      </c>
      <c r="G75" s="20"/>
      <c r="H75" s="20">
        <v>339569.78698592697</v>
      </c>
      <c r="I75" s="20"/>
      <c r="J75" s="20">
        <v>2066837.2546461592</v>
      </c>
      <c r="K75" s="20"/>
      <c r="L75" s="20">
        <v>0</v>
      </c>
      <c r="M75" s="20"/>
      <c r="N75" s="20">
        <v>2662689.2930635768</v>
      </c>
      <c r="O75" s="20"/>
      <c r="P75" s="20">
        <v>0</v>
      </c>
      <c r="Q75" s="20"/>
      <c r="R75" s="20">
        <v>0</v>
      </c>
      <c r="S75" s="20"/>
      <c r="T75" s="20">
        <v>0</v>
      </c>
      <c r="U75" s="20"/>
      <c r="V75" s="20">
        <v>0</v>
      </c>
      <c r="W75" s="20"/>
      <c r="X75" s="20">
        <v>0</v>
      </c>
      <c r="AX75" s="18"/>
      <c r="AZ75" s="2"/>
      <c r="BA75" s="31"/>
      <c r="BC75" s="61"/>
      <c r="BE75" s="61"/>
      <c r="BG75" s="61"/>
      <c r="BI75" s="61"/>
      <c r="BK75" s="61"/>
      <c r="BM75" s="61"/>
      <c r="BO75" s="61"/>
      <c r="BQ75" s="61"/>
      <c r="BS75" s="61"/>
      <c r="BU75" s="61"/>
      <c r="BW75" s="61"/>
    </row>
    <row r="76" spans="1:75" x14ac:dyDescent="0.25">
      <c r="A76" s="18">
        <v>42</v>
      </c>
      <c r="B76" s="2" t="s">
        <v>293</v>
      </c>
      <c r="C76" s="2"/>
      <c r="D76" s="24">
        <f>SUM(F76:X76)</f>
        <v>1</v>
      </c>
      <c r="E76" s="24"/>
      <c r="F76" s="24">
        <f>IFERROR(F75/$D75,0)</f>
        <v>0.2593901475004371</v>
      </c>
      <c r="G76" s="24"/>
      <c r="H76" s="24">
        <f>IFERROR(H75/$D75,0)</f>
        <v>4.9612142529552886E-2</v>
      </c>
      <c r="I76" s="24"/>
      <c r="J76" s="24">
        <f>IFERROR(J75/$D75,0)</f>
        <v>0.30197098915382803</v>
      </c>
      <c r="K76" s="24"/>
      <c r="L76" s="24">
        <f>IFERROR(L75/$D75,0)</f>
        <v>0</v>
      </c>
      <c r="M76" s="24"/>
      <c r="N76" s="24">
        <f>IFERROR(N75/$D75,0)</f>
        <v>0.38902672081618195</v>
      </c>
      <c r="O76" s="24"/>
      <c r="P76" s="24">
        <f>IFERROR(P75/$D75,0)</f>
        <v>0</v>
      </c>
      <c r="Q76" s="24"/>
      <c r="R76" s="24">
        <f>IFERROR(R75/$D75,0)</f>
        <v>0</v>
      </c>
      <c r="S76" s="24"/>
      <c r="T76" s="24">
        <f>IFERROR(T75/$D75,0)</f>
        <v>0</v>
      </c>
      <c r="U76" s="24"/>
      <c r="V76" s="24">
        <f>IFERROR(V75/$D75,0)</f>
        <v>0</v>
      </c>
      <c r="W76" s="24"/>
      <c r="X76" s="24">
        <f>IFERROR(X75/$D75,0)</f>
        <v>0</v>
      </c>
      <c r="AX76" s="18"/>
      <c r="AZ76" s="31"/>
      <c r="BA76" s="31"/>
    </row>
    <row r="77" spans="1:75" x14ac:dyDescent="0.25">
      <c r="B77" s="2"/>
      <c r="C77" s="2"/>
      <c r="D77" s="24"/>
      <c r="F77" s="24"/>
      <c r="H77" s="24"/>
      <c r="J77" s="24"/>
      <c r="L77" s="24"/>
      <c r="N77" s="24"/>
      <c r="P77" s="24"/>
      <c r="R77" s="24"/>
      <c r="T77" s="24"/>
      <c r="V77" s="24"/>
      <c r="X77" s="24"/>
      <c r="AX77" s="18"/>
      <c r="AZ77" s="2"/>
      <c r="BA77" s="56"/>
      <c r="BC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</row>
    <row r="81" spans="1:41" x14ac:dyDescent="0.25">
      <c r="A81" s="54"/>
    </row>
    <row r="82" spans="1:41" x14ac:dyDescent="0.25">
      <c r="A82" s="54"/>
    </row>
    <row r="83" spans="1:41" x14ac:dyDescent="0.25">
      <c r="A83" s="18"/>
    </row>
    <row r="84" spans="1:41" ht="13" x14ac:dyDescent="0.3">
      <c r="A84" s="54"/>
      <c r="Y84" s="51"/>
    </row>
    <row r="85" spans="1:41" x14ac:dyDescent="0.25">
      <c r="A85" s="54"/>
    </row>
    <row r="86" spans="1:41" x14ac:dyDescent="0.25">
      <c r="A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5">
      <c r="A87" s="54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x14ac:dyDescent="0.25">
      <c r="A88" s="54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5">
      <c r="D89" s="61"/>
      <c r="F89" s="61"/>
      <c r="H89" s="61"/>
      <c r="J89" s="61"/>
      <c r="L89" s="61"/>
      <c r="N89" s="61"/>
      <c r="P89" s="61"/>
      <c r="R89" s="61"/>
      <c r="T89" s="61"/>
      <c r="V89" s="61"/>
      <c r="X89" s="61"/>
    </row>
    <row r="90" spans="1:41" x14ac:dyDescent="0.25">
      <c r="A90" s="3"/>
      <c r="AC90" s="8"/>
    </row>
    <row r="91" spans="1:41" x14ac:dyDescent="0.25">
      <c r="A91" s="3"/>
    </row>
    <row r="93" spans="1:41" x14ac:dyDescent="0.25">
      <c r="A93" s="3"/>
    </row>
    <row r="94" spans="1:41" x14ac:dyDescent="0.25">
      <c r="A94" s="3"/>
    </row>
    <row r="96" spans="1:41" x14ac:dyDescent="0.25">
      <c r="A96" s="3"/>
    </row>
    <row r="97" spans="1:25" x14ac:dyDescent="0.25">
      <c r="A97" s="3"/>
    </row>
    <row r="99" spans="1:25" ht="13" x14ac:dyDescent="0.3">
      <c r="A99" s="3"/>
      <c r="B99" s="18"/>
      <c r="D99" s="22"/>
      <c r="E99" s="3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51"/>
    </row>
    <row r="100" spans="1:25" ht="13" x14ac:dyDescent="0.3">
      <c r="A100" s="3"/>
      <c r="B100" s="60"/>
      <c r="D100" s="61"/>
      <c r="F100" s="61"/>
      <c r="H100" s="61"/>
      <c r="J100" s="61"/>
      <c r="L100" s="61"/>
      <c r="N100" s="61"/>
      <c r="P100" s="61"/>
      <c r="R100" s="61"/>
      <c r="T100" s="61"/>
      <c r="V100" s="61"/>
      <c r="X100" s="61"/>
    </row>
    <row r="102" spans="1:25" x14ac:dyDescent="0.25">
      <c r="A102" s="3"/>
    </row>
    <row r="103" spans="1:25" x14ac:dyDescent="0.25">
      <c r="A103" s="3"/>
    </row>
    <row r="104" spans="1:25" x14ac:dyDescent="0.25">
      <c r="B104" s="18"/>
      <c r="F104" s="61"/>
      <c r="H104" s="61"/>
      <c r="J104" s="61"/>
      <c r="L104" s="61"/>
      <c r="N104" s="61"/>
      <c r="P104" s="61"/>
      <c r="R104" s="61"/>
      <c r="X104" s="61"/>
    </row>
    <row r="105" spans="1:25" x14ac:dyDescent="0.25">
      <c r="A105" s="3"/>
    </row>
    <row r="106" spans="1:25" x14ac:dyDescent="0.25">
      <c r="A106" s="3"/>
    </row>
    <row r="107" spans="1:25" x14ac:dyDescent="0.25">
      <c r="B107" s="18"/>
      <c r="F107" s="61"/>
      <c r="H107" s="61"/>
      <c r="J107" s="61"/>
      <c r="L107" s="61"/>
      <c r="N107" s="61"/>
      <c r="P107" s="61"/>
      <c r="R107" s="61"/>
      <c r="X107" s="61"/>
    </row>
    <row r="108" spans="1:25" x14ac:dyDescent="0.25">
      <c r="A108" s="3"/>
    </row>
    <row r="109" spans="1:25" x14ac:dyDescent="0.25">
      <c r="A109" s="3"/>
    </row>
    <row r="111" spans="1:25" x14ac:dyDescent="0.25">
      <c r="A111" s="3"/>
    </row>
    <row r="112" spans="1:25" x14ac:dyDescent="0.25">
      <c r="A112" s="3"/>
    </row>
    <row r="114" spans="1:49" ht="13" x14ac:dyDescent="0.3">
      <c r="A114" s="2"/>
      <c r="Y114" s="51"/>
    </row>
    <row r="115" spans="1:49" x14ac:dyDescent="0.25">
      <c r="A115" s="2"/>
    </row>
    <row r="117" spans="1:49" x14ac:dyDescent="0.25">
      <c r="A117" s="2"/>
    </row>
    <row r="118" spans="1:49" x14ac:dyDescent="0.25">
      <c r="A118" s="2"/>
      <c r="AA118" s="74"/>
      <c r="AB118" s="39"/>
    </row>
    <row r="119" spans="1:49" x14ac:dyDescent="0.25">
      <c r="AC119" s="18"/>
      <c r="AE119" s="18"/>
      <c r="AG119" s="18"/>
      <c r="AI119" s="18"/>
      <c r="AS119" s="18"/>
    </row>
    <row r="120" spans="1:49" x14ac:dyDescent="0.25">
      <c r="A120" s="2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9" x14ac:dyDescent="0.25">
      <c r="A121" s="2"/>
    </row>
    <row r="122" spans="1:49" x14ac:dyDescent="0.25"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Q122" s="22"/>
      <c r="AS122" s="22"/>
      <c r="AU122" s="22"/>
      <c r="AW122" s="8"/>
    </row>
    <row r="123" spans="1:49" x14ac:dyDescent="0.25">
      <c r="A123" s="2"/>
      <c r="AC123" s="61"/>
      <c r="AD123" s="61"/>
      <c r="AE123" s="61"/>
      <c r="AF123" s="61"/>
      <c r="AG123" s="61"/>
      <c r="AH123" s="61"/>
      <c r="AI123" s="61"/>
      <c r="AJ123" s="17"/>
      <c r="AK123" s="61"/>
      <c r="AL123" s="17"/>
      <c r="AM123" s="61"/>
      <c r="AN123" s="17"/>
      <c r="AO123" s="61"/>
      <c r="AP123" s="17"/>
      <c r="AQ123" s="61"/>
      <c r="AR123" s="17"/>
      <c r="AS123" s="61"/>
      <c r="AT123" s="17"/>
      <c r="AU123" s="61"/>
    </row>
    <row r="124" spans="1:49" ht="14.5" x14ac:dyDescent="0.35">
      <c r="A124" s="2"/>
      <c r="AA124"/>
      <c r="AB124"/>
      <c r="AC124"/>
      <c r="AD124"/>
      <c r="AE124"/>
      <c r="AF124"/>
      <c r="AG124"/>
      <c r="AH124"/>
      <c r="AI124"/>
    </row>
    <row r="125" spans="1:49" x14ac:dyDescent="0.25">
      <c r="AC125" s="8"/>
      <c r="AD125" s="8"/>
      <c r="AE125" s="8"/>
      <c r="AF125" s="8"/>
      <c r="AG125" s="8"/>
      <c r="AH125" s="8"/>
      <c r="AI125" s="8"/>
      <c r="AK125" s="8"/>
      <c r="AM125" s="8"/>
      <c r="AO125" s="8"/>
      <c r="AQ125" s="8"/>
      <c r="AS125" s="8"/>
      <c r="AU125" s="8"/>
    </row>
    <row r="126" spans="1:49" x14ac:dyDescent="0.25">
      <c r="A126" s="2"/>
      <c r="AC126" s="66"/>
      <c r="AD126" s="67"/>
      <c r="AE126" s="66"/>
      <c r="AF126" s="67"/>
      <c r="AG126" s="66"/>
      <c r="AH126" s="67"/>
      <c r="AI126" s="66"/>
      <c r="AK126" s="66"/>
      <c r="AM126" s="66"/>
      <c r="AO126" s="66"/>
      <c r="AQ126" s="66"/>
      <c r="AS126" s="66"/>
      <c r="AU126" s="66"/>
    </row>
    <row r="127" spans="1:49" x14ac:dyDescent="0.25">
      <c r="A127" s="2"/>
    </row>
    <row r="128" spans="1:49" ht="13" x14ac:dyDescent="0.3">
      <c r="AA128" s="110"/>
      <c r="AB128" s="31"/>
      <c r="AC128" s="42"/>
      <c r="AD128" s="68"/>
      <c r="AE128" s="42"/>
      <c r="AF128" s="42"/>
      <c r="AG128" s="42"/>
      <c r="AH128" s="42"/>
      <c r="AI128" s="42"/>
      <c r="AJ128" s="31"/>
      <c r="AK128" s="42"/>
      <c r="AL128" s="31"/>
      <c r="AM128" s="42"/>
      <c r="AN128" s="31"/>
      <c r="AO128" s="42"/>
      <c r="AP128" s="31"/>
      <c r="AQ128" s="42"/>
      <c r="AR128" s="31"/>
      <c r="AS128" s="42"/>
      <c r="AT128" s="31"/>
      <c r="AU128" s="42"/>
    </row>
    <row r="129" spans="1:25" x14ac:dyDescent="0.25">
      <c r="A129" s="2"/>
    </row>
    <row r="130" spans="1:25" x14ac:dyDescent="0.25">
      <c r="A130" s="2"/>
    </row>
    <row r="132" spans="1:25" ht="13" x14ac:dyDescent="0.3">
      <c r="A132" s="2"/>
      <c r="Y132" s="111"/>
    </row>
    <row r="133" spans="1:25" x14ac:dyDescent="0.25">
      <c r="A133" s="2"/>
    </row>
    <row r="135" spans="1:25" x14ac:dyDescent="0.25">
      <c r="A135" s="2"/>
    </row>
    <row r="136" spans="1:25" x14ac:dyDescent="0.25">
      <c r="A136" s="2"/>
    </row>
    <row r="138" spans="1:25" x14ac:dyDescent="0.25">
      <c r="A138" s="2"/>
    </row>
    <row r="139" spans="1:25" x14ac:dyDescent="0.25">
      <c r="A139" s="2"/>
    </row>
    <row r="141" spans="1:25" x14ac:dyDescent="0.25">
      <c r="A141" s="2"/>
    </row>
    <row r="142" spans="1:25" x14ac:dyDescent="0.25">
      <c r="A142" s="2"/>
    </row>
    <row r="143" spans="1:25" x14ac:dyDescent="0.25">
      <c r="B143" s="18"/>
      <c r="D143" s="17"/>
      <c r="F143" s="61"/>
      <c r="H143" s="61"/>
      <c r="J143" s="61"/>
      <c r="L143" s="61"/>
    </row>
    <row r="144" spans="1:25" x14ac:dyDescent="0.25">
      <c r="A144" s="2"/>
    </row>
    <row r="145" spans="1:1" x14ac:dyDescent="0.25">
      <c r="A145" s="2"/>
    </row>
  </sheetData>
  <mergeCells count="4">
    <mergeCell ref="F9:L9"/>
    <mergeCell ref="B6:X6"/>
    <mergeCell ref="B7:X7"/>
    <mergeCell ref="N9:V9"/>
  </mergeCells>
  <conditionalFormatting sqref="Y36">
    <cfRule type="cellIs" dxfId="15" priority="13" operator="equal">
      <formula>"check"</formula>
    </cfRule>
    <cfRule type="cellIs" dxfId="14" priority="14" operator="equal">
      <formula>"ok"</formula>
    </cfRule>
  </conditionalFormatting>
  <conditionalFormatting sqref="Y48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51">
    <cfRule type="cellIs" dxfId="11" priority="9" operator="equal">
      <formula>"check"</formula>
    </cfRule>
    <cfRule type="cellIs" dxfId="10" priority="10" operator="equal">
      <formula>"ok"</formula>
    </cfRule>
  </conditionalFormatting>
  <conditionalFormatting sqref="Y54">
    <cfRule type="cellIs" dxfId="9" priority="1" operator="equal">
      <formula>"check"</formula>
    </cfRule>
    <cfRule type="cellIs" dxfId="8" priority="2" operator="equal">
      <formula>"ok"</formula>
    </cfRule>
  </conditionalFormatting>
  <conditionalFormatting sqref="Y60">
    <cfRule type="cellIs" dxfId="7" priority="11" operator="equal">
      <formula>"check"</formula>
    </cfRule>
    <cfRule type="cellIs" dxfId="6" priority="12" operator="equal">
      <formula>"ok"</formula>
    </cfRule>
  </conditionalFormatting>
  <conditionalFormatting sqref="Y63">
    <cfRule type="cellIs" dxfId="5" priority="3" operator="equal">
      <formula>"check"</formula>
    </cfRule>
    <cfRule type="cellIs" dxfId="4" priority="4" operator="equal">
      <formula>"ok"</formula>
    </cfRule>
  </conditionalFormatting>
  <conditionalFormatting sqref="Y69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132">
    <cfRule type="cellIs" dxfId="1" priority="7" operator="equal">
      <formula>"check"</formula>
    </cfRule>
    <cfRule type="cellIs" dxfId="0" priority="8" operator="equal">
      <formula>"ok"</formula>
    </cfRule>
  </conditionalFormatting>
  <pageMargins left="0.7" right="0.7" top="0.75" bottom="0.75" header="0.3" footer="0.3"/>
  <pageSetup scale="38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pageSetUpPr fitToPage="1"/>
  </sheetPr>
  <dimension ref="B5:AJ182"/>
  <sheetViews>
    <sheetView topLeftCell="A4" zoomScale="80" zoomScaleNormal="80" workbookViewId="0">
      <pane xSplit="4" ySplit="10" topLeftCell="E137" activePane="bottomRight" state="frozen"/>
      <selection activeCell="P17" sqref="P17"/>
      <selection pane="topRight" activeCell="P17" sqref="P17"/>
      <selection pane="bottomLeft" activeCell="P17" sqref="P17"/>
      <selection pane="bottomRight" activeCell="P17" sqref="P17"/>
    </sheetView>
  </sheetViews>
  <sheetFormatPr defaultColWidth="9.1796875" defaultRowHeight="12.5" x14ac:dyDescent="0.25"/>
  <cols>
    <col min="1" max="1" width="1.7265625" style="31" customWidth="1"/>
    <col min="2" max="2" width="6.1796875" style="2" bestFit="1" customWidth="1"/>
    <col min="3" max="3" width="1.7265625" style="31" customWidth="1"/>
    <col min="4" max="4" width="46" style="31" bestFit="1" customWidth="1"/>
    <col min="5" max="5" width="1.7265625" style="31" customWidth="1"/>
    <col min="6" max="6" width="19.26953125" style="31" customWidth="1"/>
    <col min="7" max="7" width="1.7265625" style="31" customWidth="1"/>
    <col min="8" max="8" width="13.26953125" style="31" customWidth="1"/>
    <col min="9" max="9" width="1.7265625" style="31" customWidth="1"/>
    <col min="10" max="10" width="17.26953125" style="31" bestFit="1" customWidth="1"/>
    <col min="11" max="11" width="1.7265625" style="71" customWidth="1"/>
    <col min="12" max="12" width="13.7265625" style="31" bestFit="1" customWidth="1"/>
    <col min="13" max="13" width="1.7265625" style="71" customWidth="1"/>
    <col min="14" max="14" width="22.26953125" style="2" bestFit="1" customWidth="1"/>
    <col min="15" max="15" width="1.7265625" style="71" customWidth="1"/>
    <col min="16" max="16" width="15.26953125" style="31" customWidth="1"/>
    <col min="17" max="17" width="1.7265625" style="31" customWidth="1"/>
    <col min="18" max="18" width="15.26953125" style="31" customWidth="1"/>
    <col min="19" max="19" width="1.7265625" style="31" customWidth="1"/>
    <col min="20" max="20" width="15.26953125" style="31" customWidth="1"/>
    <col min="21" max="21" width="1.7265625" style="31" customWidth="1"/>
    <col min="22" max="22" width="15.26953125" style="31" customWidth="1"/>
    <col min="23" max="23" width="12.26953125" style="31" bestFit="1" customWidth="1"/>
    <col min="24" max="24" width="9.1796875" style="31" customWidth="1"/>
    <col min="25" max="25" width="9.1796875" style="31"/>
    <col min="26" max="26" width="11.26953125" style="31" customWidth="1"/>
    <col min="27" max="27" width="9.26953125" style="31" bestFit="1" customWidth="1"/>
    <col min="28" max="28" width="9.1796875" style="31"/>
    <col min="29" max="29" width="11.26953125" style="31" customWidth="1"/>
    <col min="30" max="30" width="1.26953125" style="31" customWidth="1"/>
    <col min="31" max="31" width="11.26953125" style="31" customWidth="1"/>
    <col min="32" max="32" width="1.1796875" style="31" customWidth="1"/>
    <col min="33" max="33" width="11.26953125" style="31" customWidth="1"/>
    <col min="34" max="34" width="1" style="31" customWidth="1"/>
    <col min="35" max="35" width="11.26953125" style="31" customWidth="1"/>
    <col min="36" max="36" width="1.26953125" style="31" customWidth="1"/>
    <col min="37" max="16384" width="9.1796875" style="31"/>
  </cols>
  <sheetData>
    <row r="5" spans="2:36" ht="15" customHeight="1" x14ac:dyDescent="0.25">
      <c r="B5" s="158" t="s">
        <v>317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74"/>
      <c r="V5" s="74"/>
    </row>
    <row r="6" spans="2:36" ht="15" customHeight="1" x14ac:dyDescent="0.25">
      <c r="B6" s="159" t="s">
        <v>318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spans="2:36" ht="15" customHeight="1" x14ac:dyDescent="0.25">
      <c r="B7" s="158" t="s">
        <v>319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74"/>
      <c r="V7" s="74"/>
    </row>
    <row r="10" spans="2:36" x14ac:dyDescent="0.25">
      <c r="H10" s="2" t="s">
        <v>2</v>
      </c>
      <c r="J10" s="2" t="s">
        <v>3</v>
      </c>
      <c r="L10" s="2" t="s">
        <v>4</v>
      </c>
      <c r="N10" s="2" t="s">
        <v>275</v>
      </c>
      <c r="P10" s="2"/>
      <c r="R10" s="2" t="s">
        <v>20</v>
      </c>
      <c r="T10" s="2" t="s">
        <v>320</v>
      </c>
      <c r="V10" s="2"/>
    </row>
    <row r="11" spans="2:36" x14ac:dyDescent="0.25">
      <c r="B11" s="2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171</v>
      </c>
      <c r="P11" s="2" t="s">
        <v>321</v>
      </c>
      <c r="Q11" s="2"/>
      <c r="R11" s="2" t="s">
        <v>276</v>
      </c>
      <c r="S11" s="2"/>
      <c r="T11" s="2" t="s">
        <v>276</v>
      </c>
      <c r="U11" s="2"/>
      <c r="V11" s="2"/>
    </row>
    <row r="12" spans="2:36" ht="13" x14ac:dyDescent="0.3">
      <c r="B12" s="33" t="s">
        <v>11</v>
      </c>
      <c r="D12" s="77" t="s">
        <v>12</v>
      </c>
      <c r="F12" s="33" t="s">
        <v>13</v>
      </c>
      <c r="H12" s="33" t="s">
        <v>8</v>
      </c>
      <c r="J12" s="33" t="s">
        <v>14</v>
      </c>
      <c r="K12" s="70" t="s">
        <v>15</v>
      </c>
      <c r="L12" s="33" t="s">
        <v>174</v>
      </c>
      <c r="N12" s="33" t="s">
        <v>14</v>
      </c>
      <c r="O12" s="70" t="s">
        <v>15</v>
      </c>
      <c r="P12" s="33" t="s">
        <v>322</v>
      </c>
      <c r="Q12" s="2"/>
      <c r="R12" s="33" t="s">
        <v>323</v>
      </c>
      <c r="S12" s="2"/>
      <c r="T12" s="33" t="s">
        <v>324</v>
      </c>
      <c r="U12" s="2"/>
      <c r="V12" s="2"/>
      <c r="X12" s="113"/>
    </row>
    <row r="13" spans="2:36" x14ac:dyDescent="0.25">
      <c r="F13" s="2" t="s">
        <v>22</v>
      </c>
      <c r="H13" s="2" t="s">
        <v>23</v>
      </c>
      <c r="J13" s="2" t="s">
        <v>24</v>
      </c>
      <c r="K13" s="70"/>
      <c r="L13" s="2" t="s">
        <v>25</v>
      </c>
      <c r="N13" s="2" t="s">
        <v>26</v>
      </c>
      <c r="O13" s="70"/>
      <c r="P13" s="2" t="s">
        <v>27</v>
      </c>
      <c r="Q13" s="2"/>
      <c r="R13" s="2" t="s">
        <v>28</v>
      </c>
      <c r="S13" s="2"/>
      <c r="T13" s="2" t="s">
        <v>29</v>
      </c>
      <c r="U13" s="2"/>
      <c r="V13" s="2"/>
    </row>
    <row r="14" spans="2:36" s="71" customFormat="1" x14ac:dyDescent="0.25">
      <c r="B14" s="70"/>
      <c r="N14" s="70"/>
      <c r="P14" s="71">
        <v>4</v>
      </c>
      <c r="R14" s="71">
        <v>6</v>
      </c>
      <c r="T14" s="71">
        <v>8</v>
      </c>
      <c r="AC14" s="70"/>
      <c r="AE14" s="70"/>
      <c r="AG14" s="70"/>
      <c r="AI14" s="70"/>
    </row>
    <row r="15" spans="2:36" ht="13" x14ac:dyDescent="0.3">
      <c r="D15" s="74"/>
      <c r="E15" s="74"/>
      <c r="F15" s="74"/>
      <c r="X15" s="107"/>
      <c r="AC15" s="2"/>
      <c r="AD15" s="2"/>
      <c r="AE15" s="2"/>
      <c r="AF15" s="2"/>
      <c r="AG15" s="2"/>
      <c r="AH15" s="2"/>
      <c r="AI15" s="2"/>
      <c r="AJ15" s="2"/>
    </row>
    <row r="16" spans="2:36" ht="13" x14ac:dyDescent="0.3">
      <c r="B16" s="18"/>
      <c r="C16" s="1"/>
      <c r="D16" s="6" t="s">
        <v>183</v>
      </c>
      <c r="E16" s="75"/>
      <c r="F16" s="75"/>
      <c r="AC16" s="2"/>
      <c r="AD16" s="2"/>
      <c r="AE16" s="2"/>
      <c r="AF16" s="2"/>
      <c r="AG16" s="2"/>
      <c r="AH16" s="2"/>
      <c r="AI16" s="2"/>
      <c r="AJ16" s="2"/>
    </row>
    <row r="17" spans="2:35" ht="13" x14ac:dyDescent="0.3">
      <c r="B17" s="18"/>
      <c r="C17" s="1"/>
      <c r="D17" s="1"/>
      <c r="X17" s="107"/>
    </row>
    <row r="18" spans="2:35" ht="13" x14ac:dyDescent="0.3">
      <c r="B18" s="18">
        <v>1</v>
      </c>
      <c r="C18" s="1"/>
      <c r="D18" s="1" t="s">
        <v>33</v>
      </c>
      <c r="F18" s="48">
        <f ca="1">'Distribution Class'!AF18</f>
        <v>0</v>
      </c>
      <c r="H18" s="48"/>
      <c r="J18" s="2"/>
      <c r="K18" s="70">
        <f>_xlfn.IFNA(MATCH(J18,'Dist Cust Factors'!$B$12:$B$447,0),0)</f>
        <v>0</v>
      </c>
      <c r="L18" s="48">
        <f ca="1">F18-H18</f>
        <v>0</v>
      </c>
      <c r="O18" s="70">
        <f>_xlfn.IFNA(MATCH(N18,'Dist Cust Factors'!$B$12:$B$451,0),0)</f>
        <v>0</v>
      </c>
      <c r="P18" s="76">
        <f ca="1">OFFSET('Dist Cust Factors'!$B$12,$O18-1,P$14)*$L18+OFFSET('Dist Cust Factors'!$B$12,$K18-1,P$14)*$H18</f>
        <v>0</v>
      </c>
      <c r="R18" s="76">
        <f ca="1">OFFSET('Dist Cust Factors'!$B$12,$O18-1,R$14)*$L18+OFFSET('Dist Cust Factors'!$B$12,$K18-1,R$14)*$H18</f>
        <v>0</v>
      </c>
      <c r="S18" s="76"/>
      <c r="T18" s="76">
        <f ca="1">OFFSET('Dist Cust Factors'!$B$12,$O18-1,T$14)*$L18+OFFSET('Dist Cust Factors'!$B$12,$K18-1,T$14)*$H18</f>
        <v>0</v>
      </c>
      <c r="U18" s="76"/>
      <c r="V18" s="37"/>
      <c r="X18" s="107"/>
      <c r="Z18" s="37"/>
      <c r="AC18" s="48"/>
      <c r="AE18" s="48"/>
      <c r="AG18" s="48"/>
      <c r="AI18" s="48"/>
    </row>
    <row r="19" spans="2:35" ht="13" x14ac:dyDescent="0.3">
      <c r="B19" s="18">
        <f>B18+1</f>
        <v>2</v>
      </c>
      <c r="C19" s="1"/>
      <c r="D19" s="1" t="s">
        <v>35</v>
      </c>
      <c r="F19" s="48">
        <f ca="1">'Distribution Class'!AF19</f>
        <v>0</v>
      </c>
      <c r="H19" s="48"/>
      <c r="J19" s="2"/>
      <c r="K19" s="70">
        <f>_xlfn.IFNA(MATCH(J19,'Dist Cust Factors'!$B$12:$B$447,0),0)</f>
        <v>0</v>
      </c>
      <c r="L19" s="48">
        <f t="shared" ref="L19:L30" ca="1" si="0">F19-H19</f>
        <v>0</v>
      </c>
      <c r="O19" s="70">
        <f>_xlfn.IFNA(MATCH(N19,'Dist Cust Factors'!$B$12:$B$451,0),0)</f>
        <v>0</v>
      </c>
      <c r="P19" s="76">
        <f ca="1">OFFSET('Dist Cust Factors'!$B$12,$O19-1,P$14)*$L19+OFFSET('Dist Cust Factors'!$B$12,$K19-1,P$14)*$H19</f>
        <v>0</v>
      </c>
      <c r="R19" s="76">
        <f ca="1">OFFSET('Dist Cust Factors'!$B$12,$O19-1,R$14)*$L19+OFFSET('Dist Cust Factors'!$B$12,$K19-1,R$14)*$H19</f>
        <v>0</v>
      </c>
      <c r="S19" s="76"/>
      <c r="T19" s="76">
        <f ca="1">OFFSET('Dist Cust Factors'!$B$12,$O19-1,T$14)*$L19+OFFSET('Dist Cust Factors'!$B$12,$K19-1,T$14)*$H19</f>
        <v>0</v>
      </c>
      <c r="U19" s="76"/>
      <c r="V19" s="37"/>
      <c r="X19" s="107"/>
      <c r="Z19" s="37"/>
      <c r="AC19" s="48"/>
      <c r="AE19" s="48"/>
      <c r="AG19" s="48"/>
      <c r="AI19" s="48"/>
    </row>
    <row r="20" spans="2:35" ht="13" x14ac:dyDescent="0.3">
      <c r="B20" s="18">
        <f t="shared" ref="B20:B31" si="1">B19+1</f>
        <v>3</v>
      </c>
      <c r="C20" s="1"/>
      <c r="D20" s="1" t="s">
        <v>37</v>
      </c>
      <c r="F20" s="48">
        <f ca="1">'Distribution Class'!AF20</f>
        <v>0</v>
      </c>
      <c r="H20" s="48"/>
      <c r="J20" s="2"/>
      <c r="K20" s="70">
        <f>_xlfn.IFNA(MATCH(J20,'Dist Cust Factors'!$B$12:$B$447,0),0)</f>
        <v>0</v>
      </c>
      <c r="L20" s="48">
        <f t="shared" ca="1" si="0"/>
        <v>0</v>
      </c>
      <c r="O20" s="70">
        <f>_xlfn.IFNA(MATCH(N20,'Dist Cust Factors'!$B$12:$B$451,0),0)</f>
        <v>0</v>
      </c>
      <c r="P20" s="76">
        <f ca="1">OFFSET('Dist Cust Factors'!$B$12,$O20-1,P$14)*$L20+OFFSET('Dist Cust Factors'!$B$12,$K20-1,P$14)*$H20</f>
        <v>0</v>
      </c>
      <c r="R20" s="76">
        <f ca="1">OFFSET('Dist Cust Factors'!$B$12,$O20-1,R$14)*$L20+OFFSET('Dist Cust Factors'!$B$12,$K20-1,R$14)*$H20</f>
        <v>0</v>
      </c>
      <c r="S20" s="76"/>
      <c r="T20" s="76">
        <f ca="1">OFFSET('Dist Cust Factors'!$B$12,$O20-1,T$14)*$L20+OFFSET('Dist Cust Factors'!$B$12,$K20-1,T$14)*$H20</f>
        <v>0</v>
      </c>
      <c r="U20" s="76"/>
      <c r="V20" s="37"/>
      <c r="X20" s="107"/>
      <c r="Z20" s="37"/>
      <c r="AC20" s="48"/>
      <c r="AE20" s="48"/>
      <c r="AG20" s="48"/>
      <c r="AI20" s="48"/>
    </row>
    <row r="21" spans="2:35" ht="13" x14ac:dyDescent="0.3">
      <c r="B21" s="18">
        <f t="shared" si="1"/>
        <v>4</v>
      </c>
      <c r="C21" s="1"/>
      <c r="D21" s="1" t="s">
        <v>39</v>
      </c>
      <c r="F21" s="48">
        <f ca="1">'Distribution Class'!AF21</f>
        <v>0</v>
      </c>
      <c r="H21" s="48"/>
      <c r="J21" s="2"/>
      <c r="K21" s="70">
        <f>_xlfn.IFNA(MATCH(J21,'Dist Cust Factors'!$B$12:$B$447,0),0)</f>
        <v>0</v>
      </c>
      <c r="L21" s="48">
        <f t="shared" ca="1" si="0"/>
        <v>0</v>
      </c>
      <c r="O21" s="70">
        <f>_xlfn.IFNA(MATCH(N21,'Dist Cust Factors'!$B$12:$B$451,0),0)</f>
        <v>0</v>
      </c>
      <c r="P21" s="76">
        <f ca="1">OFFSET('Dist Cust Factors'!$B$12,$O21-1,P$14)*$L21+OFFSET('Dist Cust Factors'!$B$12,$K21-1,P$14)*$H21</f>
        <v>0</v>
      </c>
      <c r="R21" s="76">
        <f ca="1">OFFSET('Dist Cust Factors'!$B$12,$O21-1,R$14)*$L21+OFFSET('Dist Cust Factors'!$B$12,$K21-1,R$14)*$H21</f>
        <v>0</v>
      </c>
      <c r="S21" s="76"/>
      <c r="T21" s="76">
        <f ca="1">OFFSET('Dist Cust Factors'!$B$12,$O21-1,T$14)*$L21+OFFSET('Dist Cust Factors'!$B$12,$K21-1,T$14)*$H21</f>
        <v>0</v>
      </c>
      <c r="U21" s="76"/>
      <c r="V21" s="37"/>
      <c r="X21" s="107"/>
      <c r="Z21" s="37"/>
      <c r="AC21" s="48"/>
      <c r="AE21" s="48"/>
      <c r="AG21" s="48"/>
      <c r="AI21" s="48"/>
    </row>
    <row r="22" spans="2:35" ht="13" x14ac:dyDescent="0.3">
      <c r="B22" s="18">
        <f t="shared" si="1"/>
        <v>5</v>
      </c>
      <c r="C22" s="1"/>
      <c r="D22" s="1" t="s">
        <v>41</v>
      </c>
      <c r="F22" s="48">
        <f ca="1">'Distribution Class'!AF22</f>
        <v>0</v>
      </c>
      <c r="H22" s="48"/>
      <c r="J22" s="2"/>
      <c r="K22" s="70">
        <f>_xlfn.IFNA(MATCH(J22,'Dist Cust Factors'!$B$12:$B$447,0),0)</f>
        <v>0</v>
      </c>
      <c r="L22" s="48">
        <f t="shared" ca="1" si="0"/>
        <v>0</v>
      </c>
      <c r="O22" s="70">
        <f>_xlfn.IFNA(MATCH(N22,'Dist Cust Factors'!$B$12:$B$451,0),0)</f>
        <v>0</v>
      </c>
      <c r="P22" s="76">
        <f ca="1">OFFSET('Dist Cust Factors'!$B$12,$O22-1,P$14)*$L22+OFFSET('Dist Cust Factors'!$B$12,$K22-1,P$14)*$H22</f>
        <v>0</v>
      </c>
      <c r="R22" s="76">
        <f ca="1">OFFSET('Dist Cust Factors'!$B$12,$O22-1,R$14)*$L22+OFFSET('Dist Cust Factors'!$B$12,$K22-1,R$14)*$H22</f>
        <v>0</v>
      </c>
      <c r="S22" s="76"/>
      <c r="T22" s="76">
        <f ca="1">OFFSET('Dist Cust Factors'!$B$12,$O22-1,T$14)*$L22+OFFSET('Dist Cust Factors'!$B$12,$K22-1,T$14)*$H22</f>
        <v>0</v>
      </c>
      <c r="U22" s="76"/>
      <c r="V22" s="37"/>
      <c r="X22" s="107"/>
      <c r="Z22" s="37"/>
      <c r="AC22" s="48"/>
      <c r="AE22" s="48"/>
      <c r="AG22" s="48"/>
      <c r="AI22" s="48"/>
    </row>
    <row r="23" spans="2:35" ht="13" x14ac:dyDescent="0.3">
      <c r="B23" s="18">
        <f t="shared" si="1"/>
        <v>6</v>
      </c>
      <c r="C23" s="1"/>
      <c r="D23" s="1" t="s">
        <v>43</v>
      </c>
      <c r="F23" s="48">
        <f ca="1">'Distribution Class'!AF23</f>
        <v>0</v>
      </c>
      <c r="H23" s="48"/>
      <c r="K23" s="70">
        <f>_xlfn.IFNA(MATCH(J23,'Dist Cust Factors'!$B$12:$B$447,0),0)</f>
        <v>0</v>
      </c>
      <c r="L23" s="48">
        <f t="shared" ca="1" si="0"/>
        <v>0</v>
      </c>
      <c r="O23" s="70">
        <f>_xlfn.IFNA(MATCH(N23,'Dist Cust Factors'!$B$12:$B$451,0),0)</f>
        <v>0</v>
      </c>
      <c r="P23" s="76">
        <f ca="1">OFFSET('Dist Cust Factors'!$B$12,$O23-1,P$14)*$L23+OFFSET('Dist Cust Factors'!$B$12,$K23-1,P$14)*$H23</f>
        <v>0</v>
      </c>
      <c r="R23" s="76">
        <f ca="1">OFFSET('Dist Cust Factors'!$B$12,$O23-1,R$14)*$L23+OFFSET('Dist Cust Factors'!$B$12,$K23-1,R$14)*$H23</f>
        <v>0</v>
      </c>
      <c r="S23" s="76"/>
      <c r="T23" s="76">
        <f ca="1">OFFSET('Dist Cust Factors'!$B$12,$O23-1,T$14)*$L23+OFFSET('Dist Cust Factors'!$B$12,$K23-1,T$14)*$H23</f>
        <v>0</v>
      </c>
      <c r="U23" s="76"/>
      <c r="V23" s="37"/>
      <c r="X23" s="107"/>
      <c r="Z23" s="37"/>
      <c r="AC23" s="48"/>
      <c r="AE23" s="48"/>
      <c r="AG23" s="48"/>
      <c r="AI23" s="48"/>
    </row>
    <row r="24" spans="2:35" ht="13" x14ac:dyDescent="0.3">
      <c r="B24" s="18">
        <f t="shared" si="1"/>
        <v>7</v>
      </c>
      <c r="C24" s="1"/>
      <c r="D24" s="1" t="s">
        <v>45</v>
      </c>
      <c r="F24" s="48">
        <f ca="1">'Distribution Class'!AF24</f>
        <v>0</v>
      </c>
      <c r="H24" s="48"/>
      <c r="K24" s="70">
        <f>_xlfn.IFNA(MATCH(J24,'Dist Cust Factors'!$B$12:$B$447,0),0)</f>
        <v>0</v>
      </c>
      <c r="L24" s="48">
        <f t="shared" ca="1" si="0"/>
        <v>0</v>
      </c>
      <c r="O24" s="70">
        <f>_xlfn.IFNA(MATCH(N24,'Dist Cust Factors'!$B$12:$B$451,0),0)</f>
        <v>0</v>
      </c>
      <c r="P24" s="76">
        <f ca="1">OFFSET('Dist Cust Factors'!$B$12,$O24-1,P$14)*$L24+OFFSET('Dist Cust Factors'!$B$12,$K24-1,P$14)*$H24</f>
        <v>0</v>
      </c>
      <c r="R24" s="76">
        <f ca="1">OFFSET('Dist Cust Factors'!$B$12,$O24-1,R$14)*$L24+OFFSET('Dist Cust Factors'!$B$12,$K24-1,R$14)*$H24</f>
        <v>0</v>
      </c>
      <c r="S24" s="76"/>
      <c r="T24" s="76">
        <f ca="1">OFFSET('Dist Cust Factors'!$B$12,$O24-1,T$14)*$L24+OFFSET('Dist Cust Factors'!$B$12,$K24-1,T$14)*$H24</f>
        <v>0</v>
      </c>
      <c r="U24" s="76"/>
      <c r="V24" s="37"/>
      <c r="X24" s="107"/>
      <c r="Z24" s="37"/>
      <c r="AC24" s="48"/>
      <c r="AE24" s="48"/>
      <c r="AG24" s="48"/>
      <c r="AI24" s="48"/>
    </row>
    <row r="25" spans="2:35" ht="13" x14ac:dyDescent="0.3">
      <c r="B25" s="18">
        <f t="shared" si="1"/>
        <v>8</v>
      </c>
      <c r="C25" s="1"/>
      <c r="D25" s="1" t="s">
        <v>47</v>
      </c>
      <c r="F25" s="48">
        <f ca="1">'Distribution Class'!AF25</f>
        <v>0</v>
      </c>
      <c r="H25" s="48"/>
      <c r="K25" s="70">
        <f>_xlfn.IFNA(MATCH(J25,'Dist Cust Factors'!$B$12:$B$447,0),0)</f>
        <v>0</v>
      </c>
      <c r="L25" s="48">
        <f t="shared" ca="1" si="0"/>
        <v>0</v>
      </c>
      <c r="O25" s="70">
        <f>_xlfn.IFNA(MATCH(N25,'Dist Cust Factors'!$B$12:$B$451,0),0)</f>
        <v>0</v>
      </c>
      <c r="P25" s="76">
        <f ca="1">OFFSET('Dist Cust Factors'!$B$12,$O25-1,P$14)*$L25+OFFSET('Dist Cust Factors'!$B$12,$K25-1,P$14)*$H25</f>
        <v>0</v>
      </c>
      <c r="R25" s="76">
        <f ca="1">OFFSET('Dist Cust Factors'!$B$12,$O25-1,R$14)*$L25+OFFSET('Dist Cust Factors'!$B$12,$K25-1,R$14)*$H25</f>
        <v>0</v>
      </c>
      <c r="S25" s="76"/>
      <c r="T25" s="76">
        <f ca="1">OFFSET('Dist Cust Factors'!$B$12,$O25-1,T$14)*$L25+OFFSET('Dist Cust Factors'!$B$12,$K25-1,T$14)*$H25</f>
        <v>0</v>
      </c>
      <c r="U25" s="76"/>
      <c r="V25" s="37"/>
      <c r="X25" s="107"/>
      <c r="Z25" s="37"/>
      <c r="AC25" s="48"/>
      <c r="AE25" s="48"/>
      <c r="AG25" s="48"/>
      <c r="AI25" s="48"/>
    </row>
    <row r="26" spans="2:35" ht="13" x14ac:dyDescent="0.3">
      <c r="B26" s="18">
        <f t="shared" si="1"/>
        <v>9</v>
      </c>
      <c r="C26" s="1"/>
      <c r="D26" s="1" t="s">
        <v>48</v>
      </c>
      <c r="F26" s="48">
        <f ca="1">'Distribution Class'!AF26</f>
        <v>0</v>
      </c>
      <c r="H26" s="48"/>
      <c r="K26" s="70">
        <f>_xlfn.IFNA(MATCH(J26,'Dist Cust Factors'!$B$12:$B$447,0),0)</f>
        <v>0</v>
      </c>
      <c r="L26" s="48">
        <f t="shared" ca="1" si="0"/>
        <v>0</v>
      </c>
      <c r="O26" s="70">
        <f>_xlfn.IFNA(MATCH(N26,'Dist Cust Factors'!$B$12:$B$451,0),0)</f>
        <v>0</v>
      </c>
      <c r="P26" s="76">
        <f ca="1">OFFSET('Dist Cust Factors'!$B$12,$O26-1,P$14)*$L26+OFFSET('Dist Cust Factors'!$B$12,$K26-1,P$14)*$H26</f>
        <v>0</v>
      </c>
      <c r="R26" s="76">
        <f ca="1">OFFSET('Dist Cust Factors'!$B$12,$O26-1,R$14)*$L26+OFFSET('Dist Cust Factors'!$B$12,$K26-1,R$14)*$H26</f>
        <v>0</v>
      </c>
      <c r="S26" s="76"/>
      <c r="T26" s="76">
        <f ca="1">OFFSET('Dist Cust Factors'!$B$12,$O26-1,T$14)*$L26+OFFSET('Dist Cust Factors'!$B$12,$K26-1,T$14)*$H26</f>
        <v>0</v>
      </c>
      <c r="U26" s="76"/>
      <c r="V26" s="37"/>
      <c r="X26" s="107"/>
      <c r="Z26" s="37"/>
      <c r="AC26" s="48"/>
      <c r="AE26" s="48"/>
      <c r="AG26" s="48"/>
      <c r="AI26" s="48"/>
    </row>
    <row r="27" spans="2:35" ht="13" x14ac:dyDescent="0.3">
      <c r="B27" s="18">
        <f t="shared" si="1"/>
        <v>10</v>
      </c>
      <c r="C27" s="1"/>
      <c r="D27" s="1" t="s">
        <v>49</v>
      </c>
      <c r="F27" s="48">
        <f ca="1">'Distribution Class'!AF27</f>
        <v>0</v>
      </c>
      <c r="H27" s="48"/>
      <c r="K27" s="70">
        <f>_xlfn.IFNA(MATCH(J27,'Dist Cust Factors'!$B$12:$B$447,0),0)</f>
        <v>0</v>
      </c>
      <c r="L27" s="48">
        <f t="shared" ca="1" si="0"/>
        <v>0</v>
      </c>
      <c r="O27" s="70">
        <f>_xlfn.IFNA(MATCH(N27,'Dist Cust Factors'!$B$12:$B$451,0),0)</f>
        <v>0</v>
      </c>
      <c r="P27" s="76">
        <f ca="1">OFFSET('Dist Cust Factors'!$B$12,$O27-1,P$14)*$L27+OFFSET('Dist Cust Factors'!$B$12,$K27-1,P$14)*$H27</f>
        <v>0</v>
      </c>
      <c r="R27" s="76">
        <f ca="1">OFFSET('Dist Cust Factors'!$B$12,$O27-1,R$14)*$L27+OFFSET('Dist Cust Factors'!$B$12,$K27-1,R$14)*$H27</f>
        <v>0</v>
      </c>
      <c r="S27" s="76"/>
      <c r="T27" s="76">
        <f ca="1">OFFSET('Dist Cust Factors'!$B$12,$O27-1,T$14)*$L27+OFFSET('Dist Cust Factors'!$B$12,$K27-1,T$14)*$H27</f>
        <v>0</v>
      </c>
      <c r="U27" s="76"/>
      <c r="V27" s="37"/>
      <c r="X27" s="107"/>
      <c r="Z27" s="37"/>
      <c r="AC27" s="48"/>
      <c r="AE27" s="48"/>
      <c r="AG27" s="48"/>
      <c r="AI27" s="48"/>
    </row>
    <row r="28" spans="2:35" ht="13" x14ac:dyDescent="0.3">
      <c r="B28" s="18">
        <f t="shared" si="1"/>
        <v>11</v>
      </c>
      <c r="C28" s="1"/>
      <c r="D28" s="1" t="s">
        <v>51</v>
      </c>
      <c r="F28" s="48">
        <f ca="1">'Distribution Class'!AF28</f>
        <v>0</v>
      </c>
      <c r="H28" s="48"/>
      <c r="K28" s="70">
        <f>_xlfn.IFNA(MATCH(J28,'Dist Cust Factors'!$B$12:$B$447,0),0)</f>
        <v>0</v>
      </c>
      <c r="L28" s="48">
        <f t="shared" ca="1" si="0"/>
        <v>0</v>
      </c>
      <c r="O28" s="70">
        <f>_xlfn.IFNA(MATCH(N28,'Dist Cust Factors'!$B$12:$B$451,0),0)</f>
        <v>0</v>
      </c>
      <c r="P28" s="76">
        <f ca="1">OFFSET('Dist Cust Factors'!$B$12,$O28-1,P$14)*$L28+OFFSET('Dist Cust Factors'!$B$12,$K28-1,P$14)*$H28</f>
        <v>0</v>
      </c>
      <c r="R28" s="76">
        <f ca="1">OFFSET('Dist Cust Factors'!$B$12,$O28-1,R$14)*$L28+OFFSET('Dist Cust Factors'!$B$12,$K28-1,R$14)*$H28</f>
        <v>0</v>
      </c>
      <c r="S28" s="76"/>
      <c r="T28" s="76">
        <f ca="1">OFFSET('Dist Cust Factors'!$B$12,$O28-1,T$14)*$L28+OFFSET('Dist Cust Factors'!$B$12,$K28-1,T$14)*$H28</f>
        <v>0</v>
      </c>
      <c r="U28" s="76"/>
      <c r="V28" s="37"/>
      <c r="X28" s="107"/>
      <c r="Z28" s="37"/>
      <c r="AC28" s="48"/>
      <c r="AE28" s="48"/>
      <c r="AG28" s="48"/>
      <c r="AI28" s="48"/>
    </row>
    <row r="29" spans="2:35" ht="13" x14ac:dyDescent="0.3">
      <c r="B29" s="18">
        <f>B28+1</f>
        <v>12</v>
      </c>
      <c r="C29" s="1"/>
      <c r="D29" s="1" t="s">
        <v>52</v>
      </c>
      <c r="F29" s="48">
        <f ca="1">'Distribution Class'!AF29</f>
        <v>0</v>
      </c>
      <c r="H29" s="48"/>
      <c r="K29" s="70">
        <f>_xlfn.IFNA(MATCH(J29,'Dist Cust Factors'!$B$12:$B$447,0),0)</f>
        <v>0</v>
      </c>
      <c r="L29" s="48">
        <f t="shared" ca="1" si="0"/>
        <v>0</v>
      </c>
      <c r="O29" s="70">
        <f>_xlfn.IFNA(MATCH(N29,'Dist Cust Factors'!$B$12:$B$451,0),0)</f>
        <v>0</v>
      </c>
      <c r="P29" s="76">
        <f ca="1">OFFSET('Dist Cust Factors'!$B$12,$O29-1,P$14)*$L29+OFFSET('Dist Cust Factors'!$B$12,$K29-1,P$14)*$H29</f>
        <v>0</v>
      </c>
      <c r="R29" s="76">
        <f ca="1">OFFSET('Dist Cust Factors'!$B$12,$O29-1,R$14)*$L29+OFFSET('Dist Cust Factors'!$B$12,$K29-1,R$14)*$H29</f>
        <v>0</v>
      </c>
      <c r="S29" s="76"/>
      <c r="T29" s="76">
        <f ca="1">OFFSET('Dist Cust Factors'!$B$12,$O29-1,T$14)*$L29+OFFSET('Dist Cust Factors'!$B$12,$K29-1,T$14)*$H29</f>
        <v>0</v>
      </c>
      <c r="U29" s="76"/>
      <c r="V29" s="37"/>
      <c r="X29" s="107"/>
      <c r="Z29" s="37"/>
      <c r="AC29" s="48"/>
      <c r="AE29" s="48"/>
      <c r="AG29" s="48"/>
      <c r="AI29" s="48"/>
    </row>
    <row r="30" spans="2:35" ht="13" x14ac:dyDescent="0.3">
      <c r="B30" s="18">
        <f>B29+1</f>
        <v>13</v>
      </c>
      <c r="C30" s="1"/>
      <c r="D30" s="1" t="s">
        <v>53</v>
      </c>
      <c r="F30" s="48">
        <f ca="1">'Distribution Class'!AF30</f>
        <v>0</v>
      </c>
      <c r="H30" s="48"/>
      <c r="K30" s="70">
        <f>_xlfn.IFNA(MATCH(J30,'Dist Cust Factors'!$B$12:$B$447,0),0)</f>
        <v>0</v>
      </c>
      <c r="L30" s="48">
        <f t="shared" ca="1" si="0"/>
        <v>0</v>
      </c>
      <c r="O30" s="70">
        <f>_xlfn.IFNA(MATCH(N30,'Dist Cust Factors'!$B$12:$B$451,0),0)</f>
        <v>0</v>
      </c>
      <c r="P30" s="76">
        <f ca="1">OFFSET('Dist Cust Factors'!$B$12,$O30-1,P$14)*$L30+OFFSET('Dist Cust Factors'!$B$12,$K30-1,P$14)*$H30</f>
        <v>0</v>
      </c>
      <c r="R30" s="76">
        <f ca="1">OFFSET('Dist Cust Factors'!$B$12,$O30-1,R$14)*$L30+OFFSET('Dist Cust Factors'!$B$12,$K30-1,R$14)*$H30</f>
        <v>0</v>
      </c>
      <c r="S30" s="76"/>
      <c r="T30" s="76">
        <f ca="1">OFFSET('Dist Cust Factors'!$B$12,$O30-1,T$14)*$L30+OFFSET('Dist Cust Factors'!$B$12,$K30-1,T$14)*$H30</f>
        <v>0</v>
      </c>
      <c r="U30" s="76"/>
      <c r="V30" s="37"/>
      <c r="X30" s="107"/>
      <c r="Z30" s="37"/>
      <c r="AC30" s="48"/>
      <c r="AE30" s="48"/>
      <c r="AG30" s="48"/>
      <c r="AI30" s="48"/>
    </row>
    <row r="31" spans="2:35" ht="13" x14ac:dyDescent="0.3">
      <c r="B31" s="18">
        <f t="shared" si="1"/>
        <v>14</v>
      </c>
      <c r="C31" s="1"/>
      <c r="D31" s="1" t="s">
        <v>55</v>
      </c>
      <c r="F31" s="40">
        <f ca="1">SUM(F18:F30)</f>
        <v>0</v>
      </c>
      <c r="H31" s="40"/>
      <c r="L31" s="40"/>
      <c r="P31" s="78">
        <f ca="1">SUM(P18:P30)</f>
        <v>0</v>
      </c>
      <c r="Q31" s="64"/>
      <c r="R31" s="78">
        <f ca="1">SUM(R18:R30)</f>
        <v>0</v>
      </c>
      <c r="S31" s="37"/>
      <c r="T31" s="78">
        <f ca="1">SUM(T18:T30)</f>
        <v>0</v>
      </c>
      <c r="U31" s="37"/>
      <c r="V31" s="37"/>
      <c r="W31" s="48"/>
      <c r="X31" s="107"/>
      <c r="Z31" s="37"/>
      <c r="AC31" s="37"/>
      <c r="AE31" s="37"/>
      <c r="AG31" s="37"/>
      <c r="AI31" s="37"/>
    </row>
    <row r="32" spans="2:35" ht="13" x14ac:dyDescent="0.3">
      <c r="B32" s="18"/>
      <c r="C32" s="1"/>
      <c r="D32" s="1"/>
      <c r="X32" s="107"/>
    </row>
    <row r="33" spans="2:36" ht="13" x14ac:dyDescent="0.3">
      <c r="B33" s="18">
        <f>B31+1</f>
        <v>15</v>
      </c>
      <c r="C33" s="1"/>
      <c r="D33" s="1" t="s">
        <v>56</v>
      </c>
      <c r="F33" s="48">
        <f ca="1">'Distribution Class'!AF33</f>
        <v>89704.222287810888</v>
      </c>
      <c r="H33" s="48"/>
      <c r="K33" s="70">
        <f>_xlfn.IFNA(MATCH(J33,'Dist Cust Factors'!$B$12:$B$447,0),0)</f>
        <v>0</v>
      </c>
      <c r="L33" s="48">
        <f ca="1">F33-H33</f>
        <v>89704.222287810888</v>
      </c>
      <c r="N33" s="2" t="s">
        <v>325</v>
      </c>
      <c r="O33" s="70">
        <f>_xlfn.IFNA(MATCH(N33,'Dist Cust Factors'!$B$12:$B$451,0),0)</f>
        <v>11</v>
      </c>
      <c r="P33" s="76">
        <f ca="1">OFFSET('Dist Cust Factors'!$B$12,$O33-1,P$14)*$L33+OFFSET('Dist Cust Factors'!$B$12,$K33-1,P$14)*$H33</f>
        <v>349.55428850291059</v>
      </c>
      <c r="R33" s="76">
        <f ca="1">OFFSET('Dist Cust Factors'!$B$12,$O33-1,R$14)*$L33+OFFSET('Dist Cust Factors'!$B$12,$K33-1,R$14)*$H33</f>
        <v>83047.681901050688</v>
      </c>
      <c r="S33" s="76"/>
      <c r="T33" s="76">
        <f ca="1">OFFSET('Dist Cust Factors'!$B$12,$O33-1,T$14)*$L33+OFFSET('Dist Cust Factors'!$B$12,$K33-1,T$14)*$H33</f>
        <v>6306.9860982572745</v>
      </c>
      <c r="U33" s="76"/>
      <c r="V33" s="37"/>
      <c r="X33" s="107"/>
    </row>
    <row r="34" spans="2:36" ht="13" x14ac:dyDescent="0.3">
      <c r="B34" s="18"/>
      <c r="C34" s="1"/>
      <c r="D34" s="1"/>
      <c r="X34" s="107"/>
    </row>
    <row r="35" spans="2:36" ht="13" x14ac:dyDescent="0.3">
      <c r="B35" s="18">
        <f>B33+1</f>
        <v>16</v>
      </c>
      <c r="C35" s="1"/>
      <c r="D35" s="1" t="s">
        <v>58</v>
      </c>
      <c r="F35" s="40">
        <f ca="1">F31+F33</f>
        <v>89704.222287810888</v>
      </c>
      <c r="H35" s="40">
        <f>H31+H33</f>
        <v>0</v>
      </c>
      <c r="L35" s="40">
        <f ca="1">L31+L33</f>
        <v>89704.222287810888</v>
      </c>
      <c r="P35" s="40">
        <f ca="1">P31+P33</f>
        <v>349.55428850291059</v>
      </c>
      <c r="Q35" s="106"/>
      <c r="R35" s="40">
        <f ca="1">R31+R33</f>
        <v>83047.681901050688</v>
      </c>
      <c r="S35" s="48"/>
      <c r="T35" s="40">
        <f ca="1">T31+T33</f>
        <v>6306.9860982572745</v>
      </c>
      <c r="U35" s="48"/>
      <c r="V35" s="48"/>
      <c r="X35" s="107"/>
    </row>
    <row r="36" spans="2:36" ht="13" x14ac:dyDescent="0.3">
      <c r="B36" s="18"/>
      <c r="C36" s="1"/>
      <c r="D36" s="6"/>
      <c r="E36" s="74"/>
      <c r="F36" s="74"/>
      <c r="H36" s="74"/>
      <c r="L36" s="74"/>
      <c r="X36" s="107"/>
    </row>
    <row r="37" spans="2:36" ht="13" x14ac:dyDescent="0.3">
      <c r="B37" s="18"/>
      <c r="C37" s="1"/>
      <c r="D37" s="1"/>
      <c r="X37" s="107"/>
    </row>
    <row r="38" spans="2:36" ht="13" x14ac:dyDescent="0.3">
      <c r="B38" s="18"/>
      <c r="C38" s="1"/>
      <c r="D38" s="6" t="s">
        <v>59</v>
      </c>
      <c r="E38" s="75"/>
      <c r="F38" s="75"/>
      <c r="AC38" s="2"/>
      <c r="AD38" s="2"/>
      <c r="AE38" s="2"/>
      <c r="AF38" s="2"/>
      <c r="AG38" s="2"/>
      <c r="AH38" s="2"/>
      <c r="AI38" s="2"/>
      <c r="AJ38" s="2"/>
    </row>
    <row r="39" spans="2:36" ht="13" x14ac:dyDescent="0.3">
      <c r="B39" s="18"/>
      <c r="C39" s="1"/>
      <c r="D39" s="1"/>
      <c r="X39" s="107"/>
    </row>
    <row r="40" spans="2:36" ht="13" x14ac:dyDescent="0.3">
      <c r="B40" s="18">
        <f>B35+1</f>
        <v>17</v>
      </c>
      <c r="C40" s="1"/>
      <c r="D40" s="1" t="s">
        <v>33</v>
      </c>
      <c r="F40" s="48">
        <f ca="1">'Distribution Class'!AF40</f>
        <v>0</v>
      </c>
      <c r="H40" s="48"/>
      <c r="J40" s="2"/>
      <c r="K40" s="70">
        <f>_xlfn.IFNA(MATCH(J40,'Dist Cust Factors'!$B$12:$B$447,0),0)</f>
        <v>0</v>
      </c>
      <c r="L40" s="48">
        <f ca="1">F40-H40</f>
        <v>0</v>
      </c>
      <c r="O40" s="70">
        <f>_xlfn.IFNA(MATCH(N40,'Dist Cust Factors'!$B$12:$B$451,0),0)</f>
        <v>0</v>
      </c>
      <c r="P40" s="76">
        <f ca="1">OFFSET('Dist Cust Factors'!$B$12,$O40-1,P$14)*$L40+OFFSET('Dist Cust Factors'!$B$12,$K40-1,P$14)*$H40</f>
        <v>0</v>
      </c>
      <c r="R40" s="76">
        <f ca="1">OFFSET('Dist Cust Factors'!$B$12,$O40-1,R$14)*$L40+OFFSET('Dist Cust Factors'!$B$12,$K40-1,R$14)*$H40</f>
        <v>0</v>
      </c>
      <c r="S40" s="76"/>
      <c r="T40" s="76">
        <f ca="1">OFFSET('Dist Cust Factors'!$B$12,$O40-1,T$14)*$L40+OFFSET('Dist Cust Factors'!$B$12,$K40-1,T$14)*$H40</f>
        <v>0</v>
      </c>
      <c r="U40" s="76"/>
      <c r="V40" s="37"/>
      <c r="X40" s="107"/>
      <c r="Z40" s="37"/>
      <c r="AC40" s="48"/>
      <c r="AE40" s="48"/>
      <c r="AG40" s="48"/>
      <c r="AI40" s="48"/>
    </row>
    <row r="41" spans="2:36" ht="13" x14ac:dyDescent="0.3">
      <c r="B41" s="18">
        <f>B40+1</f>
        <v>18</v>
      </c>
      <c r="C41" s="1"/>
      <c r="D41" s="1" t="s">
        <v>35</v>
      </c>
      <c r="F41" s="48">
        <f ca="1">'Distribution Class'!AF41</f>
        <v>0</v>
      </c>
      <c r="H41" s="48"/>
      <c r="J41" s="2"/>
      <c r="K41" s="70">
        <f>_xlfn.IFNA(MATCH(J41,'Dist Cust Factors'!$B$12:$B$447,0),0)</f>
        <v>0</v>
      </c>
      <c r="L41" s="48">
        <f t="shared" ref="L41:L52" ca="1" si="2">F41-H41</f>
        <v>0</v>
      </c>
      <c r="O41" s="70">
        <f>_xlfn.IFNA(MATCH(N41,'Dist Cust Factors'!$B$12:$B$451,0),0)</f>
        <v>0</v>
      </c>
      <c r="P41" s="76">
        <f ca="1">OFFSET('Dist Cust Factors'!$B$12,$O41-1,P$14)*$L41+OFFSET('Dist Cust Factors'!$B$12,$K41-1,P$14)*$H41</f>
        <v>0</v>
      </c>
      <c r="R41" s="76">
        <f ca="1">OFFSET('Dist Cust Factors'!$B$12,$O41-1,R$14)*$L41+OFFSET('Dist Cust Factors'!$B$12,$K41-1,R$14)*$H41</f>
        <v>0</v>
      </c>
      <c r="S41" s="76"/>
      <c r="T41" s="76">
        <f ca="1">OFFSET('Dist Cust Factors'!$B$12,$O41-1,T$14)*$L41+OFFSET('Dist Cust Factors'!$B$12,$K41-1,T$14)*$H41</f>
        <v>0</v>
      </c>
      <c r="U41" s="76"/>
      <c r="V41" s="37"/>
      <c r="X41" s="107"/>
      <c r="Z41" s="37"/>
      <c r="AC41" s="48"/>
      <c r="AE41" s="48"/>
      <c r="AG41" s="48"/>
      <c r="AI41" s="48"/>
    </row>
    <row r="42" spans="2:36" ht="13" x14ac:dyDescent="0.3">
      <c r="B42" s="18">
        <f t="shared" ref="B42:B53" si="3">B41+1</f>
        <v>19</v>
      </c>
      <c r="C42" s="1"/>
      <c r="D42" s="1" t="s">
        <v>37</v>
      </c>
      <c r="F42" s="48">
        <f ca="1">'Distribution Class'!AF42</f>
        <v>0</v>
      </c>
      <c r="H42" s="48"/>
      <c r="J42" s="2"/>
      <c r="K42" s="70">
        <f>_xlfn.IFNA(MATCH(J42,'Dist Cust Factors'!$B$12:$B$447,0),0)</f>
        <v>0</v>
      </c>
      <c r="L42" s="48">
        <f t="shared" ca="1" si="2"/>
        <v>0</v>
      </c>
      <c r="O42" s="70">
        <f>_xlfn.IFNA(MATCH(N42,'Dist Cust Factors'!$B$12:$B$451,0),0)</f>
        <v>0</v>
      </c>
      <c r="P42" s="76">
        <f ca="1">OFFSET('Dist Cust Factors'!$B$12,$O42-1,P$14)*$L42+OFFSET('Dist Cust Factors'!$B$12,$K42-1,P$14)*$H42</f>
        <v>0</v>
      </c>
      <c r="R42" s="76">
        <f ca="1">OFFSET('Dist Cust Factors'!$B$12,$O42-1,R$14)*$L42+OFFSET('Dist Cust Factors'!$B$12,$K42-1,R$14)*$H42</f>
        <v>0</v>
      </c>
      <c r="S42" s="76"/>
      <c r="T42" s="76">
        <f ca="1">OFFSET('Dist Cust Factors'!$B$12,$O42-1,T$14)*$L42+OFFSET('Dist Cust Factors'!$B$12,$K42-1,T$14)*$H42</f>
        <v>0</v>
      </c>
      <c r="U42" s="76"/>
      <c r="V42" s="37"/>
      <c r="X42" s="107"/>
      <c r="Z42" s="37"/>
      <c r="AC42" s="48"/>
      <c r="AE42" s="48"/>
      <c r="AG42" s="48"/>
      <c r="AI42" s="48"/>
    </row>
    <row r="43" spans="2:36" ht="13" x14ac:dyDescent="0.3">
      <c r="B43" s="18">
        <f t="shared" si="3"/>
        <v>20</v>
      </c>
      <c r="C43" s="1"/>
      <c r="D43" s="1" t="s">
        <v>39</v>
      </c>
      <c r="F43" s="48">
        <f ca="1">'Distribution Class'!AF43</f>
        <v>0</v>
      </c>
      <c r="H43" s="48"/>
      <c r="J43" s="2"/>
      <c r="K43" s="70">
        <f>_xlfn.IFNA(MATCH(J43,'Dist Cust Factors'!$B$12:$B$447,0),0)</f>
        <v>0</v>
      </c>
      <c r="L43" s="48">
        <f t="shared" ca="1" si="2"/>
        <v>0</v>
      </c>
      <c r="O43" s="70">
        <f>_xlfn.IFNA(MATCH(N43,'Dist Cust Factors'!$B$12:$B$451,0),0)</f>
        <v>0</v>
      </c>
      <c r="P43" s="76">
        <f ca="1">OFFSET('Dist Cust Factors'!$B$12,$O43-1,P$14)*$L43+OFFSET('Dist Cust Factors'!$B$12,$K43-1,P$14)*$H43</f>
        <v>0</v>
      </c>
      <c r="R43" s="76">
        <f ca="1">OFFSET('Dist Cust Factors'!$B$12,$O43-1,R$14)*$L43+OFFSET('Dist Cust Factors'!$B$12,$K43-1,R$14)*$H43</f>
        <v>0</v>
      </c>
      <c r="S43" s="76"/>
      <c r="T43" s="76">
        <f ca="1">OFFSET('Dist Cust Factors'!$B$12,$O43-1,T$14)*$L43+OFFSET('Dist Cust Factors'!$B$12,$K43-1,T$14)*$H43</f>
        <v>0</v>
      </c>
      <c r="U43" s="76"/>
      <c r="V43" s="37"/>
      <c r="X43" s="107"/>
      <c r="Z43" s="37"/>
      <c r="AC43" s="48"/>
      <c r="AE43" s="48"/>
      <c r="AG43" s="48"/>
      <c r="AI43" s="48"/>
    </row>
    <row r="44" spans="2:36" ht="13" x14ac:dyDescent="0.3">
      <c r="B44" s="18">
        <f t="shared" si="3"/>
        <v>21</v>
      </c>
      <c r="C44" s="1"/>
      <c r="D44" s="1" t="s">
        <v>41</v>
      </c>
      <c r="F44" s="48">
        <f ca="1">'Distribution Class'!AF44</f>
        <v>0</v>
      </c>
      <c r="H44" s="48"/>
      <c r="J44" s="2"/>
      <c r="K44" s="70">
        <f>_xlfn.IFNA(MATCH(J44,'Dist Cust Factors'!$B$12:$B$447,0),0)</f>
        <v>0</v>
      </c>
      <c r="L44" s="48">
        <f t="shared" ca="1" si="2"/>
        <v>0</v>
      </c>
      <c r="O44" s="70">
        <f>_xlfn.IFNA(MATCH(N44,'Dist Cust Factors'!$B$12:$B$451,0),0)</f>
        <v>0</v>
      </c>
      <c r="P44" s="76">
        <f ca="1">OFFSET('Dist Cust Factors'!$B$12,$O44-1,P$14)*$L44+OFFSET('Dist Cust Factors'!$B$12,$K44-1,P$14)*$H44</f>
        <v>0</v>
      </c>
      <c r="R44" s="76">
        <f ca="1">OFFSET('Dist Cust Factors'!$B$12,$O44-1,R$14)*$L44+OFFSET('Dist Cust Factors'!$B$12,$K44-1,R$14)*$H44</f>
        <v>0</v>
      </c>
      <c r="S44" s="76"/>
      <c r="T44" s="76">
        <f ca="1">OFFSET('Dist Cust Factors'!$B$12,$O44-1,T$14)*$L44+OFFSET('Dist Cust Factors'!$B$12,$K44-1,T$14)*$H44</f>
        <v>0</v>
      </c>
      <c r="U44" s="76"/>
      <c r="V44" s="37"/>
      <c r="X44" s="107"/>
      <c r="Z44" s="37"/>
      <c r="AC44" s="48"/>
      <c r="AE44" s="48"/>
      <c r="AG44" s="48"/>
      <c r="AI44" s="48"/>
    </row>
    <row r="45" spans="2:36" ht="13" x14ac:dyDescent="0.3">
      <c r="B45" s="18">
        <f t="shared" si="3"/>
        <v>22</v>
      </c>
      <c r="C45" s="1"/>
      <c r="D45" s="1" t="s">
        <v>43</v>
      </c>
      <c r="F45" s="48">
        <f ca="1">'Distribution Class'!AF45</f>
        <v>0</v>
      </c>
      <c r="H45" s="48"/>
      <c r="K45" s="70">
        <f>_xlfn.IFNA(MATCH(J45,'Dist Cust Factors'!$B$12:$B$447,0),0)</f>
        <v>0</v>
      </c>
      <c r="L45" s="48">
        <f t="shared" ca="1" si="2"/>
        <v>0</v>
      </c>
      <c r="O45" s="70">
        <f>_xlfn.IFNA(MATCH(N45,'Dist Cust Factors'!$B$12:$B$451,0),0)</f>
        <v>0</v>
      </c>
      <c r="P45" s="76">
        <f ca="1">OFFSET('Dist Cust Factors'!$B$12,$O45-1,P$14)*$L45+OFFSET('Dist Cust Factors'!$B$12,$K45-1,P$14)*$H45</f>
        <v>0</v>
      </c>
      <c r="R45" s="76">
        <f ca="1">OFFSET('Dist Cust Factors'!$B$12,$O45-1,R$14)*$L45+OFFSET('Dist Cust Factors'!$B$12,$K45-1,R$14)*$H45</f>
        <v>0</v>
      </c>
      <c r="S45" s="76"/>
      <c r="T45" s="76">
        <f ca="1">OFFSET('Dist Cust Factors'!$B$12,$O45-1,T$14)*$L45+OFFSET('Dist Cust Factors'!$B$12,$K45-1,T$14)*$H45</f>
        <v>0</v>
      </c>
      <c r="U45" s="76"/>
      <c r="V45" s="37"/>
      <c r="X45" s="107"/>
      <c r="Z45" s="37"/>
      <c r="AC45" s="48"/>
      <c r="AE45" s="48"/>
      <c r="AG45" s="48"/>
      <c r="AI45" s="48"/>
    </row>
    <row r="46" spans="2:36" ht="13" x14ac:dyDescent="0.3">
      <c r="B46" s="18">
        <f t="shared" si="3"/>
        <v>23</v>
      </c>
      <c r="C46" s="1"/>
      <c r="D46" s="1" t="s">
        <v>45</v>
      </c>
      <c r="F46" s="48">
        <f ca="1">'Distribution Class'!AF46</f>
        <v>0</v>
      </c>
      <c r="H46" s="48"/>
      <c r="K46" s="70">
        <f>_xlfn.IFNA(MATCH(J46,'Dist Cust Factors'!$B$12:$B$447,0),0)</f>
        <v>0</v>
      </c>
      <c r="L46" s="48">
        <f t="shared" ca="1" si="2"/>
        <v>0</v>
      </c>
      <c r="O46" s="70">
        <f>_xlfn.IFNA(MATCH(N46,'Dist Cust Factors'!$B$12:$B$451,0),0)</f>
        <v>0</v>
      </c>
      <c r="P46" s="76">
        <f ca="1">OFFSET('Dist Cust Factors'!$B$12,$O46-1,P$14)*$L46+OFFSET('Dist Cust Factors'!$B$12,$K46-1,P$14)*$H46</f>
        <v>0</v>
      </c>
      <c r="R46" s="76">
        <f ca="1">OFFSET('Dist Cust Factors'!$B$12,$O46-1,R$14)*$L46+OFFSET('Dist Cust Factors'!$B$12,$K46-1,R$14)*$H46</f>
        <v>0</v>
      </c>
      <c r="S46" s="76"/>
      <c r="T46" s="76">
        <f ca="1">OFFSET('Dist Cust Factors'!$B$12,$O46-1,T$14)*$L46+OFFSET('Dist Cust Factors'!$B$12,$K46-1,T$14)*$H46</f>
        <v>0</v>
      </c>
      <c r="U46" s="76"/>
      <c r="V46" s="37"/>
      <c r="X46" s="107"/>
      <c r="Z46" s="37"/>
      <c r="AC46" s="48"/>
      <c r="AE46" s="48"/>
      <c r="AG46" s="48"/>
      <c r="AI46" s="48"/>
    </row>
    <row r="47" spans="2:36" ht="13" x14ac:dyDescent="0.3">
      <c r="B47" s="18">
        <f t="shared" si="3"/>
        <v>24</v>
      </c>
      <c r="C47" s="1"/>
      <c r="D47" s="1" t="s">
        <v>47</v>
      </c>
      <c r="F47" s="48">
        <f ca="1">'Distribution Class'!AF47</f>
        <v>0</v>
      </c>
      <c r="H47" s="48"/>
      <c r="K47" s="70">
        <f>_xlfn.IFNA(MATCH(J47,'Dist Cust Factors'!$B$12:$B$447,0),0)</f>
        <v>0</v>
      </c>
      <c r="L47" s="48">
        <f t="shared" ca="1" si="2"/>
        <v>0</v>
      </c>
      <c r="O47" s="70">
        <f>_xlfn.IFNA(MATCH(N47,'Dist Cust Factors'!$B$12:$B$451,0),0)</f>
        <v>0</v>
      </c>
      <c r="P47" s="76">
        <f ca="1">OFFSET('Dist Cust Factors'!$B$12,$O47-1,P$14)*$L47+OFFSET('Dist Cust Factors'!$B$12,$K47-1,P$14)*$H47</f>
        <v>0</v>
      </c>
      <c r="R47" s="76">
        <f ca="1">OFFSET('Dist Cust Factors'!$B$12,$O47-1,R$14)*$L47+OFFSET('Dist Cust Factors'!$B$12,$K47-1,R$14)*$H47</f>
        <v>0</v>
      </c>
      <c r="S47" s="76"/>
      <c r="T47" s="76">
        <f ca="1">OFFSET('Dist Cust Factors'!$B$12,$O47-1,T$14)*$L47+OFFSET('Dist Cust Factors'!$B$12,$K47-1,T$14)*$H47</f>
        <v>0</v>
      </c>
      <c r="U47" s="76"/>
      <c r="V47" s="37"/>
      <c r="X47" s="107"/>
      <c r="Z47" s="37"/>
      <c r="AC47" s="48"/>
      <c r="AE47" s="48"/>
      <c r="AG47" s="48"/>
      <c r="AI47" s="48"/>
    </row>
    <row r="48" spans="2:36" ht="13" x14ac:dyDescent="0.3">
      <c r="B48" s="18">
        <f t="shared" si="3"/>
        <v>25</v>
      </c>
      <c r="C48" s="1"/>
      <c r="D48" s="1" t="s">
        <v>48</v>
      </c>
      <c r="F48" s="48">
        <f ca="1">'Distribution Class'!AF48</f>
        <v>0</v>
      </c>
      <c r="H48" s="48"/>
      <c r="K48" s="70">
        <f>_xlfn.IFNA(MATCH(J48,'Dist Cust Factors'!$B$12:$B$447,0),0)</f>
        <v>0</v>
      </c>
      <c r="L48" s="48">
        <f t="shared" ca="1" si="2"/>
        <v>0</v>
      </c>
      <c r="O48" s="70">
        <f>_xlfn.IFNA(MATCH(N48,'Dist Cust Factors'!$B$12:$B$451,0),0)</f>
        <v>0</v>
      </c>
      <c r="P48" s="76">
        <f ca="1">OFFSET('Dist Cust Factors'!$B$12,$O48-1,P$14)*$L48+OFFSET('Dist Cust Factors'!$B$12,$K48-1,P$14)*$H48</f>
        <v>0</v>
      </c>
      <c r="R48" s="76">
        <f ca="1">OFFSET('Dist Cust Factors'!$B$12,$O48-1,R$14)*$L48+OFFSET('Dist Cust Factors'!$B$12,$K48-1,R$14)*$H48</f>
        <v>0</v>
      </c>
      <c r="S48" s="76"/>
      <c r="T48" s="76">
        <f ca="1">OFFSET('Dist Cust Factors'!$B$12,$O48-1,T$14)*$L48+OFFSET('Dist Cust Factors'!$B$12,$K48-1,T$14)*$H48</f>
        <v>0</v>
      </c>
      <c r="U48" s="76"/>
      <c r="V48" s="37"/>
      <c r="X48" s="107"/>
      <c r="Z48" s="37"/>
      <c r="AC48" s="48"/>
      <c r="AE48" s="48"/>
      <c r="AG48" s="48"/>
      <c r="AI48" s="48"/>
    </row>
    <row r="49" spans="2:36" ht="13" x14ac:dyDescent="0.3">
      <c r="B49" s="18">
        <f t="shared" si="3"/>
        <v>26</v>
      </c>
      <c r="C49" s="1"/>
      <c r="D49" s="1" t="s">
        <v>49</v>
      </c>
      <c r="F49" s="48">
        <f ca="1">'Distribution Class'!AF49</f>
        <v>0</v>
      </c>
      <c r="H49" s="48"/>
      <c r="K49" s="70">
        <f>_xlfn.IFNA(MATCH(J49,'Dist Cust Factors'!$B$12:$B$447,0),0)</f>
        <v>0</v>
      </c>
      <c r="L49" s="48">
        <f t="shared" ca="1" si="2"/>
        <v>0</v>
      </c>
      <c r="O49" s="70">
        <f>_xlfn.IFNA(MATCH(N49,'Dist Cust Factors'!$B$12:$B$451,0),0)</f>
        <v>0</v>
      </c>
      <c r="P49" s="76">
        <f ca="1">OFFSET('Dist Cust Factors'!$B$12,$O49-1,P$14)*$L49+OFFSET('Dist Cust Factors'!$B$12,$K49-1,P$14)*$H49</f>
        <v>0</v>
      </c>
      <c r="R49" s="76">
        <f ca="1">OFFSET('Dist Cust Factors'!$B$12,$O49-1,R$14)*$L49+OFFSET('Dist Cust Factors'!$B$12,$K49-1,R$14)*$H49</f>
        <v>0</v>
      </c>
      <c r="S49" s="76"/>
      <c r="T49" s="76">
        <f ca="1">OFFSET('Dist Cust Factors'!$B$12,$O49-1,T$14)*$L49+OFFSET('Dist Cust Factors'!$B$12,$K49-1,T$14)*$H49</f>
        <v>0</v>
      </c>
      <c r="U49" s="76"/>
      <c r="V49" s="37"/>
      <c r="X49" s="107"/>
      <c r="Z49" s="37"/>
      <c r="AC49" s="48"/>
      <c r="AE49" s="48"/>
      <c r="AG49" s="48"/>
      <c r="AI49" s="48"/>
    </row>
    <row r="50" spans="2:36" ht="13" x14ac:dyDescent="0.3">
      <c r="B50" s="18">
        <f t="shared" si="3"/>
        <v>27</v>
      </c>
      <c r="C50" s="1"/>
      <c r="D50" s="1" t="s">
        <v>51</v>
      </c>
      <c r="F50" s="48">
        <f ca="1">'Distribution Class'!AF50</f>
        <v>0</v>
      </c>
      <c r="H50" s="48"/>
      <c r="K50" s="70">
        <f>_xlfn.IFNA(MATCH(J50,'Dist Cust Factors'!$B$12:$B$447,0),0)</f>
        <v>0</v>
      </c>
      <c r="L50" s="48">
        <f t="shared" ca="1" si="2"/>
        <v>0</v>
      </c>
      <c r="O50" s="70">
        <f>_xlfn.IFNA(MATCH(N50,'Dist Cust Factors'!$B$12:$B$451,0),0)</f>
        <v>0</v>
      </c>
      <c r="P50" s="76">
        <f ca="1">OFFSET('Dist Cust Factors'!$B$12,$O50-1,P$14)*$L50+OFFSET('Dist Cust Factors'!$B$12,$K50-1,P$14)*$H50</f>
        <v>0</v>
      </c>
      <c r="R50" s="76">
        <f ca="1">OFFSET('Dist Cust Factors'!$B$12,$O50-1,R$14)*$L50+OFFSET('Dist Cust Factors'!$B$12,$K50-1,R$14)*$H50</f>
        <v>0</v>
      </c>
      <c r="S50" s="76"/>
      <c r="T50" s="76">
        <f ca="1">OFFSET('Dist Cust Factors'!$B$12,$O50-1,T$14)*$L50+OFFSET('Dist Cust Factors'!$B$12,$K50-1,T$14)*$H50</f>
        <v>0</v>
      </c>
      <c r="U50" s="76"/>
      <c r="V50" s="37"/>
      <c r="X50" s="107"/>
      <c r="Z50" s="37"/>
      <c r="AC50" s="48"/>
      <c r="AE50" s="48"/>
      <c r="AG50" s="48"/>
      <c r="AI50" s="48"/>
    </row>
    <row r="51" spans="2:36" ht="13" x14ac:dyDescent="0.3">
      <c r="B51" s="18">
        <f>B50+1</f>
        <v>28</v>
      </c>
      <c r="C51" s="1"/>
      <c r="D51" s="1" t="s">
        <v>52</v>
      </c>
      <c r="F51" s="48">
        <f ca="1">'Distribution Class'!AF51</f>
        <v>0</v>
      </c>
      <c r="H51" s="48"/>
      <c r="K51" s="70">
        <f>_xlfn.IFNA(MATCH(J51,'Dist Cust Factors'!$B$12:$B$447,0),0)</f>
        <v>0</v>
      </c>
      <c r="L51" s="48">
        <f t="shared" ca="1" si="2"/>
        <v>0</v>
      </c>
      <c r="O51" s="70">
        <f>_xlfn.IFNA(MATCH(N51,'Dist Cust Factors'!$B$12:$B$451,0),0)</f>
        <v>0</v>
      </c>
      <c r="P51" s="76">
        <f ca="1">OFFSET('Dist Cust Factors'!$B$12,$O51-1,P$14)*$L51+OFFSET('Dist Cust Factors'!$B$12,$K51-1,P$14)*$H51</f>
        <v>0</v>
      </c>
      <c r="R51" s="76">
        <f ca="1">OFFSET('Dist Cust Factors'!$B$12,$O51-1,R$14)*$L51+OFFSET('Dist Cust Factors'!$B$12,$K51-1,R$14)*$H51</f>
        <v>0</v>
      </c>
      <c r="S51" s="76"/>
      <c r="T51" s="76">
        <f ca="1">OFFSET('Dist Cust Factors'!$B$12,$O51-1,T$14)*$L51+OFFSET('Dist Cust Factors'!$B$12,$K51-1,T$14)*$H51</f>
        <v>0</v>
      </c>
      <c r="U51" s="76"/>
      <c r="V51" s="37"/>
      <c r="X51" s="107"/>
      <c r="Z51" s="37"/>
      <c r="AC51" s="48"/>
      <c r="AE51" s="48"/>
      <c r="AG51" s="48"/>
      <c r="AI51" s="48"/>
    </row>
    <row r="52" spans="2:36" ht="13" x14ac:dyDescent="0.3">
      <c r="B52" s="18">
        <f>B51+1</f>
        <v>29</v>
      </c>
      <c r="C52" s="1"/>
      <c r="D52" s="1" t="s">
        <v>53</v>
      </c>
      <c r="F52" s="48">
        <f ca="1">'Distribution Class'!AF52</f>
        <v>0</v>
      </c>
      <c r="H52" s="48"/>
      <c r="K52" s="70">
        <f>_xlfn.IFNA(MATCH(J52,'Dist Cust Factors'!$B$12:$B$447,0),0)</f>
        <v>0</v>
      </c>
      <c r="L52" s="48">
        <f t="shared" ca="1" si="2"/>
        <v>0</v>
      </c>
      <c r="O52" s="70">
        <f>_xlfn.IFNA(MATCH(N52,'Dist Cust Factors'!$B$12:$B$451,0),0)</f>
        <v>0</v>
      </c>
      <c r="P52" s="76">
        <f ca="1">OFFSET('Dist Cust Factors'!$B$12,$O52-1,P$14)*$L52+OFFSET('Dist Cust Factors'!$B$12,$K52-1,P$14)*$H52</f>
        <v>0</v>
      </c>
      <c r="R52" s="76">
        <f ca="1">OFFSET('Dist Cust Factors'!$B$12,$O52-1,R$14)*$L52+OFFSET('Dist Cust Factors'!$B$12,$K52-1,R$14)*$H52</f>
        <v>0</v>
      </c>
      <c r="S52" s="76"/>
      <c r="T52" s="76">
        <f ca="1">OFFSET('Dist Cust Factors'!$B$12,$O52-1,T$14)*$L52+OFFSET('Dist Cust Factors'!$B$12,$K52-1,T$14)*$H52</f>
        <v>0</v>
      </c>
      <c r="U52" s="76"/>
      <c r="V52" s="37"/>
      <c r="X52" s="107"/>
      <c r="Z52" s="37"/>
      <c r="AC52" s="48"/>
      <c r="AE52" s="48"/>
      <c r="AG52" s="48"/>
      <c r="AI52" s="48"/>
    </row>
    <row r="53" spans="2:36" ht="13" x14ac:dyDescent="0.3">
      <c r="B53" s="18">
        <f t="shared" si="3"/>
        <v>30</v>
      </c>
      <c r="C53" s="1"/>
      <c r="D53" s="1" t="s">
        <v>65</v>
      </c>
      <c r="F53" s="40">
        <f ca="1">SUM(F40:F52)</f>
        <v>0</v>
      </c>
      <c r="H53" s="40"/>
      <c r="L53" s="40"/>
      <c r="P53" s="78">
        <f ca="1">SUM(P40:P52)</f>
        <v>0</v>
      </c>
      <c r="Q53" s="64"/>
      <c r="R53" s="78">
        <f ca="1">SUM(R40:R52)</f>
        <v>0</v>
      </c>
      <c r="S53" s="37"/>
      <c r="T53" s="78">
        <f ca="1">SUM(T40:T52)</f>
        <v>0</v>
      </c>
      <c r="U53" s="37"/>
      <c r="V53" s="37"/>
      <c r="W53" s="48"/>
      <c r="X53" s="107"/>
      <c r="Z53" s="37"/>
      <c r="AC53" s="37"/>
      <c r="AE53" s="37"/>
      <c r="AG53" s="37"/>
      <c r="AI53" s="37"/>
    </row>
    <row r="54" spans="2:36" ht="13" x14ac:dyDescent="0.3">
      <c r="B54" s="18"/>
      <c r="C54" s="1"/>
      <c r="D54" s="1"/>
      <c r="X54" s="107"/>
    </row>
    <row r="55" spans="2:36" ht="13" x14ac:dyDescent="0.3">
      <c r="B55" s="18">
        <f>B53+1</f>
        <v>31</v>
      </c>
      <c r="C55" s="1"/>
      <c r="D55" s="1" t="s">
        <v>56</v>
      </c>
      <c r="F55" s="48">
        <f ca="1">'Distribution Class'!AF55</f>
        <v>-44849.840960763337</v>
      </c>
      <c r="H55" s="48"/>
      <c r="K55" s="70">
        <f>_xlfn.IFNA(MATCH(J55,'Dist Cust Factors'!$B$12:$B$447,0),0)</f>
        <v>0</v>
      </c>
      <c r="L55" s="48">
        <f ca="1">F55-H55</f>
        <v>-44849.840960763337</v>
      </c>
      <c r="N55" s="2" t="s">
        <v>325</v>
      </c>
      <c r="O55" s="70">
        <f>_xlfn.IFNA(MATCH(N55,'Dist Cust Factors'!$B$12:$B$451,0),0)</f>
        <v>11</v>
      </c>
      <c r="P55" s="76">
        <f ca="1">OFFSET('Dist Cust Factors'!$B$12,$O55-1,P$14)*$L55+OFFSET('Dist Cust Factors'!$B$12,$K55-1,P$14)*$H55</f>
        <v>-174.76829793148539</v>
      </c>
      <c r="R55" s="76">
        <f ca="1">OFFSET('Dist Cust Factors'!$B$12,$O55-1,R$14)*$L55+OFFSET('Dist Cust Factors'!$B$12,$K55-1,R$14)*$H55</f>
        <v>-41521.739227299455</v>
      </c>
      <c r="S55" s="76"/>
      <c r="T55" s="76">
        <f ca="1">OFFSET('Dist Cust Factors'!$B$12,$O55-1,T$14)*$L55+OFFSET('Dist Cust Factors'!$B$12,$K55-1,T$14)*$H55</f>
        <v>-3153.3334355323918</v>
      </c>
      <c r="U55" s="76"/>
      <c r="V55" s="37"/>
      <c r="X55" s="107"/>
    </row>
    <row r="56" spans="2:36" ht="13" x14ac:dyDescent="0.3">
      <c r="B56" s="18"/>
      <c r="C56" s="1"/>
      <c r="D56" s="1"/>
      <c r="X56" s="107"/>
    </row>
    <row r="57" spans="2:36" ht="13" x14ac:dyDescent="0.3">
      <c r="B57" s="18">
        <f>B55+1</f>
        <v>32</v>
      </c>
      <c r="C57" s="1"/>
      <c r="D57" s="1" t="s">
        <v>66</v>
      </c>
      <c r="F57" s="40">
        <f ca="1">F53+F55</f>
        <v>-44849.840960763337</v>
      </c>
      <c r="H57" s="40">
        <f>H53+H55</f>
        <v>0</v>
      </c>
      <c r="L57" s="40">
        <f ca="1">L53+L55</f>
        <v>-44849.840960763337</v>
      </c>
      <c r="P57" s="40">
        <f ca="1">P53+P55</f>
        <v>-174.76829793148539</v>
      </c>
      <c r="Q57" s="106"/>
      <c r="R57" s="40">
        <f ca="1">R53+R55</f>
        <v>-41521.739227299455</v>
      </c>
      <c r="S57" s="48"/>
      <c r="T57" s="40">
        <f ca="1">T53+T55</f>
        <v>-3153.3334355323918</v>
      </c>
      <c r="U57" s="48"/>
      <c r="V57" s="48"/>
      <c r="X57" s="107"/>
    </row>
    <row r="58" spans="2:36" ht="13" x14ac:dyDescent="0.3">
      <c r="B58" s="18"/>
      <c r="C58" s="1"/>
      <c r="D58" s="6"/>
      <c r="E58" s="74"/>
      <c r="F58" s="74"/>
      <c r="H58" s="74"/>
      <c r="L58" s="74"/>
      <c r="X58" s="107"/>
    </row>
    <row r="59" spans="2:36" ht="13" x14ac:dyDescent="0.3">
      <c r="B59" s="18"/>
      <c r="C59" s="1"/>
      <c r="D59" s="1"/>
      <c r="X59" s="107"/>
    </row>
    <row r="60" spans="2:36" ht="13" x14ac:dyDescent="0.3">
      <c r="B60" s="18"/>
      <c r="C60" s="1"/>
      <c r="D60" s="6" t="s">
        <v>67</v>
      </c>
      <c r="E60" s="75"/>
      <c r="F60" s="75"/>
      <c r="AC60" s="2"/>
      <c r="AD60" s="2"/>
      <c r="AE60" s="2"/>
      <c r="AF60" s="2"/>
      <c r="AG60" s="2"/>
      <c r="AH60" s="2"/>
      <c r="AI60" s="2"/>
      <c r="AJ60" s="2"/>
    </row>
    <row r="61" spans="2:36" ht="13" x14ac:dyDescent="0.3">
      <c r="B61" s="18"/>
      <c r="C61" s="1"/>
      <c r="D61" s="1"/>
      <c r="X61" s="107"/>
    </row>
    <row r="62" spans="2:36" ht="13" x14ac:dyDescent="0.3">
      <c r="B62" s="18">
        <f>B57+1</f>
        <v>33</v>
      </c>
      <c r="C62" s="1"/>
      <c r="D62" s="1" t="s">
        <v>33</v>
      </c>
      <c r="F62" s="48">
        <f ca="1">'Distribution Class'!AF62</f>
        <v>0</v>
      </c>
      <c r="H62" s="48"/>
      <c r="J62" s="2"/>
      <c r="K62" s="70">
        <f>_xlfn.IFNA(MATCH(J62,'Dist Cust Factors'!$B$12:$B$447,0),0)</f>
        <v>0</v>
      </c>
      <c r="L62" s="48">
        <f ca="1">F62-H62</f>
        <v>0</v>
      </c>
      <c r="O62" s="70">
        <f>_xlfn.IFNA(MATCH(N62,'Dist Cust Factors'!$B$12:$B$451,0),0)</f>
        <v>0</v>
      </c>
      <c r="P62" s="76">
        <f ca="1">P18+P40</f>
        <v>0</v>
      </c>
      <c r="R62" s="76">
        <f ca="1">R18+R40</f>
        <v>0</v>
      </c>
      <c r="S62" s="76"/>
      <c r="T62" s="76">
        <f ca="1">T18+T40</f>
        <v>0</v>
      </c>
      <c r="U62" s="76"/>
      <c r="V62" s="37"/>
      <c r="X62" s="107"/>
      <c r="Z62" s="37"/>
      <c r="AC62" s="48"/>
      <c r="AE62" s="48"/>
      <c r="AG62" s="48"/>
      <c r="AI62" s="48"/>
    </row>
    <row r="63" spans="2:36" ht="13" x14ac:dyDescent="0.3">
      <c r="B63" s="18">
        <f>B62+1</f>
        <v>34</v>
      </c>
      <c r="C63" s="1"/>
      <c r="D63" s="1" t="s">
        <v>35</v>
      </c>
      <c r="F63" s="48">
        <f ca="1">'Distribution Class'!AF63</f>
        <v>0</v>
      </c>
      <c r="H63" s="48"/>
      <c r="J63" s="2"/>
      <c r="K63" s="70">
        <f>_xlfn.IFNA(MATCH(J63,'Dist Cust Factors'!$B$12:$B$447,0),0)</f>
        <v>0</v>
      </c>
      <c r="L63" s="48">
        <f t="shared" ref="L63:L74" ca="1" si="4">F63-H63</f>
        <v>0</v>
      </c>
      <c r="O63" s="70">
        <f>_xlfn.IFNA(MATCH(N63,'Dist Cust Factors'!$B$12:$B$451,0),0)</f>
        <v>0</v>
      </c>
      <c r="P63" s="76">
        <f t="shared" ref="P63:R74" ca="1" si="5">P19+P41</f>
        <v>0</v>
      </c>
      <c r="R63" s="76">
        <f t="shared" ca="1" si="5"/>
        <v>0</v>
      </c>
      <c r="S63" s="76"/>
      <c r="T63" s="76">
        <f t="shared" ref="T63:T74" ca="1" si="6">T19+T41</f>
        <v>0</v>
      </c>
      <c r="U63" s="76"/>
      <c r="V63" s="37"/>
      <c r="X63" s="107"/>
      <c r="Z63" s="37"/>
      <c r="AC63" s="48"/>
      <c r="AE63" s="48"/>
      <c r="AG63" s="48"/>
      <c r="AI63" s="48"/>
    </row>
    <row r="64" spans="2:36" ht="13" x14ac:dyDescent="0.3">
      <c r="B64" s="18">
        <f t="shared" ref="B64:B75" si="7">B63+1</f>
        <v>35</v>
      </c>
      <c r="C64" s="1"/>
      <c r="D64" s="1" t="s">
        <v>37</v>
      </c>
      <c r="F64" s="48">
        <f ca="1">'Distribution Class'!AF64</f>
        <v>0</v>
      </c>
      <c r="H64" s="48"/>
      <c r="J64" s="2"/>
      <c r="K64" s="70">
        <f>_xlfn.IFNA(MATCH(J64,'Dist Cust Factors'!$B$12:$B$447,0),0)</f>
        <v>0</v>
      </c>
      <c r="L64" s="48">
        <f t="shared" ca="1" si="4"/>
        <v>0</v>
      </c>
      <c r="O64" s="70">
        <f>_xlfn.IFNA(MATCH(N64,'Dist Cust Factors'!$B$12:$B$451,0),0)</f>
        <v>0</v>
      </c>
      <c r="P64" s="76">
        <f t="shared" ca="1" si="5"/>
        <v>0</v>
      </c>
      <c r="R64" s="76">
        <f t="shared" ca="1" si="5"/>
        <v>0</v>
      </c>
      <c r="S64" s="76"/>
      <c r="T64" s="76">
        <f t="shared" ca="1" si="6"/>
        <v>0</v>
      </c>
      <c r="U64" s="76"/>
      <c r="V64" s="37"/>
      <c r="X64" s="107"/>
      <c r="Z64" s="37"/>
      <c r="AC64" s="48"/>
      <c r="AE64" s="48"/>
      <c r="AG64" s="48"/>
      <c r="AI64" s="48"/>
    </row>
    <row r="65" spans="2:35" ht="13" x14ac:dyDescent="0.3">
      <c r="B65" s="18">
        <f t="shared" si="7"/>
        <v>36</v>
      </c>
      <c r="C65" s="1"/>
      <c r="D65" s="1" t="s">
        <v>39</v>
      </c>
      <c r="F65" s="48">
        <f ca="1">'Distribution Class'!AF65</f>
        <v>0</v>
      </c>
      <c r="H65" s="48"/>
      <c r="J65" s="2"/>
      <c r="K65" s="70">
        <f>_xlfn.IFNA(MATCH(J65,'Dist Cust Factors'!$B$12:$B$447,0),0)</f>
        <v>0</v>
      </c>
      <c r="L65" s="48">
        <f t="shared" ca="1" si="4"/>
        <v>0</v>
      </c>
      <c r="O65" s="70">
        <f>_xlfn.IFNA(MATCH(N65,'Dist Cust Factors'!$B$12:$B$451,0),0)</f>
        <v>0</v>
      </c>
      <c r="P65" s="76">
        <f t="shared" ca="1" si="5"/>
        <v>0</v>
      </c>
      <c r="R65" s="76">
        <f t="shared" ca="1" si="5"/>
        <v>0</v>
      </c>
      <c r="S65" s="76"/>
      <c r="T65" s="76">
        <f t="shared" ca="1" si="6"/>
        <v>0</v>
      </c>
      <c r="U65" s="76"/>
      <c r="V65" s="37"/>
      <c r="X65" s="107"/>
      <c r="Z65" s="37"/>
      <c r="AC65" s="48"/>
      <c r="AE65" s="48"/>
      <c r="AG65" s="48"/>
      <c r="AI65" s="48"/>
    </row>
    <row r="66" spans="2:35" ht="13" x14ac:dyDescent="0.3">
      <c r="B66" s="18">
        <f t="shared" si="7"/>
        <v>37</v>
      </c>
      <c r="C66" s="1"/>
      <c r="D66" s="1" t="s">
        <v>41</v>
      </c>
      <c r="F66" s="48">
        <f ca="1">'Distribution Class'!AF66</f>
        <v>0</v>
      </c>
      <c r="H66" s="48"/>
      <c r="J66" s="2"/>
      <c r="K66" s="70">
        <f>_xlfn.IFNA(MATCH(J66,'Dist Cust Factors'!$B$12:$B$447,0),0)</f>
        <v>0</v>
      </c>
      <c r="L66" s="48">
        <f t="shared" ca="1" si="4"/>
        <v>0</v>
      </c>
      <c r="O66" s="70">
        <f>_xlfn.IFNA(MATCH(N66,'Dist Cust Factors'!$B$12:$B$451,0),0)</f>
        <v>0</v>
      </c>
      <c r="P66" s="76">
        <f t="shared" ca="1" si="5"/>
        <v>0</v>
      </c>
      <c r="R66" s="76">
        <f t="shared" ca="1" si="5"/>
        <v>0</v>
      </c>
      <c r="S66" s="76"/>
      <c r="T66" s="76">
        <f t="shared" ca="1" si="6"/>
        <v>0</v>
      </c>
      <c r="U66" s="76"/>
      <c r="V66" s="37"/>
      <c r="X66" s="107"/>
      <c r="Z66" s="37"/>
      <c r="AC66" s="48"/>
      <c r="AE66" s="48"/>
      <c r="AG66" s="48"/>
      <c r="AI66" s="48"/>
    </row>
    <row r="67" spans="2:35" ht="13" x14ac:dyDescent="0.3">
      <c r="B67" s="18">
        <f t="shared" si="7"/>
        <v>38</v>
      </c>
      <c r="C67" s="1"/>
      <c r="D67" s="1" t="s">
        <v>43</v>
      </c>
      <c r="F67" s="48">
        <f ca="1">'Distribution Class'!AF67</f>
        <v>0</v>
      </c>
      <c r="H67" s="48"/>
      <c r="K67" s="70">
        <f>_xlfn.IFNA(MATCH(J67,'Dist Cust Factors'!$B$12:$B$447,0),0)</f>
        <v>0</v>
      </c>
      <c r="L67" s="48">
        <f t="shared" ca="1" si="4"/>
        <v>0</v>
      </c>
      <c r="O67" s="70">
        <f>_xlfn.IFNA(MATCH(N67,'Dist Cust Factors'!$B$12:$B$451,0),0)</f>
        <v>0</v>
      </c>
      <c r="P67" s="76">
        <f t="shared" ca="1" si="5"/>
        <v>0</v>
      </c>
      <c r="R67" s="76">
        <f t="shared" ca="1" si="5"/>
        <v>0</v>
      </c>
      <c r="S67" s="76"/>
      <c r="T67" s="76">
        <f t="shared" ca="1" si="6"/>
        <v>0</v>
      </c>
      <c r="U67" s="76"/>
      <c r="V67" s="37"/>
      <c r="X67" s="107"/>
      <c r="Z67" s="37"/>
      <c r="AC67" s="48"/>
      <c r="AE67" s="48"/>
      <c r="AG67" s="48"/>
      <c r="AI67" s="48"/>
    </row>
    <row r="68" spans="2:35" ht="13" x14ac:dyDescent="0.3">
      <c r="B68" s="18">
        <f t="shared" si="7"/>
        <v>39</v>
      </c>
      <c r="C68" s="1"/>
      <c r="D68" s="1" t="s">
        <v>45</v>
      </c>
      <c r="F68" s="48">
        <f ca="1">'Distribution Class'!AF68</f>
        <v>0</v>
      </c>
      <c r="H68" s="48"/>
      <c r="K68" s="70">
        <f>_xlfn.IFNA(MATCH(J68,'Dist Cust Factors'!$B$12:$B$447,0),0)</f>
        <v>0</v>
      </c>
      <c r="L68" s="48">
        <f t="shared" ca="1" si="4"/>
        <v>0</v>
      </c>
      <c r="O68" s="70">
        <f>_xlfn.IFNA(MATCH(N68,'Dist Cust Factors'!$B$12:$B$451,0),0)</f>
        <v>0</v>
      </c>
      <c r="P68" s="76">
        <f t="shared" ca="1" si="5"/>
        <v>0</v>
      </c>
      <c r="R68" s="76">
        <f t="shared" ca="1" si="5"/>
        <v>0</v>
      </c>
      <c r="S68" s="76"/>
      <c r="T68" s="76">
        <f t="shared" ca="1" si="6"/>
        <v>0</v>
      </c>
      <c r="U68" s="76"/>
      <c r="V68" s="37"/>
      <c r="X68" s="107"/>
      <c r="Z68" s="37"/>
      <c r="AC68" s="48"/>
      <c r="AE68" s="48"/>
      <c r="AG68" s="48"/>
      <c r="AI68" s="48"/>
    </row>
    <row r="69" spans="2:35" ht="13" x14ac:dyDescent="0.3">
      <c r="B69" s="18">
        <f t="shared" si="7"/>
        <v>40</v>
      </c>
      <c r="C69" s="1"/>
      <c r="D69" s="1" t="s">
        <v>47</v>
      </c>
      <c r="F69" s="48">
        <f ca="1">'Distribution Class'!AF69</f>
        <v>0</v>
      </c>
      <c r="H69" s="48"/>
      <c r="K69" s="70">
        <f>_xlfn.IFNA(MATCH(J69,'Dist Cust Factors'!$B$12:$B$447,0),0)</f>
        <v>0</v>
      </c>
      <c r="L69" s="48">
        <f t="shared" ca="1" si="4"/>
        <v>0</v>
      </c>
      <c r="O69" s="70">
        <f>_xlfn.IFNA(MATCH(N69,'Dist Cust Factors'!$B$12:$B$451,0),0)</f>
        <v>0</v>
      </c>
      <c r="P69" s="76">
        <f t="shared" ca="1" si="5"/>
        <v>0</v>
      </c>
      <c r="R69" s="76">
        <f t="shared" ca="1" si="5"/>
        <v>0</v>
      </c>
      <c r="S69" s="76"/>
      <c r="T69" s="76">
        <f t="shared" ca="1" si="6"/>
        <v>0</v>
      </c>
      <c r="U69" s="76"/>
      <c r="V69" s="37"/>
      <c r="X69" s="107"/>
      <c r="Z69" s="37"/>
      <c r="AC69" s="48"/>
      <c r="AE69" s="48"/>
      <c r="AG69" s="48"/>
      <c r="AI69" s="48"/>
    </row>
    <row r="70" spans="2:35" ht="13" x14ac:dyDescent="0.3">
      <c r="B70" s="18">
        <f t="shared" si="7"/>
        <v>41</v>
      </c>
      <c r="C70" s="1"/>
      <c r="D70" s="1" t="s">
        <v>48</v>
      </c>
      <c r="F70" s="48">
        <f ca="1">'Distribution Class'!AF70</f>
        <v>0</v>
      </c>
      <c r="H70" s="48"/>
      <c r="K70" s="70">
        <f>_xlfn.IFNA(MATCH(J70,'Dist Cust Factors'!$B$12:$B$447,0),0)</f>
        <v>0</v>
      </c>
      <c r="L70" s="48">
        <f t="shared" ca="1" si="4"/>
        <v>0</v>
      </c>
      <c r="O70" s="70">
        <f>_xlfn.IFNA(MATCH(N70,'Dist Cust Factors'!$B$12:$B$451,0),0)</f>
        <v>0</v>
      </c>
      <c r="P70" s="76">
        <f t="shared" ca="1" si="5"/>
        <v>0</v>
      </c>
      <c r="R70" s="76">
        <f t="shared" ca="1" si="5"/>
        <v>0</v>
      </c>
      <c r="S70" s="76"/>
      <c r="T70" s="76">
        <f t="shared" ca="1" si="6"/>
        <v>0</v>
      </c>
      <c r="U70" s="76"/>
      <c r="V70" s="37"/>
      <c r="X70" s="107"/>
      <c r="Z70" s="37"/>
      <c r="AC70" s="48"/>
      <c r="AE70" s="48"/>
      <c r="AG70" s="48"/>
      <c r="AI70" s="48"/>
    </row>
    <row r="71" spans="2:35" ht="13" x14ac:dyDescent="0.3">
      <c r="B71" s="18">
        <f t="shared" si="7"/>
        <v>42</v>
      </c>
      <c r="C71" s="1"/>
      <c r="D71" s="1" t="s">
        <v>49</v>
      </c>
      <c r="F71" s="48">
        <f ca="1">'Distribution Class'!AF71</f>
        <v>0</v>
      </c>
      <c r="H71" s="48"/>
      <c r="K71" s="70">
        <f>_xlfn.IFNA(MATCH(J71,'Dist Cust Factors'!$B$12:$B$447,0),0)</f>
        <v>0</v>
      </c>
      <c r="L71" s="48">
        <f t="shared" ca="1" si="4"/>
        <v>0</v>
      </c>
      <c r="O71" s="70">
        <f>_xlfn.IFNA(MATCH(N71,'Dist Cust Factors'!$B$12:$B$451,0),0)</f>
        <v>0</v>
      </c>
      <c r="P71" s="76">
        <f t="shared" ca="1" si="5"/>
        <v>0</v>
      </c>
      <c r="R71" s="76">
        <f t="shared" ca="1" si="5"/>
        <v>0</v>
      </c>
      <c r="S71" s="76"/>
      <c r="T71" s="76">
        <f t="shared" ca="1" si="6"/>
        <v>0</v>
      </c>
      <c r="U71" s="76"/>
      <c r="V71" s="37"/>
      <c r="X71" s="107"/>
      <c r="Z71" s="37"/>
      <c r="AC71" s="48"/>
      <c r="AE71" s="48"/>
      <c r="AG71" s="48"/>
      <c r="AI71" s="48"/>
    </row>
    <row r="72" spans="2:35" ht="13" x14ac:dyDescent="0.3">
      <c r="B72" s="18">
        <f t="shared" si="7"/>
        <v>43</v>
      </c>
      <c r="C72" s="1"/>
      <c r="D72" s="1" t="s">
        <v>51</v>
      </c>
      <c r="F72" s="48">
        <f ca="1">'Distribution Class'!AF72</f>
        <v>0</v>
      </c>
      <c r="H72" s="48"/>
      <c r="K72" s="70">
        <f>_xlfn.IFNA(MATCH(J72,'Dist Cust Factors'!$B$12:$B$447,0),0)</f>
        <v>0</v>
      </c>
      <c r="L72" s="48">
        <f t="shared" ca="1" si="4"/>
        <v>0</v>
      </c>
      <c r="O72" s="70">
        <f>_xlfn.IFNA(MATCH(N72,'Dist Cust Factors'!$B$12:$B$451,0),0)</f>
        <v>0</v>
      </c>
      <c r="P72" s="76">
        <f t="shared" ca="1" si="5"/>
        <v>0</v>
      </c>
      <c r="R72" s="76">
        <f t="shared" ca="1" si="5"/>
        <v>0</v>
      </c>
      <c r="S72" s="76"/>
      <c r="T72" s="76">
        <f t="shared" ca="1" si="6"/>
        <v>0</v>
      </c>
      <c r="U72" s="76"/>
      <c r="V72" s="37"/>
      <c r="X72" s="107"/>
      <c r="Z72" s="37"/>
      <c r="AC72" s="48"/>
      <c r="AE72" s="48"/>
      <c r="AG72" s="48"/>
      <c r="AI72" s="48"/>
    </row>
    <row r="73" spans="2:35" ht="13" x14ac:dyDescent="0.3">
      <c r="B73" s="18">
        <f>B72+1</f>
        <v>44</v>
      </c>
      <c r="C73" s="1"/>
      <c r="D73" s="1" t="s">
        <v>52</v>
      </c>
      <c r="F73" s="48">
        <f ca="1">'Distribution Class'!AF73</f>
        <v>0</v>
      </c>
      <c r="H73" s="48"/>
      <c r="K73" s="70">
        <f>_xlfn.IFNA(MATCH(J73,'Dist Cust Factors'!$B$12:$B$447,0),0)</f>
        <v>0</v>
      </c>
      <c r="L73" s="48">
        <f t="shared" ca="1" si="4"/>
        <v>0</v>
      </c>
      <c r="O73" s="70">
        <f>_xlfn.IFNA(MATCH(N73,'Dist Cust Factors'!$B$12:$B$451,0),0)</f>
        <v>0</v>
      </c>
      <c r="P73" s="76">
        <f t="shared" ca="1" si="5"/>
        <v>0</v>
      </c>
      <c r="R73" s="76">
        <f t="shared" ca="1" si="5"/>
        <v>0</v>
      </c>
      <c r="S73" s="76"/>
      <c r="T73" s="76">
        <f t="shared" ca="1" si="6"/>
        <v>0</v>
      </c>
      <c r="U73" s="76"/>
      <c r="V73" s="37"/>
      <c r="X73" s="107"/>
      <c r="Z73" s="37"/>
      <c r="AC73" s="48"/>
      <c r="AE73" s="48"/>
      <c r="AG73" s="48"/>
      <c r="AI73" s="48"/>
    </row>
    <row r="74" spans="2:35" ht="13" x14ac:dyDescent="0.3">
      <c r="B74" s="18">
        <f>B73+1</f>
        <v>45</v>
      </c>
      <c r="C74" s="1"/>
      <c r="D74" s="1" t="s">
        <v>53</v>
      </c>
      <c r="F74" s="48">
        <f ca="1">'Distribution Class'!AF74</f>
        <v>0</v>
      </c>
      <c r="H74" s="48"/>
      <c r="K74" s="70">
        <f>_xlfn.IFNA(MATCH(J74,'Dist Cust Factors'!$B$12:$B$447,0),0)</f>
        <v>0</v>
      </c>
      <c r="L74" s="48">
        <f t="shared" ca="1" si="4"/>
        <v>0</v>
      </c>
      <c r="O74" s="70">
        <f>_xlfn.IFNA(MATCH(N74,'Dist Cust Factors'!$B$12:$B$451,0),0)</f>
        <v>0</v>
      </c>
      <c r="P74" s="76">
        <f t="shared" ca="1" si="5"/>
        <v>0</v>
      </c>
      <c r="R74" s="76">
        <f t="shared" ca="1" si="5"/>
        <v>0</v>
      </c>
      <c r="S74" s="76"/>
      <c r="T74" s="76">
        <f t="shared" ca="1" si="6"/>
        <v>0</v>
      </c>
      <c r="U74" s="76"/>
      <c r="V74" s="37"/>
      <c r="X74" s="107"/>
      <c r="Z74" s="37"/>
      <c r="AC74" s="48"/>
      <c r="AE74" s="48"/>
      <c r="AG74" s="48"/>
      <c r="AI74" s="48"/>
    </row>
    <row r="75" spans="2:35" ht="13" x14ac:dyDescent="0.3">
      <c r="B75" s="18">
        <f t="shared" si="7"/>
        <v>46</v>
      </c>
      <c r="C75" s="1"/>
      <c r="D75" s="1" t="s">
        <v>68</v>
      </c>
      <c r="F75" s="40">
        <f ca="1">SUM(F62:F74)</f>
        <v>0</v>
      </c>
      <c r="H75" s="40"/>
      <c r="L75" s="40"/>
      <c r="P75" s="78">
        <f ca="1">SUM(P62:P74)</f>
        <v>0</v>
      </c>
      <c r="Q75" s="64"/>
      <c r="R75" s="78">
        <f ca="1">SUM(R62:R74)</f>
        <v>0</v>
      </c>
      <c r="S75" s="37"/>
      <c r="T75" s="78">
        <f ca="1">SUM(T62:T74)</f>
        <v>0</v>
      </c>
      <c r="U75" s="37"/>
      <c r="V75" s="37"/>
      <c r="W75" s="48"/>
      <c r="X75" s="107"/>
      <c r="Z75" s="37"/>
      <c r="AC75" s="37"/>
      <c r="AE75" s="37"/>
      <c r="AG75" s="37"/>
      <c r="AI75" s="37"/>
    </row>
    <row r="76" spans="2:35" ht="13" x14ac:dyDescent="0.3">
      <c r="B76" s="18"/>
      <c r="C76" s="1"/>
      <c r="D76" s="1"/>
      <c r="X76" s="107"/>
    </row>
    <row r="77" spans="2:35" ht="13" x14ac:dyDescent="0.3">
      <c r="B77" s="18">
        <f>B75+1</f>
        <v>47</v>
      </c>
      <c r="C77" s="1"/>
      <c r="D77" s="1" t="s">
        <v>56</v>
      </c>
      <c r="F77" s="48">
        <f ca="1">'Distribution Class'!AF77</f>
        <v>44854.381327047551</v>
      </c>
      <c r="H77" s="48"/>
      <c r="K77" s="70">
        <f>_xlfn.IFNA(MATCH(J77,'Dist Cust Factors'!$B$12:$B$447,0),0)</f>
        <v>0</v>
      </c>
      <c r="L77" s="48">
        <f ca="1">F77-H77</f>
        <v>44854.381327047551</v>
      </c>
      <c r="O77" s="70">
        <f>_xlfn.IFNA(MATCH(N77,'Dist Cust Factors'!$B$12:$B$451,0),0)</f>
        <v>0</v>
      </c>
      <c r="P77" s="76">
        <f t="shared" ref="P77" ca="1" si="8">P33+P55</f>
        <v>174.7859905714252</v>
      </c>
      <c r="R77" s="76">
        <f t="shared" ref="R77" ca="1" si="9">R33+R55</f>
        <v>41525.942673751233</v>
      </c>
      <c r="S77" s="76"/>
      <c r="T77" s="76">
        <f t="shared" ref="T77" ca="1" si="10">T33+T55</f>
        <v>3153.6526627248827</v>
      </c>
      <c r="U77" s="76"/>
      <c r="V77" s="37"/>
      <c r="X77" s="107"/>
    </row>
    <row r="78" spans="2:35" ht="13" x14ac:dyDescent="0.3">
      <c r="B78" s="18"/>
      <c r="C78" s="1"/>
      <c r="D78" s="1"/>
      <c r="X78" s="107"/>
    </row>
    <row r="79" spans="2:35" ht="13" x14ac:dyDescent="0.3">
      <c r="B79" s="18">
        <f>B77+1</f>
        <v>48</v>
      </c>
      <c r="C79" s="1"/>
      <c r="D79" s="1" t="s">
        <v>69</v>
      </c>
      <c r="F79" s="40">
        <f ca="1">F75+F77</f>
        <v>44854.381327047551</v>
      </c>
      <c r="H79" s="40">
        <f>H75+H77</f>
        <v>0</v>
      </c>
      <c r="L79" s="40">
        <f ca="1">L75+L77</f>
        <v>44854.381327047551</v>
      </c>
      <c r="P79" s="40">
        <f ca="1">P75+P77</f>
        <v>174.7859905714252</v>
      </c>
      <c r="Q79" s="106"/>
      <c r="R79" s="40">
        <f ca="1">R75+R77</f>
        <v>41525.942673751233</v>
      </c>
      <c r="S79" s="48"/>
      <c r="T79" s="40">
        <f ca="1">T75+T77</f>
        <v>3153.6526627248827</v>
      </c>
      <c r="U79" s="48"/>
      <c r="V79" s="48"/>
      <c r="X79" s="107"/>
    </row>
    <row r="80" spans="2:35" ht="13" x14ac:dyDescent="0.3">
      <c r="B80" s="18"/>
      <c r="C80" s="1"/>
      <c r="D80" s="6"/>
      <c r="E80" s="74"/>
      <c r="F80" s="74"/>
      <c r="H80" s="74"/>
      <c r="L80" s="74"/>
      <c r="X80" s="107"/>
    </row>
    <row r="81" spans="2:24" ht="13" x14ac:dyDescent="0.3">
      <c r="B81" s="18"/>
      <c r="C81" s="1"/>
      <c r="D81" s="1"/>
      <c r="X81" s="107"/>
    </row>
    <row r="82" spans="2:24" ht="13" x14ac:dyDescent="0.3">
      <c r="B82" s="18"/>
      <c r="C82" s="1"/>
      <c r="D82" s="6" t="s">
        <v>70</v>
      </c>
      <c r="X82" s="107"/>
    </row>
    <row r="83" spans="2:24" ht="13" x14ac:dyDescent="0.3">
      <c r="B83" s="18"/>
      <c r="C83" s="1"/>
      <c r="D83" s="1"/>
      <c r="X83" s="107"/>
    </row>
    <row r="84" spans="2:24" ht="13" x14ac:dyDescent="0.3">
      <c r="B84" s="18">
        <f>B79+1</f>
        <v>49</v>
      </c>
      <c r="C84" s="1"/>
      <c r="D84" s="1" t="s">
        <v>71</v>
      </c>
      <c r="F84" s="48">
        <f ca="1">'Distribution Class'!AF84</f>
        <v>0</v>
      </c>
      <c r="H84" s="48"/>
      <c r="K84" s="70">
        <f>_xlfn.IFNA(MATCH(J84,'Dist Cust Factors'!$B$12:$B$447,0),0)</f>
        <v>0</v>
      </c>
      <c r="L84" s="48">
        <f t="shared" ref="L84:L88" ca="1" si="11">F84-H84</f>
        <v>0</v>
      </c>
      <c r="O84" s="70">
        <f>_xlfn.IFNA(MATCH(N84,'Dist Cust Factors'!$B$12:$B$451,0),0)</f>
        <v>0</v>
      </c>
      <c r="P84" s="76">
        <f ca="1">OFFSET('Dist Cust Factors'!$B$12,$O84-1,P$14)*$L84+OFFSET('Dist Cust Factors'!$B$12,$K84-1,P$14)*$H84</f>
        <v>0</v>
      </c>
      <c r="R84" s="76">
        <f ca="1">OFFSET('Dist Cust Factors'!$B$12,$O84-1,R$14)*$L84+OFFSET('Dist Cust Factors'!$B$12,$K84-1,R$14)*$H84</f>
        <v>0</v>
      </c>
      <c r="S84" s="76"/>
      <c r="T84" s="76">
        <f ca="1">OFFSET('Dist Cust Factors'!$B$12,$O84-1,T$14)*$L84+OFFSET('Dist Cust Factors'!$B$12,$K84-1,T$14)*$H84</f>
        <v>0</v>
      </c>
      <c r="U84" s="76"/>
      <c r="V84" s="37"/>
      <c r="X84" s="107"/>
    </row>
    <row r="85" spans="2:24" ht="13" x14ac:dyDescent="0.3">
      <c r="B85" s="18">
        <f>B84+1</f>
        <v>50</v>
      </c>
      <c r="C85" s="1"/>
      <c r="D85" s="1" t="s">
        <v>73</v>
      </c>
      <c r="F85" s="48">
        <f ca="1">'Distribution Class'!AF85</f>
        <v>0</v>
      </c>
      <c r="H85" s="48"/>
      <c r="K85" s="70">
        <f>_xlfn.IFNA(MATCH(J85,'Dist Cust Factors'!$B$12:$B$447,0),0)</f>
        <v>0</v>
      </c>
      <c r="L85" s="48">
        <f t="shared" ca="1" si="11"/>
        <v>0</v>
      </c>
      <c r="O85" s="70">
        <f>_xlfn.IFNA(MATCH(N85,'Dist Cust Factors'!$B$12:$B$451,0),0)</f>
        <v>0</v>
      </c>
      <c r="P85" s="76">
        <f ca="1">OFFSET('Dist Cust Factors'!$B$12,$O85-1,P$14)*$L85+OFFSET('Dist Cust Factors'!$B$12,$K85-1,P$14)*$H85</f>
        <v>0</v>
      </c>
      <c r="R85" s="76">
        <f ca="1">OFFSET('Dist Cust Factors'!$B$12,$O85-1,R$14)*$L85+OFFSET('Dist Cust Factors'!$B$12,$K85-1,R$14)*$H85</f>
        <v>0</v>
      </c>
      <c r="S85" s="76"/>
      <c r="T85" s="76">
        <f ca="1">OFFSET('Dist Cust Factors'!$B$12,$O85-1,T$14)*$L85+OFFSET('Dist Cust Factors'!$B$12,$K85-1,T$14)*$H85</f>
        <v>0</v>
      </c>
      <c r="U85" s="76"/>
      <c r="V85" s="37"/>
      <c r="X85" s="107"/>
    </row>
    <row r="86" spans="2:24" ht="13" x14ac:dyDescent="0.3">
      <c r="B86" s="18">
        <f t="shared" ref="B86:B89" si="12">B85+1</f>
        <v>51</v>
      </c>
      <c r="C86" s="1"/>
      <c r="D86" s="1" t="s">
        <v>74</v>
      </c>
      <c r="F86" s="48">
        <f ca="1">'Distribution Class'!AF86</f>
        <v>0</v>
      </c>
      <c r="H86" s="48"/>
      <c r="K86" s="70">
        <f>_xlfn.IFNA(MATCH(J86,'Dist Cust Factors'!$B$12:$B$447,0),0)</f>
        <v>0</v>
      </c>
      <c r="L86" s="48">
        <f t="shared" ca="1" si="11"/>
        <v>0</v>
      </c>
      <c r="O86" s="70">
        <f>_xlfn.IFNA(MATCH(N86,'Dist Cust Factors'!$B$12:$B$451,0),0)</f>
        <v>0</v>
      </c>
      <c r="P86" s="76">
        <f ca="1">OFFSET('Dist Cust Factors'!$B$12,$O86-1,P$14)*$L86+OFFSET('Dist Cust Factors'!$B$12,$K86-1,P$14)*$H86</f>
        <v>0</v>
      </c>
      <c r="R86" s="76">
        <f ca="1">OFFSET('Dist Cust Factors'!$B$12,$O86-1,R$14)*$L86+OFFSET('Dist Cust Factors'!$B$12,$K86-1,R$14)*$H86</f>
        <v>0</v>
      </c>
      <c r="S86" s="76"/>
      <c r="T86" s="76">
        <f ca="1">OFFSET('Dist Cust Factors'!$B$12,$O86-1,T$14)*$L86+OFFSET('Dist Cust Factors'!$B$12,$K86-1,T$14)*$H86</f>
        <v>0</v>
      </c>
      <c r="U86" s="76"/>
      <c r="V86" s="37"/>
      <c r="X86" s="107"/>
    </row>
    <row r="87" spans="2:24" ht="13" x14ac:dyDescent="0.3">
      <c r="B87" s="18">
        <f t="shared" si="12"/>
        <v>52</v>
      </c>
      <c r="C87" s="1"/>
      <c r="D87" s="1" t="s">
        <v>75</v>
      </c>
      <c r="F87" s="48">
        <f ca="1">'Distribution Class'!AF87</f>
        <v>0</v>
      </c>
      <c r="H87" s="48"/>
      <c r="K87" s="70">
        <f>_xlfn.IFNA(MATCH(J87,'Dist Cust Factors'!$B$12:$B$447,0),0)</f>
        <v>0</v>
      </c>
      <c r="L87" s="48">
        <f t="shared" ca="1" si="11"/>
        <v>0</v>
      </c>
      <c r="O87" s="70">
        <f>_xlfn.IFNA(MATCH(N87,'Dist Cust Factors'!$B$12:$B$451,0),0)</f>
        <v>0</v>
      </c>
      <c r="P87" s="76">
        <f ca="1">OFFSET('Dist Cust Factors'!$B$12,$O87-1,P$14)*$L87+OFFSET('Dist Cust Factors'!$B$12,$K87-1,P$14)*$H87</f>
        <v>0</v>
      </c>
      <c r="R87" s="76">
        <f ca="1">OFFSET('Dist Cust Factors'!$B$12,$O87-1,R$14)*$L87+OFFSET('Dist Cust Factors'!$B$12,$K87-1,R$14)*$H87</f>
        <v>0</v>
      </c>
      <c r="S87" s="76"/>
      <c r="T87" s="76">
        <f ca="1">OFFSET('Dist Cust Factors'!$B$12,$O87-1,T$14)*$L87+OFFSET('Dist Cust Factors'!$B$12,$K87-1,T$14)*$H87</f>
        <v>0</v>
      </c>
      <c r="U87" s="76"/>
      <c r="V87" s="37"/>
      <c r="X87" s="107"/>
    </row>
    <row r="88" spans="2:24" ht="13" x14ac:dyDescent="0.3">
      <c r="B88" s="18">
        <f t="shared" si="12"/>
        <v>53</v>
      </c>
      <c r="C88" s="1"/>
      <c r="D88" s="1" t="s">
        <v>76</v>
      </c>
      <c r="F88" s="48">
        <f ca="1">'Distribution Class'!AF88</f>
        <v>0</v>
      </c>
      <c r="H88" s="48"/>
      <c r="K88" s="70">
        <f>_xlfn.IFNA(MATCH(J88,'Dist Cust Factors'!$B$12:$B$447,0),0)</f>
        <v>0</v>
      </c>
      <c r="L88" s="48">
        <f t="shared" ca="1" si="11"/>
        <v>0</v>
      </c>
      <c r="O88" s="70">
        <f>_xlfn.IFNA(MATCH(N88,'Dist Cust Factors'!$B$12:$B$451,0),0)</f>
        <v>0</v>
      </c>
      <c r="P88" s="76">
        <f ca="1">OFFSET('Dist Cust Factors'!$B$12,$O88-1,P$14)*$L88+OFFSET('Dist Cust Factors'!$B$12,$K88-1,P$14)*$H88</f>
        <v>0</v>
      </c>
      <c r="R88" s="76">
        <f ca="1">OFFSET('Dist Cust Factors'!$B$12,$O88-1,R$14)*$L88+OFFSET('Dist Cust Factors'!$B$12,$K88-1,R$14)*$H88</f>
        <v>0</v>
      </c>
      <c r="S88" s="76"/>
      <c r="T88" s="76">
        <f ca="1">OFFSET('Dist Cust Factors'!$B$12,$O88-1,T$14)*$L88+OFFSET('Dist Cust Factors'!$B$12,$K88-1,T$14)*$H88</f>
        <v>0</v>
      </c>
      <c r="U88" s="76"/>
      <c r="V88" s="37"/>
      <c r="X88" s="107"/>
    </row>
    <row r="89" spans="2:24" ht="13" x14ac:dyDescent="0.3">
      <c r="B89" s="18">
        <f t="shared" si="12"/>
        <v>54</v>
      </c>
      <c r="C89" s="1"/>
      <c r="D89" s="1" t="s">
        <v>77</v>
      </c>
      <c r="F89" s="40">
        <f ca="1">SUM(F82:F88)</f>
        <v>0</v>
      </c>
      <c r="H89" s="40">
        <f>SUM(H82:H88)</f>
        <v>0</v>
      </c>
      <c r="L89" s="40">
        <f ca="1">SUM(L82:L88)</f>
        <v>0</v>
      </c>
      <c r="P89" s="78">
        <f ca="1">SUM(P82:P88)</f>
        <v>0</v>
      </c>
      <c r="Q89" s="37"/>
      <c r="R89" s="78">
        <f ca="1">SUM(R82:R88)</f>
        <v>0</v>
      </c>
      <c r="S89" s="37"/>
      <c r="T89" s="78">
        <f ca="1">SUM(T82:T88)</f>
        <v>0</v>
      </c>
      <c r="U89" s="37"/>
      <c r="V89" s="37"/>
      <c r="X89" s="107"/>
    </row>
    <row r="90" spans="2:24" ht="13" x14ac:dyDescent="0.3">
      <c r="B90" s="18"/>
      <c r="C90" s="1"/>
      <c r="D90" s="1"/>
      <c r="X90" s="107"/>
    </row>
    <row r="91" spans="2:24" ht="13" x14ac:dyDescent="0.3">
      <c r="B91" s="18"/>
      <c r="C91" s="1"/>
      <c r="D91" s="1"/>
      <c r="X91" s="107"/>
    </row>
    <row r="92" spans="2:24" ht="13" x14ac:dyDescent="0.3">
      <c r="B92" s="18">
        <f>B89+1</f>
        <v>55</v>
      </c>
      <c r="C92" s="1"/>
      <c r="D92" s="1" t="s">
        <v>78</v>
      </c>
      <c r="F92" s="40">
        <f ca="1">F79+F89</f>
        <v>44854.381327047551</v>
      </c>
      <c r="H92" s="40">
        <f>H79+H89</f>
        <v>0</v>
      </c>
      <c r="L92" s="40">
        <f ca="1">L79+L89</f>
        <v>44854.381327047551</v>
      </c>
      <c r="P92" s="40">
        <f ca="1">P79+P89</f>
        <v>174.7859905714252</v>
      </c>
      <c r="Q92" s="106"/>
      <c r="R92" s="40">
        <f ca="1">R79+R89</f>
        <v>41525.942673751233</v>
      </c>
      <c r="S92" s="48"/>
      <c r="T92" s="40">
        <f ca="1">T79+T89</f>
        <v>3153.6526627248827</v>
      </c>
      <c r="U92" s="48"/>
      <c r="V92" s="48"/>
      <c r="X92" s="107"/>
    </row>
    <row r="93" spans="2:24" ht="13" x14ac:dyDescent="0.3">
      <c r="X93" s="107"/>
    </row>
    <row r="94" spans="2:24" ht="13" x14ac:dyDescent="0.3">
      <c r="X94" s="107"/>
    </row>
    <row r="95" spans="2:24" ht="13" x14ac:dyDescent="0.3">
      <c r="B95" s="18">
        <f>B92+1</f>
        <v>56</v>
      </c>
      <c r="C95" s="1"/>
      <c r="D95" s="1" t="s">
        <v>79</v>
      </c>
      <c r="F95" s="83">
        <f>Function!$F$95</f>
        <v>6.0821321807016528E-2</v>
      </c>
      <c r="H95" s="83">
        <f>$F$95</f>
        <v>6.0821321807016528E-2</v>
      </c>
      <c r="L95" s="83">
        <f>$F$95</f>
        <v>6.0821321807016528E-2</v>
      </c>
      <c r="P95" s="83">
        <f>$F$95</f>
        <v>6.0821321807016528E-2</v>
      </c>
      <c r="R95" s="83">
        <f>$F$95</f>
        <v>6.0821321807016528E-2</v>
      </c>
      <c r="T95" s="83">
        <f>$F$95</f>
        <v>6.0821321807016528E-2</v>
      </c>
      <c r="V95" s="85"/>
      <c r="X95" s="107"/>
    </row>
    <row r="96" spans="2:24" ht="13" x14ac:dyDescent="0.3">
      <c r="B96" s="18"/>
      <c r="C96" s="1"/>
      <c r="D96" s="1"/>
      <c r="X96" s="107"/>
    </row>
    <row r="97" spans="2:35" ht="13" x14ac:dyDescent="0.3">
      <c r="B97" s="18">
        <f>B95+1</f>
        <v>57</v>
      </c>
      <c r="C97" s="1"/>
      <c r="D97" s="1" t="s">
        <v>80</v>
      </c>
      <c r="F97" s="40">
        <f ca="1">F92*F95</f>
        <v>2728.1027611469922</v>
      </c>
      <c r="H97" s="40">
        <f>H92*H95</f>
        <v>0</v>
      </c>
      <c r="L97" s="40">
        <f ca="1">L92*L95</f>
        <v>2728.1027611469922</v>
      </c>
      <c r="P97" s="40">
        <f ca="1">P92*P95</f>
        <v>10.630714979902809</v>
      </c>
      <c r="R97" s="40">
        <f ca="1">R92*R95</f>
        <v>2525.662722699944</v>
      </c>
      <c r="S97" s="76"/>
      <c r="T97" s="40">
        <f ca="1">T92*T95</f>
        <v>191.80932346714465</v>
      </c>
      <c r="U97" s="76"/>
      <c r="V97" s="48"/>
      <c r="X97" s="107"/>
    </row>
    <row r="98" spans="2:35" ht="13" x14ac:dyDescent="0.3">
      <c r="B98" s="18"/>
      <c r="C98" s="1"/>
      <c r="D98" s="1"/>
      <c r="F98" s="48"/>
      <c r="H98" s="48"/>
      <c r="L98" s="48"/>
      <c r="X98" s="107"/>
    </row>
    <row r="99" spans="2:35" ht="13" x14ac:dyDescent="0.3">
      <c r="B99" s="18"/>
      <c r="C99" s="1"/>
      <c r="D99" s="1"/>
      <c r="F99" s="48"/>
      <c r="H99" s="48"/>
      <c r="L99" s="48"/>
      <c r="X99" s="107"/>
    </row>
    <row r="100" spans="2:35" ht="13" x14ac:dyDescent="0.3">
      <c r="B100" s="18"/>
      <c r="C100" s="1"/>
      <c r="D100" s="6" t="s">
        <v>81</v>
      </c>
      <c r="X100" s="107"/>
    </row>
    <row r="101" spans="2:35" ht="13" x14ac:dyDescent="0.3">
      <c r="B101" s="18"/>
      <c r="C101" s="1"/>
      <c r="D101" s="1"/>
      <c r="X101" s="107"/>
    </row>
    <row r="102" spans="2:35" ht="13" x14ac:dyDescent="0.3">
      <c r="B102" s="18">
        <f>B97+1</f>
        <v>58</v>
      </c>
      <c r="C102" s="1"/>
      <c r="D102" s="1" t="s">
        <v>82</v>
      </c>
      <c r="F102" s="48">
        <f ca="1">'Distribution Class'!AF102</f>
        <v>0</v>
      </c>
      <c r="H102" s="48"/>
      <c r="K102" s="70">
        <f>_xlfn.IFNA(MATCH(J102,'Dist Cust Factors'!$B$12:$B$447,0),0)</f>
        <v>0</v>
      </c>
      <c r="L102" s="48">
        <f t="shared" ref="L102:L103" ca="1" si="13">F102-H102</f>
        <v>0</v>
      </c>
      <c r="O102" s="70">
        <f>_xlfn.IFNA(MATCH(N102,'Dist Cust Factors'!$B$12:$B$451,0),0)</f>
        <v>0</v>
      </c>
      <c r="P102" s="76">
        <f ca="1">OFFSET('Dist Cust Factors'!$B$12,$O102-1,P$14)*$L102+OFFSET('Dist Cust Factors'!$B$12,$K102-1,P$14)*$H102</f>
        <v>0</v>
      </c>
      <c r="R102" s="76">
        <f ca="1">OFFSET('Dist Cust Factors'!$B$12,$O102-1,R$14)*$L102+OFFSET('Dist Cust Factors'!$B$12,$K102-1,R$14)*$H102</f>
        <v>0</v>
      </c>
      <c r="S102" s="76"/>
      <c r="T102" s="76">
        <f ca="1">OFFSET('Dist Cust Factors'!$B$12,$O102-1,T$14)*$L102+OFFSET('Dist Cust Factors'!$B$12,$K102-1,T$14)*$H102</f>
        <v>0</v>
      </c>
      <c r="U102" s="76"/>
      <c r="V102" s="37"/>
      <c r="X102" s="107"/>
    </row>
    <row r="103" spans="2:35" ht="13" x14ac:dyDescent="0.3">
      <c r="B103" s="18">
        <f>B102+1</f>
        <v>59</v>
      </c>
      <c r="C103" s="1"/>
      <c r="D103" s="1" t="s">
        <v>56</v>
      </c>
      <c r="F103" s="48">
        <f ca="1">'Distribution Class'!AF103</f>
        <v>6237.0982061801606</v>
      </c>
      <c r="H103" s="48"/>
      <c r="K103" s="70">
        <f>_xlfn.IFNA(MATCH(J103,'Dist Cust Factors'!$B$12:$B$447,0),0)</f>
        <v>0</v>
      </c>
      <c r="L103" s="48">
        <f t="shared" ca="1" si="13"/>
        <v>6237.0982061801606</v>
      </c>
      <c r="N103" s="2" t="s">
        <v>325</v>
      </c>
      <c r="O103" s="70">
        <f>_xlfn.IFNA(MATCH(N103,'Dist Cust Factors'!$B$12:$B$451,0),0)</f>
        <v>11</v>
      </c>
      <c r="P103" s="76">
        <f ca="1">OFFSET('Dist Cust Factors'!$B$12,$O103-1,P$14)*$L103+OFFSET('Dist Cust Factors'!$B$12,$K103-1,P$14)*$H103</f>
        <v>24.30436795705139</v>
      </c>
      <c r="R103" s="76">
        <f ca="1">OFFSET('Dist Cust Factors'!$B$12,$O103-1,R$14)*$L103+OFFSET('Dist Cust Factors'!$B$12,$K103-1,R$14)*$H103</f>
        <v>5774.2716519024671</v>
      </c>
      <c r="S103" s="76"/>
      <c r="T103" s="76">
        <f ca="1">OFFSET('Dist Cust Factors'!$B$12,$O103-1,T$14)*$L103+OFFSET('Dist Cust Factors'!$B$12,$K103-1,T$14)*$H103</f>
        <v>438.52218632064159</v>
      </c>
      <c r="U103" s="76"/>
      <c r="V103" s="37"/>
      <c r="X103" s="107"/>
    </row>
    <row r="104" spans="2:35" ht="13" x14ac:dyDescent="0.3">
      <c r="B104" s="18">
        <f>B103+1</f>
        <v>60</v>
      </c>
      <c r="C104" s="1"/>
      <c r="D104" s="1" t="s">
        <v>84</v>
      </c>
      <c r="F104" s="40">
        <f ca="1">F102+F103</f>
        <v>6237.0982061801606</v>
      </c>
      <c r="H104" s="40">
        <f>H102+H103</f>
        <v>0</v>
      </c>
      <c r="L104" s="40">
        <f ca="1">L102+L103</f>
        <v>6237.0982061801606</v>
      </c>
      <c r="P104" s="40">
        <f ca="1">P102+P103</f>
        <v>24.30436795705139</v>
      </c>
      <c r="R104" s="40">
        <f ca="1">R102+R103</f>
        <v>5774.2716519024671</v>
      </c>
      <c r="T104" s="40">
        <f ca="1">T102+T103</f>
        <v>438.52218632064159</v>
      </c>
      <c r="V104" s="48"/>
      <c r="X104" s="107"/>
    </row>
    <row r="105" spans="2:35" ht="13" x14ac:dyDescent="0.3">
      <c r="B105" s="18"/>
      <c r="C105" s="1"/>
      <c r="D105" s="1"/>
      <c r="X105" s="107"/>
    </row>
    <row r="106" spans="2:35" ht="13" x14ac:dyDescent="0.3">
      <c r="B106" s="18"/>
      <c r="C106" s="1"/>
      <c r="D106" s="6" t="s">
        <v>85</v>
      </c>
      <c r="F106" s="48"/>
      <c r="H106" s="48"/>
      <c r="L106" s="48"/>
      <c r="X106" s="107"/>
    </row>
    <row r="107" spans="2:35" ht="13" x14ac:dyDescent="0.3">
      <c r="B107" s="18"/>
      <c r="C107" s="1"/>
      <c r="D107" s="1"/>
      <c r="F107" s="48"/>
      <c r="H107" s="48"/>
      <c r="L107" s="48"/>
      <c r="X107" s="107"/>
    </row>
    <row r="108" spans="2:35" ht="13" x14ac:dyDescent="0.3">
      <c r="B108" s="18">
        <f>B104+1</f>
        <v>61</v>
      </c>
      <c r="C108" s="1"/>
      <c r="D108" s="1" t="s">
        <v>86</v>
      </c>
      <c r="F108" s="48">
        <f ca="1">'Distribution Class'!AF108</f>
        <v>352.05361510571487</v>
      </c>
      <c r="H108" s="48"/>
      <c r="K108" s="70">
        <f>_xlfn.IFNA(MATCH(J108,'Dist Cust Factors'!$B$12:$B$447,0),0)</f>
        <v>0</v>
      </c>
      <c r="L108" s="48">
        <f t="shared" ref="L108:L109" ca="1" si="14">F108-H108</f>
        <v>352.05361510571487</v>
      </c>
      <c r="N108" s="2" t="s">
        <v>325</v>
      </c>
      <c r="O108" s="70">
        <f>_xlfn.IFNA(MATCH(N108,'Dist Cust Factors'!$B$12:$B$451,0),0)</f>
        <v>11</v>
      </c>
      <c r="P108" s="76">
        <f ca="1">OFFSET('Dist Cust Factors'!$B$12,$O108-1,P$14)*$L108+OFFSET('Dist Cust Factors'!$B$12,$K108-1,P$14)*$H108</f>
        <v>1.3718624141048652</v>
      </c>
      <c r="R108" s="76">
        <f ca="1">OFFSET('Dist Cust Factors'!$B$12,$O108-1,R$14)*$L108+OFFSET('Dist Cust Factors'!$B$12,$K108-1,R$14)*$H108</f>
        <v>325.92932521736083</v>
      </c>
      <c r="S108" s="76"/>
      <c r="T108" s="76">
        <f ca="1">OFFSET('Dist Cust Factors'!$B$12,$O108-1,T$14)*$L108+OFFSET('Dist Cust Factors'!$B$12,$K108-1,T$14)*$H108</f>
        <v>24.752427474249124</v>
      </c>
      <c r="U108" s="76"/>
      <c r="V108" s="37"/>
      <c r="X108" s="107"/>
    </row>
    <row r="109" spans="2:35" ht="13" x14ac:dyDescent="0.3">
      <c r="B109" s="18">
        <f>B108+1</f>
        <v>62</v>
      </c>
      <c r="C109" s="1"/>
      <c r="D109" s="1" t="s">
        <v>88</v>
      </c>
      <c r="F109" s="48">
        <f ca="1">'Distribution Class'!AF109</f>
        <v>0</v>
      </c>
      <c r="H109" s="48"/>
      <c r="K109" s="70">
        <f>_xlfn.IFNA(MATCH(J109,'Dist Cust Factors'!$B$12:$B$447,0),0)</f>
        <v>0</v>
      </c>
      <c r="L109" s="48">
        <f t="shared" ca="1" si="14"/>
        <v>0</v>
      </c>
      <c r="O109" s="70">
        <f>_xlfn.IFNA(MATCH(N109,'Dist Cust Factors'!$B$12:$B$451,0),0)</f>
        <v>0</v>
      </c>
      <c r="P109" s="76">
        <f ca="1">OFFSET('Dist Cust Factors'!$B$12,$O109-1,P$14)*$L109+OFFSET('Dist Cust Factors'!$B$12,$K109-1,P$14)*$H109</f>
        <v>0</v>
      </c>
      <c r="R109" s="76">
        <f ca="1">OFFSET('Dist Cust Factors'!$B$12,$O109-1,R$14)*$L109+OFFSET('Dist Cust Factors'!$B$12,$K109-1,R$14)*$H109</f>
        <v>0</v>
      </c>
      <c r="S109" s="76"/>
      <c r="T109" s="76">
        <f ca="1">OFFSET('Dist Cust Factors'!$B$12,$O109-1,T$14)*$L109+OFFSET('Dist Cust Factors'!$B$12,$K109-1,T$14)*$H109</f>
        <v>0</v>
      </c>
      <c r="U109" s="76"/>
      <c r="V109" s="37"/>
      <c r="X109" s="107"/>
    </row>
    <row r="110" spans="2:35" ht="13" x14ac:dyDescent="0.3">
      <c r="B110" s="18">
        <f>B109+1</f>
        <v>63</v>
      </c>
      <c r="C110" s="1"/>
      <c r="D110" s="1" t="s">
        <v>90</v>
      </c>
      <c r="F110" s="40">
        <f ca="1">F108+F109</f>
        <v>352.05361510571487</v>
      </c>
      <c r="H110" s="40">
        <f>H108+H109</f>
        <v>0</v>
      </c>
      <c r="L110" s="40">
        <f ca="1">L108+L109</f>
        <v>352.05361510571487</v>
      </c>
      <c r="P110" s="40">
        <f ca="1">P108+P109</f>
        <v>1.3718624141048652</v>
      </c>
      <c r="R110" s="40">
        <f ca="1">R108+R109</f>
        <v>325.92932521736083</v>
      </c>
      <c r="T110" s="40">
        <f ca="1">T108+T109</f>
        <v>24.752427474249124</v>
      </c>
      <c r="V110" s="48"/>
      <c r="X110" s="107"/>
    </row>
    <row r="111" spans="2:35" ht="13" x14ac:dyDescent="0.3">
      <c r="B111" s="18"/>
      <c r="C111" s="1"/>
      <c r="D111" s="1"/>
      <c r="X111" s="107"/>
    </row>
    <row r="112" spans="2:35" ht="13" x14ac:dyDescent="0.3">
      <c r="B112" s="18"/>
      <c r="C112" s="1"/>
      <c r="D112" s="1"/>
      <c r="X112" s="107"/>
      <c r="AC112" s="2"/>
      <c r="AE112" s="2"/>
      <c r="AG112" s="2"/>
      <c r="AI112" s="2"/>
    </row>
    <row r="113" spans="2:36" ht="13" x14ac:dyDescent="0.3">
      <c r="B113" s="18"/>
      <c r="C113" s="1"/>
      <c r="D113" s="6" t="s">
        <v>91</v>
      </c>
      <c r="X113" s="107"/>
      <c r="Z113" s="2" t="s">
        <v>92</v>
      </c>
      <c r="AA113" s="2" t="s">
        <v>93</v>
      </c>
      <c r="AC113" s="2" t="s">
        <v>321</v>
      </c>
      <c r="AD113" s="2"/>
      <c r="AE113" s="2" t="s">
        <v>326</v>
      </c>
      <c r="AF113" s="2"/>
      <c r="AG113" s="2" t="s">
        <v>327</v>
      </c>
      <c r="AH113" s="2"/>
      <c r="AI113" s="2"/>
      <c r="AJ113" s="2"/>
    </row>
    <row r="114" spans="2:36" ht="13" x14ac:dyDescent="0.3">
      <c r="B114" s="18"/>
      <c r="C114" s="1"/>
      <c r="D114" s="1"/>
      <c r="X114" s="107"/>
      <c r="Z114" s="33" t="s">
        <v>94</v>
      </c>
      <c r="AA114" s="33" t="s">
        <v>95</v>
      </c>
      <c r="AC114" s="33" t="s">
        <v>322</v>
      </c>
      <c r="AD114" s="2"/>
      <c r="AE114" s="33" t="s">
        <v>328</v>
      </c>
      <c r="AF114" s="2"/>
      <c r="AG114" s="33" t="s">
        <v>328</v>
      </c>
      <c r="AH114" s="2"/>
      <c r="AI114" s="2"/>
      <c r="AJ114" s="2"/>
    </row>
    <row r="115" spans="2:36" ht="13" x14ac:dyDescent="0.3">
      <c r="B115" s="18"/>
      <c r="C115" s="1"/>
      <c r="D115" s="1" t="s">
        <v>17</v>
      </c>
      <c r="X115" s="107"/>
    </row>
    <row r="116" spans="2:36" ht="13" x14ac:dyDescent="0.3">
      <c r="B116" s="18">
        <f>B110+1</f>
        <v>64</v>
      </c>
      <c r="C116" s="1"/>
      <c r="D116" s="35" t="s">
        <v>97</v>
      </c>
      <c r="F116" s="48">
        <f ca="1">'Distribution Class'!AF116</f>
        <v>0</v>
      </c>
      <c r="H116" s="76"/>
      <c r="K116" s="70">
        <f>_xlfn.IFNA(MATCH(J116,'Dist Cust Factors'!$B$12:$B$447,0),0)</f>
        <v>0</v>
      </c>
      <c r="L116" s="48">
        <f t="shared" ref="L116:L122" ca="1" si="15">F116-H116</f>
        <v>0</v>
      </c>
      <c r="O116" s="70">
        <f>_xlfn.IFNA(MATCH(N116,'Dist Cust Factors'!$B$12:$B$451,0),0)</f>
        <v>0</v>
      </c>
      <c r="P116" s="76">
        <f ca="1">OFFSET('Dist Cust Factors'!$B$12,$O116-1,P$14)*$L116+OFFSET('Dist Cust Factors'!$B$12,$K116-1,P$14)*$H116</f>
        <v>0</v>
      </c>
      <c r="R116" s="76">
        <f ca="1">OFFSET('Dist Cust Factors'!$B$12,$O116-1,R$14)*$L116+OFFSET('Dist Cust Factors'!$B$12,$K116-1,R$14)*$H116</f>
        <v>0</v>
      </c>
      <c r="S116" s="76"/>
      <c r="T116" s="76">
        <f ca="1">OFFSET('Dist Cust Factors'!$B$12,$O116-1,T$14)*$L116+OFFSET('Dist Cust Factors'!$B$12,$K116-1,T$14)*$H116</f>
        <v>0</v>
      </c>
      <c r="U116" s="76"/>
      <c r="V116" s="37"/>
      <c r="X116" s="107"/>
      <c r="Z116" s="89">
        <f ca="1">'Distribution Class'!BH116</f>
        <v>0</v>
      </c>
      <c r="AA116" s="96">
        <f t="shared" ref="AA116:AA122" ca="1" si="16">IFERROR(Z116/F116,0)</f>
        <v>0</v>
      </c>
      <c r="AC116" s="48">
        <f t="shared" ref="AC116:AC160" ca="1" si="17">$AA116*P116</f>
        <v>0</v>
      </c>
      <c r="AE116" s="48">
        <f t="shared" ref="AE116:AE160" ca="1" si="18">$AA116*R116</f>
        <v>0</v>
      </c>
      <c r="AG116" s="48">
        <f t="shared" ref="AG116:AG159" ca="1" si="19">$AA116*T116</f>
        <v>0</v>
      </c>
      <c r="AI116" s="48"/>
    </row>
    <row r="117" spans="2:36" ht="13" x14ac:dyDescent="0.3">
      <c r="B117" s="18">
        <f t="shared" ref="B117:B122" si="20">B116+1</f>
        <v>65</v>
      </c>
      <c r="C117" s="1"/>
      <c r="D117" s="35" t="s">
        <v>99</v>
      </c>
      <c r="F117" s="48">
        <f ca="1">'Distribution Class'!AF117</f>
        <v>0</v>
      </c>
      <c r="H117" s="76"/>
      <c r="K117" s="70">
        <f>_xlfn.IFNA(MATCH(J117,'Dist Cust Factors'!$B$12:$B$447,0),0)</f>
        <v>0</v>
      </c>
      <c r="L117" s="48">
        <f t="shared" ca="1" si="15"/>
        <v>0</v>
      </c>
      <c r="O117" s="70">
        <f>_xlfn.IFNA(MATCH(N117,'Dist Cust Factors'!$B$12:$B$451,0),0)</f>
        <v>0</v>
      </c>
      <c r="P117" s="76">
        <f ca="1">OFFSET('Dist Cust Factors'!$B$12,$O117-1,P$14)*$L117+OFFSET('Dist Cust Factors'!$B$12,$K117-1,P$14)*$H117</f>
        <v>0</v>
      </c>
      <c r="R117" s="76">
        <f ca="1">OFFSET('Dist Cust Factors'!$B$12,$O117-1,R$14)*$L117+OFFSET('Dist Cust Factors'!$B$12,$K117-1,R$14)*$H117</f>
        <v>0</v>
      </c>
      <c r="S117" s="76"/>
      <c r="T117" s="76">
        <f ca="1">OFFSET('Dist Cust Factors'!$B$12,$O117-1,T$14)*$L117+OFFSET('Dist Cust Factors'!$B$12,$K117-1,T$14)*$H117</f>
        <v>0</v>
      </c>
      <c r="U117" s="76"/>
      <c r="V117" s="37"/>
      <c r="X117" s="107"/>
      <c r="Z117" s="89">
        <f ca="1">'Distribution Class'!BH117</f>
        <v>0</v>
      </c>
      <c r="AA117" s="96">
        <f t="shared" ca="1" si="16"/>
        <v>0</v>
      </c>
      <c r="AC117" s="48">
        <f t="shared" ca="1" si="17"/>
        <v>0</v>
      </c>
      <c r="AE117" s="48">
        <f t="shared" ca="1" si="18"/>
        <v>0</v>
      </c>
      <c r="AG117" s="48">
        <f t="shared" ca="1" si="19"/>
        <v>0</v>
      </c>
      <c r="AI117" s="48"/>
    </row>
    <row r="118" spans="2:36" ht="13" x14ac:dyDescent="0.3">
      <c r="B118" s="18">
        <f t="shared" si="20"/>
        <v>66</v>
      </c>
      <c r="C118" s="1"/>
      <c r="D118" s="35" t="s">
        <v>101</v>
      </c>
      <c r="F118" s="48">
        <f ca="1">'Distribution Class'!AF118</f>
        <v>0</v>
      </c>
      <c r="H118" s="76"/>
      <c r="K118" s="70">
        <f>_xlfn.IFNA(MATCH(J118,'Dist Cust Factors'!$B$12:$B$447,0),0)</f>
        <v>0</v>
      </c>
      <c r="L118" s="48">
        <f t="shared" ca="1" si="15"/>
        <v>0</v>
      </c>
      <c r="O118" s="70">
        <f>_xlfn.IFNA(MATCH(N118,'Dist Cust Factors'!$B$12:$B$451,0),0)</f>
        <v>0</v>
      </c>
      <c r="P118" s="76">
        <f ca="1">OFFSET('Dist Cust Factors'!$B$12,$O118-1,P$14)*$L118+OFFSET('Dist Cust Factors'!$B$12,$K118-1,P$14)*$H118</f>
        <v>0</v>
      </c>
      <c r="R118" s="76">
        <f ca="1">OFFSET('Dist Cust Factors'!$B$12,$O118-1,R$14)*$L118+OFFSET('Dist Cust Factors'!$B$12,$K118-1,R$14)*$H118</f>
        <v>0</v>
      </c>
      <c r="S118" s="76"/>
      <c r="T118" s="76">
        <f ca="1">OFFSET('Dist Cust Factors'!$B$12,$O118-1,T$14)*$L118+OFFSET('Dist Cust Factors'!$B$12,$K118-1,T$14)*$H118</f>
        <v>0</v>
      </c>
      <c r="U118" s="76"/>
      <c r="V118" s="37"/>
      <c r="X118" s="107"/>
      <c r="Z118" s="89">
        <f ca="1">'Distribution Class'!BH118</f>
        <v>0</v>
      </c>
      <c r="AA118" s="96">
        <f t="shared" ca="1" si="16"/>
        <v>0</v>
      </c>
      <c r="AC118" s="48">
        <f t="shared" ca="1" si="17"/>
        <v>0</v>
      </c>
      <c r="AE118" s="48">
        <f t="shared" ca="1" si="18"/>
        <v>0</v>
      </c>
      <c r="AG118" s="48">
        <f t="shared" ca="1" si="19"/>
        <v>0</v>
      </c>
      <c r="AI118" s="48"/>
    </row>
    <row r="119" spans="2:36" ht="13" x14ac:dyDescent="0.3">
      <c r="B119" s="18">
        <f t="shared" si="20"/>
        <v>67</v>
      </c>
      <c r="C119" s="1"/>
      <c r="D119" s="35" t="s">
        <v>103</v>
      </c>
      <c r="F119" s="48">
        <f ca="1">'Distribution Class'!AF119</f>
        <v>0</v>
      </c>
      <c r="H119" s="76"/>
      <c r="K119" s="70">
        <f>_xlfn.IFNA(MATCH(J119,'Dist Cust Factors'!$B$12:$B$447,0),0)</f>
        <v>0</v>
      </c>
      <c r="L119" s="48">
        <f t="shared" ca="1" si="15"/>
        <v>0</v>
      </c>
      <c r="O119" s="70">
        <f>_xlfn.IFNA(MATCH(N119,'Dist Cust Factors'!$B$12:$B$451,0),0)</f>
        <v>0</v>
      </c>
      <c r="P119" s="76">
        <f ca="1">OFFSET('Dist Cust Factors'!$B$12,$O119-1,P$14)*$L119+OFFSET('Dist Cust Factors'!$B$12,$K119-1,P$14)*$H119</f>
        <v>0</v>
      </c>
      <c r="R119" s="76">
        <f ca="1">OFFSET('Dist Cust Factors'!$B$12,$O119-1,R$14)*$L119+OFFSET('Dist Cust Factors'!$B$12,$K119-1,R$14)*$H119</f>
        <v>0</v>
      </c>
      <c r="S119" s="76"/>
      <c r="T119" s="76">
        <f ca="1">OFFSET('Dist Cust Factors'!$B$12,$O119-1,T$14)*$L119+OFFSET('Dist Cust Factors'!$B$12,$K119-1,T$14)*$H119</f>
        <v>0</v>
      </c>
      <c r="U119" s="76"/>
      <c r="V119" s="37"/>
      <c r="X119" s="107"/>
      <c r="Z119" s="89">
        <f ca="1">'Distribution Class'!BH119</f>
        <v>0</v>
      </c>
      <c r="AA119" s="96">
        <f t="shared" ca="1" si="16"/>
        <v>0</v>
      </c>
      <c r="AC119" s="48">
        <f t="shared" ca="1" si="17"/>
        <v>0</v>
      </c>
      <c r="AE119" s="48">
        <f t="shared" ca="1" si="18"/>
        <v>0</v>
      </c>
      <c r="AG119" s="48">
        <f t="shared" ca="1" si="19"/>
        <v>0</v>
      </c>
      <c r="AI119" s="48"/>
    </row>
    <row r="120" spans="2:36" ht="13" x14ac:dyDescent="0.3">
      <c r="B120" s="18">
        <f t="shared" si="20"/>
        <v>68</v>
      </c>
      <c r="C120" s="1"/>
      <c r="D120" s="35" t="s">
        <v>105</v>
      </c>
      <c r="F120" s="48">
        <f ca="1">'Distribution Class'!AF120</f>
        <v>0</v>
      </c>
      <c r="H120" s="76"/>
      <c r="K120" s="70">
        <f>_xlfn.IFNA(MATCH(J120,'Dist Cust Factors'!$B$12:$B$447,0),0)</f>
        <v>0</v>
      </c>
      <c r="L120" s="48">
        <f t="shared" ca="1" si="15"/>
        <v>0</v>
      </c>
      <c r="O120" s="70">
        <f>_xlfn.IFNA(MATCH(N120,'Dist Cust Factors'!$B$12:$B$451,0),0)</f>
        <v>0</v>
      </c>
      <c r="P120" s="76">
        <f ca="1">OFFSET('Dist Cust Factors'!$B$12,$O120-1,P$14)*$L120+OFFSET('Dist Cust Factors'!$B$12,$K120-1,P$14)*$H120</f>
        <v>0</v>
      </c>
      <c r="R120" s="76">
        <f ca="1">OFFSET('Dist Cust Factors'!$B$12,$O120-1,R$14)*$L120+OFFSET('Dist Cust Factors'!$B$12,$K120-1,R$14)*$H120</f>
        <v>0</v>
      </c>
      <c r="S120" s="76"/>
      <c r="T120" s="76">
        <f ca="1">OFFSET('Dist Cust Factors'!$B$12,$O120-1,T$14)*$L120+OFFSET('Dist Cust Factors'!$B$12,$K120-1,T$14)*$H120</f>
        <v>0</v>
      </c>
      <c r="U120" s="76"/>
      <c r="V120" s="37"/>
      <c r="X120" s="107"/>
      <c r="Z120" s="89">
        <f ca="1">'Distribution Class'!BH120</f>
        <v>0</v>
      </c>
      <c r="AA120" s="96">
        <f t="shared" ca="1" si="16"/>
        <v>0</v>
      </c>
      <c r="AC120" s="48">
        <f t="shared" ca="1" si="17"/>
        <v>0</v>
      </c>
      <c r="AE120" s="48">
        <f t="shared" ca="1" si="18"/>
        <v>0</v>
      </c>
      <c r="AG120" s="48">
        <f t="shared" ca="1" si="19"/>
        <v>0</v>
      </c>
      <c r="AI120" s="48"/>
    </row>
    <row r="121" spans="2:36" ht="13" x14ac:dyDescent="0.3">
      <c r="B121" s="18">
        <f t="shared" si="20"/>
        <v>69</v>
      </c>
      <c r="C121" s="1"/>
      <c r="D121" s="35" t="s">
        <v>106</v>
      </c>
      <c r="F121" s="48">
        <f ca="1">'Distribution Class'!AF121</f>
        <v>0</v>
      </c>
      <c r="H121" s="76"/>
      <c r="K121" s="70">
        <f>_xlfn.IFNA(MATCH(J121,'Dist Cust Factors'!$B$12:$B$447,0),0)</f>
        <v>0</v>
      </c>
      <c r="L121" s="48">
        <f t="shared" ca="1" si="15"/>
        <v>0</v>
      </c>
      <c r="O121" s="70">
        <f>_xlfn.IFNA(MATCH(N121,'Dist Cust Factors'!$B$12:$B$451,0),0)</f>
        <v>0</v>
      </c>
      <c r="P121" s="76">
        <f ca="1">OFFSET('Dist Cust Factors'!$B$12,$O121-1,P$14)*$L121+OFFSET('Dist Cust Factors'!$B$12,$K121-1,P$14)*$H121</f>
        <v>0</v>
      </c>
      <c r="R121" s="76">
        <f ca="1">OFFSET('Dist Cust Factors'!$B$12,$O121-1,R$14)*$L121+OFFSET('Dist Cust Factors'!$B$12,$K121-1,R$14)*$H121</f>
        <v>0</v>
      </c>
      <c r="S121" s="76"/>
      <c r="T121" s="76">
        <f ca="1">OFFSET('Dist Cust Factors'!$B$12,$O121-1,T$14)*$L121+OFFSET('Dist Cust Factors'!$B$12,$K121-1,T$14)*$H121</f>
        <v>0</v>
      </c>
      <c r="U121" s="76"/>
      <c r="V121" s="37"/>
      <c r="X121" s="107"/>
      <c r="Z121" s="89">
        <f ca="1">'Distribution Class'!BH121</f>
        <v>0</v>
      </c>
      <c r="AA121" s="96">
        <f t="shared" ca="1" si="16"/>
        <v>0</v>
      </c>
      <c r="AC121" s="48">
        <f t="shared" ca="1" si="17"/>
        <v>0</v>
      </c>
      <c r="AE121" s="48">
        <f t="shared" ca="1" si="18"/>
        <v>0</v>
      </c>
      <c r="AG121" s="48">
        <f t="shared" ca="1" si="19"/>
        <v>0</v>
      </c>
      <c r="AI121" s="48"/>
    </row>
    <row r="122" spans="2:36" ht="13" x14ac:dyDescent="0.3">
      <c r="B122" s="18">
        <f t="shared" si="20"/>
        <v>70</v>
      </c>
      <c r="C122" s="1"/>
      <c r="D122" s="35" t="s">
        <v>108</v>
      </c>
      <c r="F122" s="48">
        <f ca="1">'Distribution Class'!AF122</f>
        <v>0</v>
      </c>
      <c r="H122" s="76"/>
      <c r="K122" s="70">
        <f>_xlfn.IFNA(MATCH(J122,'Dist Cust Factors'!$B$12:$B$447,0),0)</f>
        <v>0</v>
      </c>
      <c r="L122" s="48">
        <f t="shared" ca="1" si="15"/>
        <v>0</v>
      </c>
      <c r="O122" s="70">
        <f>_xlfn.IFNA(MATCH(N122,'Dist Cust Factors'!$B$12:$B$451,0),0)</f>
        <v>0</v>
      </c>
      <c r="P122" s="76">
        <f ca="1">OFFSET('Dist Cust Factors'!$B$12,$O122-1,P$14)*$L122+OFFSET('Dist Cust Factors'!$B$12,$K122-1,P$14)*$H122</f>
        <v>0</v>
      </c>
      <c r="R122" s="76">
        <f ca="1">OFFSET('Dist Cust Factors'!$B$12,$O122-1,R$14)*$L122+OFFSET('Dist Cust Factors'!$B$12,$K122-1,R$14)*$H122</f>
        <v>0</v>
      </c>
      <c r="S122" s="76"/>
      <c r="T122" s="76">
        <f ca="1">OFFSET('Dist Cust Factors'!$B$12,$O122-1,T$14)*$L122+OFFSET('Dist Cust Factors'!$B$12,$K122-1,T$14)*$H122</f>
        <v>0</v>
      </c>
      <c r="U122" s="76"/>
      <c r="V122" s="37"/>
      <c r="X122" s="107"/>
      <c r="Z122" s="89">
        <f ca="1">'Distribution Class'!BH122</f>
        <v>0</v>
      </c>
      <c r="AA122" s="96">
        <f t="shared" ca="1" si="16"/>
        <v>0</v>
      </c>
      <c r="AC122" s="48">
        <f t="shared" ca="1" si="17"/>
        <v>0</v>
      </c>
      <c r="AE122" s="48">
        <f t="shared" ca="1" si="18"/>
        <v>0</v>
      </c>
      <c r="AG122" s="48">
        <f t="shared" ca="1" si="19"/>
        <v>0</v>
      </c>
      <c r="AI122" s="48"/>
    </row>
    <row r="123" spans="2:36" ht="13" x14ac:dyDescent="0.3">
      <c r="B123" s="18"/>
      <c r="C123" s="1"/>
      <c r="D123" s="1" t="s">
        <v>18</v>
      </c>
      <c r="X123" s="107"/>
      <c r="AC123" s="48">
        <f t="shared" si="17"/>
        <v>0</v>
      </c>
      <c r="AE123" s="48">
        <f t="shared" si="18"/>
        <v>0</v>
      </c>
      <c r="AG123" s="48">
        <f t="shared" si="19"/>
        <v>0</v>
      </c>
      <c r="AI123" s="48"/>
    </row>
    <row r="124" spans="2:36" ht="13" x14ac:dyDescent="0.3">
      <c r="B124" s="18">
        <f>B122+1</f>
        <v>71</v>
      </c>
      <c r="C124" s="1"/>
      <c r="D124" s="35" t="s">
        <v>110</v>
      </c>
      <c r="F124" s="48">
        <f ca="1">'Distribution Class'!AF124</f>
        <v>0</v>
      </c>
      <c r="H124" s="76"/>
      <c r="K124" s="70">
        <f>_xlfn.IFNA(MATCH(J124,'Dist Cust Factors'!$B$12:$B$447,0),0)</f>
        <v>0</v>
      </c>
      <c r="L124" s="48">
        <f t="shared" ref="L124:L131" ca="1" si="21">F124-H124</f>
        <v>0</v>
      </c>
      <c r="O124" s="70">
        <f>_xlfn.IFNA(MATCH(N124,'Dist Cust Factors'!$B$12:$B$451,0),0)</f>
        <v>0</v>
      </c>
      <c r="P124" s="76">
        <f ca="1">OFFSET('Dist Cust Factors'!$B$12,$O124-1,P$14)*$L124+OFFSET('Dist Cust Factors'!$B$12,$K124-1,P$14)*$H124</f>
        <v>0</v>
      </c>
      <c r="R124" s="76">
        <f ca="1">OFFSET('Dist Cust Factors'!$B$12,$O124-1,R$14)*$L124+OFFSET('Dist Cust Factors'!$B$12,$K124-1,R$14)*$H124</f>
        <v>0</v>
      </c>
      <c r="S124" s="76"/>
      <c r="T124" s="76">
        <f ca="1">OFFSET('Dist Cust Factors'!$B$12,$O124-1,T$14)*$L124+OFFSET('Dist Cust Factors'!$B$12,$K124-1,T$14)*$H124</f>
        <v>0</v>
      </c>
      <c r="U124" s="76"/>
      <c r="V124" s="37"/>
      <c r="X124" s="107"/>
      <c r="Z124" s="89">
        <f ca="1">'Distribution Class'!BH124</f>
        <v>0</v>
      </c>
      <c r="AA124" s="96">
        <f t="shared" ref="AA124:AA131" ca="1" si="22">IFERROR(Z124/F124,0)</f>
        <v>0</v>
      </c>
      <c r="AC124" s="48">
        <f t="shared" ca="1" si="17"/>
        <v>0</v>
      </c>
      <c r="AE124" s="48">
        <f t="shared" ca="1" si="18"/>
        <v>0</v>
      </c>
      <c r="AG124" s="48">
        <f t="shared" ca="1" si="19"/>
        <v>0</v>
      </c>
      <c r="AI124" s="48"/>
    </row>
    <row r="125" spans="2:36" ht="13" x14ac:dyDescent="0.3">
      <c r="B125" s="18">
        <f t="shared" ref="B125:B131" si="23">B124+1</f>
        <v>72</v>
      </c>
      <c r="C125" s="1"/>
      <c r="D125" s="35" t="s">
        <v>111</v>
      </c>
      <c r="F125" s="48">
        <f ca="1">'Distribution Class'!AF125</f>
        <v>0</v>
      </c>
      <c r="H125" s="76"/>
      <c r="K125" s="70">
        <f>_xlfn.IFNA(MATCH(J125,'Dist Cust Factors'!$B$12:$B$447,0),0)</f>
        <v>0</v>
      </c>
      <c r="L125" s="48">
        <f t="shared" ca="1" si="21"/>
        <v>0</v>
      </c>
      <c r="O125" s="70">
        <f>_xlfn.IFNA(MATCH(N125,'Dist Cust Factors'!$B$12:$B$451,0),0)</f>
        <v>0</v>
      </c>
      <c r="P125" s="76">
        <f ca="1">OFFSET('Dist Cust Factors'!$B$12,$O125-1,P$14)*$L125+OFFSET('Dist Cust Factors'!$B$12,$K125-1,P$14)*$H125</f>
        <v>0</v>
      </c>
      <c r="R125" s="76">
        <f ca="1">OFFSET('Dist Cust Factors'!$B$12,$O125-1,R$14)*$L125+OFFSET('Dist Cust Factors'!$B$12,$K125-1,R$14)*$H125</f>
        <v>0</v>
      </c>
      <c r="S125" s="76"/>
      <c r="T125" s="76">
        <f ca="1">OFFSET('Dist Cust Factors'!$B$12,$O125-1,T$14)*$L125+OFFSET('Dist Cust Factors'!$B$12,$K125-1,T$14)*$H125</f>
        <v>0</v>
      </c>
      <c r="U125" s="76"/>
      <c r="V125" s="37"/>
      <c r="X125" s="107"/>
      <c r="Z125" s="89">
        <f ca="1">'Distribution Class'!BH125</f>
        <v>0</v>
      </c>
      <c r="AA125" s="96">
        <f t="shared" ca="1" si="22"/>
        <v>0</v>
      </c>
      <c r="AC125" s="48">
        <f t="shared" ca="1" si="17"/>
        <v>0</v>
      </c>
      <c r="AE125" s="48">
        <f t="shared" ca="1" si="18"/>
        <v>0</v>
      </c>
      <c r="AG125" s="48">
        <f t="shared" ca="1" si="19"/>
        <v>0</v>
      </c>
      <c r="AI125" s="48"/>
    </row>
    <row r="126" spans="2:36" ht="13" x14ac:dyDescent="0.3">
      <c r="B126" s="18">
        <f t="shared" si="23"/>
        <v>73</v>
      </c>
      <c r="C126" s="1"/>
      <c r="D126" s="35" t="s">
        <v>113</v>
      </c>
      <c r="F126" s="48">
        <f ca="1">'Distribution Class'!AF126</f>
        <v>0</v>
      </c>
      <c r="H126" s="76"/>
      <c r="K126" s="70">
        <f>_xlfn.IFNA(MATCH(J126,'Dist Cust Factors'!$B$12:$B$447,0),0)</f>
        <v>0</v>
      </c>
      <c r="L126" s="48">
        <f t="shared" ca="1" si="21"/>
        <v>0</v>
      </c>
      <c r="O126" s="70">
        <f>_xlfn.IFNA(MATCH(N126,'Dist Cust Factors'!$B$12:$B$451,0),0)</f>
        <v>0</v>
      </c>
      <c r="P126" s="76">
        <f ca="1">OFFSET('Dist Cust Factors'!$B$12,$O126-1,P$14)*$L126+OFFSET('Dist Cust Factors'!$B$12,$K126-1,P$14)*$H126</f>
        <v>0</v>
      </c>
      <c r="R126" s="76">
        <f ca="1">OFFSET('Dist Cust Factors'!$B$12,$O126-1,R$14)*$L126+OFFSET('Dist Cust Factors'!$B$12,$K126-1,R$14)*$H126</f>
        <v>0</v>
      </c>
      <c r="S126" s="76"/>
      <c r="T126" s="76">
        <f ca="1">OFFSET('Dist Cust Factors'!$B$12,$O126-1,T$14)*$L126+OFFSET('Dist Cust Factors'!$B$12,$K126-1,T$14)*$H126</f>
        <v>0</v>
      </c>
      <c r="U126" s="76"/>
      <c r="V126" s="37"/>
      <c r="X126" s="107"/>
      <c r="Z126" s="89">
        <f ca="1">'Distribution Class'!BH126</f>
        <v>0</v>
      </c>
      <c r="AA126" s="96">
        <f t="shared" ca="1" si="22"/>
        <v>0</v>
      </c>
      <c r="AC126" s="48">
        <f t="shared" ca="1" si="17"/>
        <v>0</v>
      </c>
      <c r="AE126" s="48">
        <f t="shared" ca="1" si="18"/>
        <v>0</v>
      </c>
      <c r="AG126" s="48">
        <f t="shared" ca="1" si="19"/>
        <v>0</v>
      </c>
      <c r="AI126" s="48"/>
    </row>
    <row r="127" spans="2:36" ht="13" x14ac:dyDescent="0.3">
      <c r="B127" s="18">
        <f t="shared" si="23"/>
        <v>74</v>
      </c>
      <c r="C127" s="1"/>
      <c r="D127" s="35" t="s">
        <v>114</v>
      </c>
      <c r="F127" s="48">
        <f ca="1">'Distribution Class'!AF127</f>
        <v>0</v>
      </c>
      <c r="H127" s="76"/>
      <c r="K127" s="70">
        <f>_xlfn.IFNA(MATCH(J127,'Dist Cust Factors'!$B$12:$B$447,0),0)</f>
        <v>0</v>
      </c>
      <c r="L127" s="48">
        <f t="shared" ca="1" si="21"/>
        <v>0</v>
      </c>
      <c r="O127" s="70">
        <f>_xlfn.IFNA(MATCH(N127,'Dist Cust Factors'!$B$12:$B$451,0),0)</f>
        <v>0</v>
      </c>
      <c r="P127" s="76">
        <f ca="1">OFFSET('Dist Cust Factors'!$B$12,$O127-1,P$14)*$L127+OFFSET('Dist Cust Factors'!$B$12,$K127-1,P$14)*$H127</f>
        <v>0</v>
      </c>
      <c r="R127" s="76">
        <f ca="1">OFFSET('Dist Cust Factors'!$B$12,$O127-1,R$14)*$L127+OFFSET('Dist Cust Factors'!$B$12,$K127-1,R$14)*$H127</f>
        <v>0</v>
      </c>
      <c r="S127" s="76"/>
      <c r="T127" s="76">
        <f ca="1">OFFSET('Dist Cust Factors'!$B$12,$O127-1,T$14)*$L127+OFFSET('Dist Cust Factors'!$B$12,$K127-1,T$14)*$H127</f>
        <v>0</v>
      </c>
      <c r="U127" s="76"/>
      <c r="V127" s="37"/>
      <c r="X127" s="107"/>
      <c r="Z127" s="89">
        <f ca="1">'Distribution Class'!BH127</f>
        <v>0</v>
      </c>
      <c r="AA127" s="96">
        <f t="shared" ca="1" si="22"/>
        <v>0</v>
      </c>
      <c r="AC127" s="48">
        <f t="shared" ca="1" si="17"/>
        <v>0</v>
      </c>
      <c r="AE127" s="48">
        <f t="shared" ca="1" si="18"/>
        <v>0</v>
      </c>
      <c r="AG127" s="48">
        <f t="shared" ca="1" si="19"/>
        <v>0</v>
      </c>
      <c r="AI127" s="48"/>
    </row>
    <row r="128" spans="2:36" ht="13" x14ac:dyDescent="0.3">
      <c r="B128" s="18">
        <f t="shared" si="23"/>
        <v>75</v>
      </c>
      <c r="C128" s="1"/>
      <c r="D128" s="35" t="s">
        <v>39</v>
      </c>
      <c r="F128" s="48">
        <f ca="1">'Distribution Class'!AF128</f>
        <v>0</v>
      </c>
      <c r="H128" s="76"/>
      <c r="K128" s="70">
        <f>_xlfn.IFNA(MATCH(J128,'Dist Cust Factors'!$B$12:$B$447,0),0)</f>
        <v>0</v>
      </c>
      <c r="L128" s="48">
        <f t="shared" ca="1" si="21"/>
        <v>0</v>
      </c>
      <c r="O128" s="70">
        <f>_xlfn.IFNA(MATCH(N128,'Dist Cust Factors'!$B$12:$B$451,0),0)</f>
        <v>0</v>
      </c>
      <c r="P128" s="76">
        <f ca="1">OFFSET('Dist Cust Factors'!$B$12,$O128-1,P$14)*$L128+OFFSET('Dist Cust Factors'!$B$12,$K128-1,P$14)*$H128</f>
        <v>0</v>
      </c>
      <c r="R128" s="76">
        <f ca="1">OFFSET('Dist Cust Factors'!$B$12,$O128-1,R$14)*$L128+OFFSET('Dist Cust Factors'!$B$12,$K128-1,R$14)*$H128</f>
        <v>0</v>
      </c>
      <c r="S128" s="76"/>
      <c r="T128" s="76">
        <f ca="1">OFFSET('Dist Cust Factors'!$B$12,$O128-1,T$14)*$L128+OFFSET('Dist Cust Factors'!$B$12,$K128-1,T$14)*$H128</f>
        <v>0</v>
      </c>
      <c r="U128" s="76"/>
      <c r="V128" s="37"/>
      <c r="X128" s="107"/>
      <c r="Z128" s="89">
        <f ca="1">'Distribution Class'!BH128</f>
        <v>0</v>
      </c>
      <c r="AA128" s="96">
        <f t="shared" ca="1" si="22"/>
        <v>0</v>
      </c>
      <c r="AC128" s="48">
        <f t="shared" ca="1" si="17"/>
        <v>0</v>
      </c>
      <c r="AE128" s="48">
        <f t="shared" ca="1" si="18"/>
        <v>0</v>
      </c>
      <c r="AG128" s="48">
        <f t="shared" ca="1" si="19"/>
        <v>0</v>
      </c>
      <c r="AI128" s="48"/>
    </row>
    <row r="129" spans="2:35" ht="13" x14ac:dyDescent="0.3">
      <c r="B129" s="18">
        <f t="shared" si="23"/>
        <v>76</v>
      </c>
      <c r="C129" s="1"/>
      <c r="D129" s="35" t="s">
        <v>116</v>
      </c>
      <c r="F129" s="48">
        <f ca="1">'Distribution Class'!AF129</f>
        <v>0</v>
      </c>
      <c r="H129" s="76"/>
      <c r="K129" s="70">
        <f>_xlfn.IFNA(MATCH(J129,'Dist Cust Factors'!$B$12:$B$447,0),0)</f>
        <v>0</v>
      </c>
      <c r="L129" s="48">
        <f t="shared" ca="1" si="21"/>
        <v>0</v>
      </c>
      <c r="O129" s="70">
        <f>_xlfn.IFNA(MATCH(N129,'Dist Cust Factors'!$B$12:$B$451,0),0)</f>
        <v>0</v>
      </c>
      <c r="P129" s="76">
        <f ca="1">OFFSET('Dist Cust Factors'!$B$12,$O129-1,P$14)*$L129+OFFSET('Dist Cust Factors'!$B$12,$K129-1,P$14)*$H129</f>
        <v>0</v>
      </c>
      <c r="R129" s="76">
        <f ca="1">OFFSET('Dist Cust Factors'!$B$12,$O129-1,R$14)*$L129+OFFSET('Dist Cust Factors'!$B$12,$K129-1,R$14)*$H129</f>
        <v>0</v>
      </c>
      <c r="S129" s="76"/>
      <c r="T129" s="76">
        <f ca="1">OFFSET('Dist Cust Factors'!$B$12,$O129-1,T$14)*$L129+OFFSET('Dist Cust Factors'!$B$12,$K129-1,T$14)*$H129</f>
        <v>0</v>
      </c>
      <c r="U129" s="76"/>
      <c r="V129" s="37"/>
      <c r="X129" s="107"/>
      <c r="Z129" s="89">
        <f ca="1">'Distribution Class'!BH129</f>
        <v>0</v>
      </c>
      <c r="AA129" s="96">
        <f t="shared" ca="1" si="22"/>
        <v>0</v>
      </c>
      <c r="AC129" s="48">
        <f t="shared" ca="1" si="17"/>
        <v>0</v>
      </c>
      <c r="AE129" s="48">
        <f t="shared" ca="1" si="18"/>
        <v>0</v>
      </c>
      <c r="AG129" s="48">
        <f t="shared" ca="1" si="19"/>
        <v>0</v>
      </c>
      <c r="AI129" s="48"/>
    </row>
    <row r="130" spans="2:35" ht="13" x14ac:dyDescent="0.3">
      <c r="B130" s="18">
        <f t="shared" si="23"/>
        <v>77</v>
      </c>
      <c r="C130" s="1"/>
      <c r="D130" s="35" t="s">
        <v>117</v>
      </c>
      <c r="F130" s="48">
        <f ca="1">'Distribution Class'!AF130</f>
        <v>0</v>
      </c>
      <c r="H130" s="76"/>
      <c r="K130" s="70">
        <f>_xlfn.IFNA(MATCH(J130,'Dist Cust Factors'!$B$12:$B$447,0),0)</f>
        <v>0</v>
      </c>
      <c r="L130" s="48">
        <f t="shared" ca="1" si="21"/>
        <v>0</v>
      </c>
      <c r="O130" s="70">
        <f>_xlfn.IFNA(MATCH(N130,'Dist Cust Factors'!$B$12:$B$451,0),0)</f>
        <v>0</v>
      </c>
      <c r="P130" s="76">
        <f ca="1">OFFSET('Dist Cust Factors'!$B$12,$O130-1,P$14)*$L130+OFFSET('Dist Cust Factors'!$B$12,$K130-1,P$14)*$H130</f>
        <v>0</v>
      </c>
      <c r="R130" s="76">
        <f ca="1">OFFSET('Dist Cust Factors'!$B$12,$O130-1,R$14)*$L130+OFFSET('Dist Cust Factors'!$B$12,$K130-1,R$14)*$H130</f>
        <v>0</v>
      </c>
      <c r="S130" s="76"/>
      <c r="T130" s="76">
        <f ca="1">OFFSET('Dist Cust Factors'!$B$12,$O130-1,T$14)*$L130+OFFSET('Dist Cust Factors'!$B$12,$K130-1,T$14)*$H130</f>
        <v>0</v>
      </c>
      <c r="U130" s="76"/>
      <c r="V130" s="37"/>
      <c r="X130" s="107"/>
      <c r="Z130" s="89">
        <f ca="1">'Distribution Class'!BH130</f>
        <v>0</v>
      </c>
      <c r="AA130" s="96">
        <f t="shared" ca="1" si="22"/>
        <v>0</v>
      </c>
      <c r="AC130" s="48">
        <f t="shared" ca="1" si="17"/>
        <v>0</v>
      </c>
      <c r="AE130" s="48">
        <f t="shared" ca="1" si="18"/>
        <v>0</v>
      </c>
      <c r="AG130" s="48">
        <f t="shared" ca="1" si="19"/>
        <v>0</v>
      </c>
      <c r="AI130" s="48"/>
    </row>
    <row r="131" spans="2:35" ht="13" x14ac:dyDescent="0.3">
      <c r="B131" s="18">
        <f t="shared" si="23"/>
        <v>78</v>
      </c>
      <c r="C131" s="1"/>
      <c r="D131" s="35" t="s">
        <v>118</v>
      </c>
      <c r="F131" s="48">
        <f ca="1">'Distribution Class'!AF131</f>
        <v>0</v>
      </c>
      <c r="H131" s="76"/>
      <c r="K131" s="70">
        <f>_xlfn.IFNA(MATCH(J131,'Dist Cust Factors'!$B$12:$B$447,0),0)</f>
        <v>0</v>
      </c>
      <c r="L131" s="48">
        <f t="shared" ca="1" si="21"/>
        <v>0</v>
      </c>
      <c r="O131" s="70">
        <f>_xlfn.IFNA(MATCH(N131,'Dist Cust Factors'!$B$12:$B$451,0),0)</f>
        <v>0</v>
      </c>
      <c r="P131" s="76">
        <f ca="1">OFFSET('Dist Cust Factors'!$B$12,$O131-1,P$14)*$L131+OFFSET('Dist Cust Factors'!$B$12,$K131-1,P$14)*$H131</f>
        <v>0</v>
      </c>
      <c r="R131" s="76">
        <f ca="1">OFFSET('Dist Cust Factors'!$B$12,$O131-1,R$14)*$L131+OFFSET('Dist Cust Factors'!$B$12,$K131-1,R$14)*$H131</f>
        <v>0</v>
      </c>
      <c r="S131" s="76"/>
      <c r="T131" s="76">
        <f ca="1">OFFSET('Dist Cust Factors'!$B$12,$O131-1,T$14)*$L131+OFFSET('Dist Cust Factors'!$B$12,$K131-1,T$14)*$H131</f>
        <v>0</v>
      </c>
      <c r="U131" s="76"/>
      <c r="V131" s="37"/>
      <c r="X131" s="107"/>
      <c r="Z131" s="89">
        <f ca="1">'Distribution Class'!BH131</f>
        <v>0</v>
      </c>
      <c r="AA131" s="96">
        <f t="shared" ca="1" si="22"/>
        <v>0</v>
      </c>
      <c r="AC131" s="48">
        <f t="shared" ca="1" si="17"/>
        <v>0</v>
      </c>
      <c r="AE131" s="48">
        <f t="shared" ca="1" si="18"/>
        <v>0</v>
      </c>
      <c r="AG131" s="48">
        <f t="shared" ca="1" si="19"/>
        <v>0</v>
      </c>
      <c r="AI131" s="48"/>
    </row>
    <row r="132" spans="2:35" ht="13" x14ac:dyDescent="0.3">
      <c r="B132" s="18"/>
      <c r="C132" s="1"/>
      <c r="D132" s="1" t="s">
        <v>19</v>
      </c>
      <c r="X132" s="107"/>
      <c r="AC132" s="48">
        <f t="shared" si="17"/>
        <v>0</v>
      </c>
      <c r="AE132" s="48">
        <f t="shared" si="18"/>
        <v>0</v>
      </c>
      <c r="AG132" s="48">
        <f t="shared" si="19"/>
        <v>0</v>
      </c>
      <c r="AI132" s="48"/>
    </row>
    <row r="133" spans="2:35" ht="13" x14ac:dyDescent="0.3">
      <c r="B133" s="18">
        <f>B131+1</f>
        <v>79</v>
      </c>
      <c r="C133" s="1"/>
      <c r="D133" s="1" t="s">
        <v>119</v>
      </c>
      <c r="F133" s="48">
        <f>'Distribution Class'!AF133</f>
        <v>0</v>
      </c>
      <c r="L133" s="48">
        <f t="shared" ref="L133:L136" si="24">F133-H133</f>
        <v>0</v>
      </c>
      <c r="O133" s="70">
        <f>_xlfn.IFNA(MATCH(N133,'Dist Cust Factors'!$B$12:$B$451,0),0)</f>
        <v>0</v>
      </c>
      <c r="P133" s="76">
        <f ca="1">OFFSET('Dist Cust Factors'!$B$12,$O133-1,P$14)*$L133+OFFSET('Dist Cust Factors'!$B$12,$K133-1,P$14)*$H133</f>
        <v>0</v>
      </c>
      <c r="R133" s="76">
        <f ca="1">OFFSET('Dist Cust Factors'!$B$12,$O133-1,R$14)*$L133+OFFSET('Dist Cust Factors'!$B$12,$K133-1,R$14)*$H133</f>
        <v>0</v>
      </c>
      <c r="S133" s="76"/>
      <c r="T133" s="76">
        <f ca="1">OFFSET('Dist Cust Factors'!$B$12,$O133-1,T$14)*$L133+OFFSET('Dist Cust Factors'!$B$12,$K133-1,T$14)*$H133</f>
        <v>0</v>
      </c>
      <c r="U133" s="76"/>
      <c r="V133" s="37"/>
      <c r="X133" s="107"/>
      <c r="Z133" s="89">
        <f ca="1">'Distribution Class'!BH133</f>
        <v>0</v>
      </c>
      <c r="AA133" s="96">
        <f ca="1">IFERROR(Z133/F133,0)</f>
        <v>0</v>
      </c>
      <c r="AC133" s="48">
        <f t="shared" ca="1" si="17"/>
        <v>0</v>
      </c>
      <c r="AE133" s="48">
        <f t="shared" ca="1" si="18"/>
        <v>0</v>
      </c>
      <c r="AG133" s="48">
        <f t="shared" ca="1" si="19"/>
        <v>0</v>
      </c>
      <c r="AI133" s="48"/>
    </row>
    <row r="134" spans="2:35" ht="13" x14ac:dyDescent="0.3">
      <c r="B134" s="18">
        <f>B133+1</f>
        <v>80</v>
      </c>
      <c r="C134" s="1"/>
      <c r="D134" s="35" t="s">
        <v>120</v>
      </c>
      <c r="F134" s="48">
        <f ca="1">'Distribution Class'!AF134</f>
        <v>0</v>
      </c>
      <c r="H134" s="76"/>
      <c r="K134" s="70">
        <f>_xlfn.IFNA(MATCH(J134,'Dist Cust Factors'!$B$12:$B$447,0),0)</f>
        <v>0</v>
      </c>
      <c r="L134" s="48">
        <f t="shared" ca="1" si="24"/>
        <v>0</v>
      </c>
      <c r="O134" s="70">
        <f>_xlfn.IFNA(MATCH(N134,'Dist Cust Factors'!$B$12:$B$451,0),0)</f>
        <v>0</v>
      </c>
      <c r="P134" s="76">
        <f ca="1">OFFSET('Dist Cust Factors'!$B$12,$O134-1,P$14)*$L134+OFFSET('Dist Cust Factors'!$B$12,$K134-1,P$14)*$H134</f>
        <v>0</v>
      </c>
      <c r="R134" s="76">
        <f ca="1">OFFSET('Dist Cust Factors'!$B$12,$O134-1,R$14)*$L134+OFFSET('Dist Cust Factors'!$B$12,$K134-1,R$14)*$H134</f>
        <v>0</v>
      </c>
      <c r="S134" s="76"/>
      <c r="T134" s="76">
        <f ca="1">OFFSET('Dist Cust Factors'!$B$12,$O134-1,T$14)*$L134+OFFSET('Dist Cust Factors'!$B$12,$K134-1,T$14)*$H134</f>
        <v>0</v>
      </c>
      <c r="U134" s="76"/>
      <c r="V134" s="37"/>
      <c r="X134" s="107"/>
      <c r="Z134" s="89">
        <f ca="1">'Distribution Class'!BH134</f>
        <v>0</v>
      </c>
      <c r="AA134" s="96">
        <f ca="1">IFERROR(Z134/F134,0)</f>
        <v>0</v>
      </c>
      <c r="AC134" s="48">
        <f t="shared" ca="1" si="17"/>
        <v>0</v>
      </c>
      <c r="AE134" s="48">
        <f t="shared" ca="1" si="18"/>
        <v>0</v>
      </c>
      <c r="AG134" s="48">
        <f t="shared" ca="1" si="19"/>
        <v>0</v>
      </c>
      <c r="AI134" s="48"/>
    </row>
    <row r="135" spans="2:35" ht="13" x14ac:dyDescent="0.3">
      <c r="B135" s="18">
        <f t="shared" ref="B135:B136" si="25">B134+1</f>
        <v>81</v>
      </c>
      <c r="C135" s="1"/>
      <c r="D135" s="35" t="s">
        <v>114</v>
      </c>
      <c r="F135" s="48">
        <f ca="1">'Distribution Class'!AF135</f>
        <v>0</v>
      </c>
      <c r="H135" s="76"/>
      <c r="K135" s="70">
        <f>_xlfn.IFNA(MATCH(J135,'Dist Cust Factors'!$B$12:$B$447,0),0)</f>
        <v>0</v>
      </c>
      <c r="L135" s="48">
        <f t="shared" ca="1" si="24"/>
        <v>0</v>
      </c>
      <c r="O135" s="70">
        <f>_xlfn.IFNA(MATCH(N135,'Dist Cust Factors'!$B$12:$B$451,0),0)</f>
        <v>0</v>
      </c>
      <c r="P135" s="76">
        <f ca="1">OFFSET('Dist Cust Factors'!$B$12,$O135-1,P$14)*$L135+OFFSET('Dist Cust Factors'!$B$12,$K135-1,P$14)*$H135</f>
        <v>0</v>
      </c>
      <c r="R135" s="76">
        <f ca="1">OFFSET('Dist Cust Factors'!$B$12,$O135-1,R$14)*$L135+OFFSET('Dist Cust Factors'!$B$12,$K135-1,R$14)*$H135</f>
        <v>0</v>
      </c>
      <c r="S135" s="76"/>
      <c r="T135" s="76">
        <f ca="1">OFFSET('Dist Cust Factors'!$B$12,$O135-1,T$14)*$L135+OFFSET('Dist Cust Factors'!$B$12,$K135-1,T$14)*$H135</f>
        <v>0</v>
      </c>
      <c r="U135" s="76"/>
      <c r="V135" s="37"/>
      <c r="X135" s="107"/>
      <c r="Z135" s="89">
        <f ca="1">'Distribution Class'!BH135</f>
        <v>0</v>
      </c>
      <c r="AA135" s="96">
        <f ca="1">IFERROR(Z135/F135,0)</f>
        <v>0</v>
      </c>
      <c r="AC135" s="48">
        <f t="shared" ca="1" si="17"/>
        <v>0</v>
      </c>
      <c r="AE135" s="48">
        <f t="shared" ca="1" si="18"/>
        <v>0</v>
      </c>
      <c r="AG135" s="48">
        <f t="shared" ca="1" si="19"/>
        <v>0</v>
      </c>
      <c r="AI135" s="48"/>
    </row>
    <row r="136" spans="2:35" ht="13" x14ac:dyDescent="0.3">
      <c r="B136" s="18">
        <f t="shared" si="25"/>
        <v>82</v>
      </c>
      <c r="C136" s="1"/>
      <c r="D136" s="35" t="s">
        <v>39</v>
      </c>
      <c r="F136" s="48">
        <f ca="1">'Distribution Class'!AF136</f>
        <v>0</v>
      </c>
      <c r="H136" s="76"/>
      <c r="K136" s="70">
        <f>_xlfn.IFNA(MATCH(J136,'Dist Cust Factors'!$B$12:$B$447,0),0)</f>
        <v>0</v>
      </c>
      <c r="L136" s="48">
        <f t="shared" ca="1" si="24"/>
        <v>0</v>
      </c>
      <c r="O136" s="70">
        <f>_xlfn.IFNA(MATCH(N136,'Dist Cust Factors'!$B$12:$B$451,0),0)</f>
        <v>0</v>
      </c>
      <c r="P136" s="76">
        <f ca="1">OFFSET('Dist Cust Factors'!$B$12,$O136-1,P$14)*$L136+OFFSET('Dist Cust Factors'!$B$12,$K136-1,P$14)*$H136</f>
        <v>0</v>
      </c>
      <c r="R136" s="76">
        <f ca="1">OFFSET('Dist Cust Factors'!$B$12,$O136-1,R$14)*$L136+OFFSET('Dist Cust Factors'!$B$12,$K136-1,R$14)*$H136</f>
        <v>0</v>
      </c>
      <c r="S136" s="76"/>
      <c r="T136" s="76">
        <f ca="1">OFFSET('Dist Cust Factors'!$B$12,$O136-1,T$14)*$L136+OFFSET('Dist Cust Factors'!$B$12,$K136-1,T$14)*$H136</f>
        <v>0</v>
      </c>
      <c r="U136" s="76"/>
      <c r="V136" s="37"/>
      <c r="X136" s="107"/>
      <c r="Z136" s="89">
        <f ca="1">'Distribution Class'!BH136</f>
        <v>0</v>
      </c>
      <c r="AA136" s="96">
        <f ca="1">IFERROR(Z136/F136,0)</f>
        <v>0</v>
      </c>
      <c r="AC136" s="48">
        <f t="shared" ca="1" si="17"/>
        <v>0</v>
      </c>
      <c r="AE136" s="48">
        <f t="shared" ca="1" si="18"/>
        <v>0</v>
      </c>
      <c r="AG136" s="48">
        <f t="shared" ca="1" si="19"/>
        <v>0</v>
      </c>
      <c r="AI136" s="48"/>
    </row>
    <row r="137" spans="2:35" ht="13" x14ac:dyDescent="0.3">
      <c r="B137" s="18"/>
      <c r="C137" s="1"/>
      <c r="D137" s="1" t="s">
        <v>20</v>
      </c>
      <c r="X137" s="107"/>
      <c r="AA137" s="96"/>
      <c r="AC137" s="48">
        <f t="shared" si="17"/>
        <v>0</v>
      </c>
      <c r="AE137" s="48">
        <f t="shared" si="18"/>
        <v>0</v>
      </c>
      <c r="AG137" s="48">
        <f t="shared" si="19"/>
        <v>0</v>
      </c>
      <c r="AI137" s="48"/>
    </row>
    <row r="138" spans="2:35" ht="13" x14ac:dyDescent="0.3">
      <c r="B138" s="18">
        <f>B136+1</f>
        <v>83</v>
      </c>
      <c r="C138" s="1"/>
      <c r="D138" s="1" t="s">
        <v>121</v>
      </c>
      <c r="F138" s="48">
        <f ca="1">'Distribution Class'!AF138</f>
        <v>0</v>
      </c>
      <c r="K138" s="70">
        <f>_xlfn.IFNA(MATCH(J138,'Dist Cust Factors'!$B$12:$B$447,0),0)</f>
        <v>0</v>
      </c>
      <c r="L138" s="48">
        <f t="shared" ref="L138:L143" ca="1" si="26">F138-H138</f>
        <v>0</v>
      </c>
      <c r="O138" s="70">
        <f>_xlfn.IFNA(MATCH(N138,'Dist Cust Factors'!$B$12:$B$451,0),0)</f>
        <v>0</v>
      </c>
      <c r="P138" s="76">
        <f ca="1">OFFSET('Dist Cust Factors'!$B$12,$O138-1,P$14)*$L138+OFFSET('Dist Cust Factors'!$B$12,$K138-1,P$14)*$H138</f>
        <v>0</v>
      </c>
      <c r="R138" s="76">
        <f ca="1">OFFSET('Dist Cust Factors'!$B$12,$O138-1,R$14)*$L138+OFFSET('Dist Cust Factors'!$B$12,$K138-1,R$14)*$H138</f>
        <v>0</v>
      </c>
      <c r="S138" s="76"/>
      <c r="T138" s="76">
        <f ca="1">OFFSET('Dist Cust Factors'!$B$12,$O138-1,T$14)*$L138+OFFSET('Dist Cust Factors'!$B$12,$K138-1,T$14)*$H138</f>
        <v>0</v>
      </c>
      <c r="U138" s="76"/>
      <c r="V138" s="37"/>
      <c r="X138" s="107"/>
      <c r="Z138" s="89">
        <f ca="1">'Distribution Class'!BH138</f>
        <v>0</v>
      </c>
      <c r="AA138" s="96">
        <f t="shared" ref="AA138:AA143" ca="1" si="27">IFERROR(Z138/F138,0)</f>
        <v>0</v>
      </c>
      <c r="AC138" s="48">
        <f t="shared" ca="1" si="17"/>
        <v>0</v>
      </c>
      <c r="AE138" s="48">
        <f t="shared" ca="1" si="18"/>
        <v>0</v>
      </c>
      <c r="AG138" s="48">
        <f t="shared" ca="1" si="19"/>
        <v>0</v>
      </c>
      <c r="AI138" s="48"/>
    </row>
    <row r="139" spans="2:35" ht="13" x14ac:dyDescent="0.3">
      <c r="B139" s="18">
        <f>B138+1</f>
        <v>84</v>
      </c>
      <c r="C139" s="1"/>
      <c r="D139" s="35" t="s">
        <v>122</v>
      </c>
      <c r="F139" s="48">
        <f ca="1">'Distribution Class'!AF139</f>
        <v>0</v>
      </c>
      <c r="H139" s="76"/>
      <c r="K139" s="70">
        <f>_xlfn.IFNA(MATCH(J139,'Dist Cust Factors'!$B$12:$B$447,0),0)</f>
        <v>0</v>
      </c>
      <c r="L139" s="48">
        <f t="shared" ca="1" si="26"/>
        <v>0</v>
      </c>
      <c r="O139" s="70">
        <f>_xlfn.IFNA(MATCH(N139,'Dist Cust Factors'!$B$12:$B$451,0),0)</f>
        <v>0</v>
      </c>
      <c r="P139" s="76">
        <f ca="1">OFFSET('Dist Cust Factors'!$B$12,$O139-1,P$14)*$L139+OFFSET('Dist Cust Factors'!$B$12,$K139-1,P$14)*$H139</f>
        <v>0</v>
      </c>
      <c r="R139" s="76">
        <f ca="1">OFFSET('Dist Cust Factors'!$B$12,$O139-1,R$14)*$L139+OFFSET('Dist Cust Factors'!$B$12,$K139-1,R$14)*$H139</f>
        <v>0</v>
      </c>
      <c r="S139" s="76"/>
      <c r="T139" s="76">
        <f ca="1">OFFSET('Dist Cust Factors'!$B$12,$O139-1,T$14)*$L139+OFFSET('Dist Cust Factors'!$B$12,$K139-1,T$14)*$H139</f>
        <v>0</v>
      </c>
      <c r="U139" s="76"/>
      <c r="V139" s="37"/>
      <c r="X139" s="107"/>
      <c r="Z139" s="89">
        <f ca="1">'Distribution Class'!BH139</f>
        <v>0</v>
      </c>
      <c r="AA139" s="96">
        <f t="shared" ca="1" si="27"/>
        <v>0</v>
      </c>
      <c r="AC139" s="48">
        <f t="shared" ca="1" si="17"/>
        <v>0</v>
      </c>
      <c r="AE139" s="48">
        <f t="shared" ca="1" si="18"/>
        <v>0</v>
      </c>
      <c r="AG139" s="48">
        <f t="shared" ca="1" si="19"/>
        <v>0</v>
      </c>
      <c r="AI139" s="48"/>
    </row>
    <row r="140" spans="2:35" ht="13" x14ac:dyDescent="0.3">
      <c r="B140" s="18">
        <f t="shared" ref="B140:B143" si="28">B139+1</f>
        <v>85</v>
      </c>
      <c r="C140" s="1"/>
      <c r="D140" s="35" t="s">
        <v>123</v>
      </c>
      <c r="F140" s="48">
        <f ca="1">'Distribution Class'!AF140</f>
        <v>0</v>
      </c>
      <c r="H140" s="76"/>
      <c r="K140" s="70">
        <f>_xlfn.IFNA(MATCH(J140,'Dist Cust Factors'!$B$12:$B$447,0),0)</f>
        <v>0</v>
      </c>
      <c r="L140" s="48">
        <f t="shared" ca="1" si="26"/>
        <v>0</v>
      </c>
      <c r="O140" s="70">
        <f>_xlfn.IFNA(MATCH(N140,'Dist Cust Factors'!$B$12:$B$451,0),0)</f>
        <v>0</v>
      </c>
      <c r="P140" s="76">
        <f ca="1">OFFSET('Dist Cust Factors'!$B$12,$O140-1,P$14)*$L140+OFFSET('Dist Cust Factors'!$B$12,$K140-1,P$14)*$H140</f>
        <v>0</v>
      </c>
      <c r="R140" s="76">
        <f ca="1">OFFSET('Dist Cust Factors'!$B$12,$O140-1,R$14)*$L140+OFFSET('Dist Cust Factors'!$B$12,$K140-1,R$14)*$H140</f>
        <v>0</v>
      </c>
      <c r="S140" s="76"/>
      <c r="T140" s="76">
        <f ca="1">OFFSET('Dist Cust Factors'!$B$12,$O140-1,T$14)*$L140+OFFSET('Dist Cust Factors'!$B$12,$K140-1,T$14)*$H140</f>
        <v>0</v>
      </c>
      <c r="U140" s="76"/>
      <c r="V140" s="37"/>
      <c r="X140" s="107"/>
      <c r="Z140" s="89">
        <f ca="1">'Distribution Class'!BH140</f>
        <v>0</v>
      </c>
      <c r="AA140" s="96">
        <f t="shared" ca="1" si="27"/>
        <v>0</v>
      </c>
      <c r="AC140" s="48">
        <f t="shared" ca="1" si="17"/>
        <v>0</v>
      </c>
      <c r="AE140" s="48">
        <f t="shared" ca="1" si="18"/>
        <v>0</v>
      </c>
      <c r="AG140" s="48">
        <f t="shared" ca="1" si="19"/>
        <v>0</v>
      </c>
      <c r="AI140" s="48"/>
    </row>
    <row r="141" spans="2:35" ht="13" x14ac:dyDescent="0.3">
      <c r="B141" s="18">
        <f t="shared" si="28"/>
        <v>86</v>
      </c>
      <c r="C141" s="1"/>
      <c r="D141" s="35" t="s">
        <v>124</v>
      </c>
      <c r="F141" s="48">
        <f ca="1">'Distribution Class'!AF141</f>
        <v>0</v>
      </c>
      <c r="H141" s="76"/>
      <c r="K141" s="70">
        <f>_xlfn.IFNA(MATCH(J141,'Dist Cust Factors'!$B$12:$B$447,0),0)</f>
        <v>0</v>
      </c>
      <c r="L141" s="48">
        <f t="shared" ca="1" si="26"/>
        <v>0</v>
      </c>
      <c r="O141" s="70">
        <f>_xlfn.IFNA(MATCH(N141,'Dist Cust Factors'!$B$12:$B$451,0),0)</f>
        <v>0</v>
      </c>
      <c r="P141" s="76">
        <f ca="1">OFFSET('Dist Cust Factors'!$B$12,$O141-1,P$14)*$L141+OFFSET('Dist Cust Factors'!$B$12,$K141-1,P$14)*$H141</f>
        <v>0</v>
      </c>
      <c r="R141" s="76">
        <f ca="1">OFFSET('Dist Cust Factors'!$B$12,$O141-1,R$14)*$L141+OFFSET('Dist Cust Factors'!$B$12,$K141-1,R$14)*$H141</f>
        <v>0</v>
      </c>
      <c r="S141" s="76"/>
      <c r="T141" s="76">
        <f ca="1">OFFSET('Dist Cust Factors'!$B$12,$O141-1,T$14)*$L141+OFFSET('Dist Cust Factors'!$B$12,$K141-1,T$14)*$H141</f>
        <v>0</v>
      </c>
      <c r="U141" s="76"/>
      <c r="V141" s="37"/>
      <c r="X141" s="107"/>
      <c r="Z141" s="89">
        <f ca="1">'Distribution Class'!BH141</f>
        <v>0</v>
      </c>
      <c r="AA141" s="96">
        <f t="shared" ca="1" si="27"/>
        <v>0</v>
      </c>
      <c r="AC141" s="48">
        <f t="shared" ca="1" si="17"/>
        <v>0</v>
      </c>
      <c r="AE141" s="48">
        <f t="shared" ca="1" si="18"/>
        <v>0</v>
      </c>
      <c r="AG141" s="48">
        <f t="shared" ca="1" si="19"/>
        <v>0</v>
      </c>
      <c r="AI141" s="48"/>
    </row>
    <row r="142" spans="2:35" ht="13" x14ac:dyDescent="0.3">
      <c r="B142" s="18">
        <f t="shared" si="28"/>
        <v>87</v>
      </c>
      <c r="C142" s="1"/>
      <c r="D142" s="35" t="s">
        <v>39</v>
      </c>
      <c r="F142" s="48">
        <f ca="1">'Distribution Class'!AF142</f>
        <v>0</v>
      </c>
      <c r="H142" s="76"/>
      <c r="K142" s="70">
        <f>_xlfn.IFNA(MATCH(J142,'Dist Cust Factors'!$B$12:$B$447,0),0)</f>
        <v>0</v>
      </c>
      <c r="L142" s="48">
        <f t="shared" ca="1" si="26"/>
        <v>0</v>
      </c>
      <c r="O142" s="70">
        <f>_xlfn.IFNA(MATCH(N142,'Dist Cust Factors'!$B$12:$B$451,0),0)</f>
        <v>0</v>
      </c>
      <c r="P142" s="76">
        <f ca="1">OFFSET('Dist Cust Factors'!$B$12,$O142-1,P$14)*$L142+OFFSET('Dist Cust Factors'!$B$12,$K142-1,P$14)*$H142</f>
        <v>0</v>
      </c>
      <c r="R142" s="76">
        <f ca="1">OFFSET('Dist Cust Factors'!$B$12,$O142-1,R$14)*$L142+OFFSET('Dist Cust Factors'!$B$12,$K142-1,R$14)*$H142</f>
        <v>0</v>
      </c>
      <c r="S142" s="76"/>
      <c r="T142" s="76">
        <f ca="1">OFFSET('Dist Cust Factors'!$B$12,$O142-1,T$14)*$L142+OFFSET('Dist Cust Factors'!$B$12,$K142-1,T$14)*$H142</f>
        <v>0</v>
      </c>
      <c r="U142" s="76"/>
      <c r="V142" s="37"/>
      <c r="X142" s="107"/>
      <c r="Z142" s="89">
        <f ca="1">'Distribution Class'!BH142</f>
        <v>0</v>
      </c>
      <c r="AA142" s="96">
        <f t="shared" ca="1" si="27"/>
        <v>0</v>
      </c>
      <c r="AC142" s="48">
        <f t="shared" ca="1" si="17"/>
        <v>0</v>
      </c>
      <c r="AE142" s="48">
        <f t="shared" ca="1" si="18"/>
        <v>0</v>
      </c>
      <c r="AG142" s="48">
        <f t="shared" ca="1" si="19"/>
        <v>0</v>
      </c>
      <c r="AI142" s="48"/>
    </row>
    <row r="143" spans="2:35" ht="13" x14ac:dyDescent="0.3">
      <c r="B143" s="18">
        <f t="shared" si="28"/>
        <v>88</v>
      </c>
      <c r="C143" s="1"/>
      <c r="D143" s="35" t="s">
        <v>125</v>
      </c>
      <c r="F143" s="48">
        <f ca="1">'Distribution Class'!AF143</f>
        <v>0</v>
      </c>
      <c r="H143" s="76"/>
      <c r="K143" s="70">
        <f>_xlfn.IFNA(MATCH(J143,'Dist Cust Factors'!$B$12:$B$447,0),0)</f>
        <v>0</v>
      </c>
      <c r="L143" s="48">
        <f t="shared" ca="1" si="26"/>
        <v>0</v>
      </c>
      <c r="O143" s="70">
        <f>_xlfn.IFNA(MATCH(N143,'Dist Cust Factors'!$B$12:$B$451,0),0)</f>
        <v>0</v>
      </c>
      <c r="P143" s="76">
        <f ca="1">OFFSET('Dist Cust Factors'!$B$12,$O143-1,P$14)*$L143+OFFSET('Dist Cust Factors'!$B$12,$K143-1,P$14)*$H143</f>
        <v>0</v>
      </c>
      <c r="R143" s="76">
        <f ca="1">OFFSET('Dist Cust Factors'!$B$12,$O143-1,R$14)*$L143+OFFSET('Dist Cust Factors'!$B$12,$K143-1,R$14)*$H143</f>
        <v>0</v>
      </c>
      <c r="S143" s="76"/>
      <c r="T143" s="76">
        <f ca="1">OFFSET('Dist Cust Factors'!$B$12,$O143-1,T$14)*$L143+OFFSET('Dist Cust Factors'!$B$12,$K143-1,T$14)*$H143</f>
        <v>0</v>
      </c>
      <c r="U143" s="76"/>
      <c r="V143" s="37"/>
      <c r="X143" s="107"/>
      <c r="Z143" s="89">
        <f ca="1">'Distribution Class'!BH143</f>
        <v>0</v>
      </c>
      <c r="AA143" s="96">
        <f t="shared" ca="1" si="27"/>
        <v>0</v>
      </c>
      <c r="AC143" s="48">
        <f t="shared" ca="1" si="17"/>
        <v>0</v>
      </c>
      <c r="AE143" s="48">
        <f t="shared" ca="1" si="18"/>
        <v>0</v>
      </c>
      <c r="AG143" s="48">
        <f t="shared" ca="1" si="19"/>
        <v>0</v>
      </c>
      <c r="AI143" s="48"/>
    </row>
    <row r="144" spans="2:35" ht="13" x14ac:dyDescent="0.3">
      <c r="B144" s="18"/>
      <c r="C144" s="1"/>
      <c r="D144" s="1" t="s">
        <v>126</v>
      </c>
      <c r="K144" s="70"/>
      <c r="O144" s="70"/>
      <c r="P144" s="76"/>
      <c r="R144" s="76"/>
      <c r="S144" s="76"/>
      <c r="T144" s="76"/>
      <c r="U144" s="76"/>
      <c r="V144" s="37"/>
      <c r="X144" s="107"/>
      <c r="AC144" s="48">
        <f t="shared" si="17"/>
        <v>0</v>
      </c>
      <c r="AE144" s="48">
        <f t="shared" si="18"/>
        <v>0</v>
      </c>
      <c r="AG144" s="48">
        <f t="shared" si="19"/>
        <v>0</v>
      </c>
      <c r="AI144" s="48"/>
    </row>
    <row r="145" spans="2:35" ht="13" x14ac:dyDescent="0.3">
      <c r="B145" s="18">
        <f>B143+1</f>
        <v>89</v>
      </c>
      <c r="C145" s="1"/>
      <c r="D145" s="35" t="s">
        <v>127</v>
      </c>
      <c r="F145" s="48">
        <f ca="1">'Distribution Class'!AF145</f>
        <v>394.23107506524224</v>
      </c>
      <c r="H145" s="76">
        <f ca="1">F145</f>
        <v>394.23107506524224</v>
      </c>
      <c r="J145" s="2" t="s">
        <v>329</v>
      </c>
      <c r="K145" s="70">
        <f>_xlfn.IFNA(MATCH(J145,'Dist Cust Factors'!$B$12:$B$447,0),0)</f>
        <v>5</v>
      </c>
      <c r="L145" s="48">
        <f ca="1">F145-H145</f>
        <v>0</v>
      </c>
      <c r="O145" s="70">
        <f>_xlfn.IFNA(MATCH(N145,'Dist Cust Factors'!$B$12:$B$451,0),0)</f>
        <v>0</v>
      </c>
      <c r="P145" s="76">
        <f ca="1">OFFSET('Dist Cust Factors'!$B$12,$O145-1,P$14)*$L145+OFFSET('Dist Cust Factors'!$B$12,$K145-1,P$14)*$H145</f>
        <v>0</v>
      </c>
      <c r="R145" s="76">
        <f ca="1">OFFSET('Dist Cust Factors'!$B$12,$O145-1,R$14)*$L145+OFFSET('Dist Cust Factors'!$B$12,$K145-1,R$14)*$H145</f>
        <v>0</v>
      </c>
      <c r="S145" s="76"/>
      <c r="T145" s="76">
        <f ca="1">OFFSET('Dist Cust Factors'!$B$12,$O145-1,T$14)*$L145+OFFSET('Dist Cust Factors'!$B$12,$K145-1,T$14)*$H145</f>
        <v>394.23107506524224</v>
      </c>
      <c r="U145" s="76"/>
      <c r="V145" s="37"/>
      <c r="X145" s="107"/>
      <c r="Z145" s="89">
        <f ca="1">'Distribution Class'!BH145</f>
        <v>0</v>
      </c>
      <c r="AA145" s="96">
        <f ca="1">IFERROR(Z145/F145,0)</f>
        <v>0</v>
      </c>
      <c r="AC145" s="48">
        <f t="shared" ca="1" si="17"/>
        <v>0</v>
      </c>
      <c r="AE145" s="48">
        <f t="shared" ca="1" si="18"/>
        <v>0</v>
      </c>
      <c r="AG145" s="48">
        <f t="shared" ca="1" si="19"/>
        <v>0</v>
      </c>
      <c r="AI145" s="48"/>
    </row>
    <row r="146" spans="2:35" ht="13" x14ac:dyDescent="0.3">
      <c r="B146" s="18"/>
      <c r="C146" s="1"/>
      <c r="D146" s="1" t="s">
        <v>130</v>
      </c>
      <c r="X146" s="107"/>
      <c r="AC146" s="48">
        <f t="shared" si="17"/>
        <v>0</v>
      </c>
      <c r="AE146" s="48">
        <f t="shared" si="18"/>
        <v>0</v>
      </c>
      <c r="AG146" s="48">
        <f t="shared" si="19"/>
        <v>0</v>
      </c>
      <c r="AI146" s="48"/>
    </row>
    <row r="147" spans="2:35" ht="13" x14ac:dyDescent="0.3">
      <c r="B147" s="18">
        <f>B145+1</f>
        <v>90</v>
      </c>
      <c r="C147" s="1"/>
      <c r="D147" s="35" t="s">
        <v>131</v>
      </c>
      <c r="F147" s="48">
        <f ca="1">'Distribution Class'!AF147</f>
        <v>10182.521136802581</v>
      </c>
      <c r="H147" s="76"/>
      <c r="K147" s="70">
        <f>_xlfn.IFNA(MATCH(J147,'Dist Cust Factors'!$B$12:$B$447,0),0)</f>
        <v>0</v>
      </c>
      <c r="L147" s="48">
        <f t="shared" ref="L147:L149" ca="1" si="29">F147-H147</f>
        <v>10182.521136802581</v>
      </c>
      <c r="N147" s="2" t="s">
        <v>330</v>
      </c>
      <c r="O147" s="70">
        <f>_xlfn.IFNA(MATCH(N147,'Dist Cust Factors'!$B$12:$B$451,0),0)</f>
        <v>17</v>
      </c>
      <c r="P147" s="76">
        <f ca="1">OFFSET('Dist Cust Factors'!$B$12,$O147-1,P$14)*$L147+OFFSET('Dist Cust Factors'!$B$12,$K147-1,P$14)*$H147</f>
        <v>0</v>
      </c>
      <c r="R147" s="76">
        <f ca="1">OFFSET('Dist Cust Factors'!$B$12,$O147-1,R$14)*$L147+OFFSET('Dist Cust Factors'!$B$12,$K147-1,R$14)*$H147</f>
        <v>10182.521136802581</v>
      </c>
      <c r="S147" s="76"/>
      <c r="T147" s="76">
        <f ca="1">OFFSET('Dist Cust Factors'!$B$12,$O147-1,T$14)*$L147+OFFSET('Dist Cust Factors'!$B$12,$K147-1,T$14)*$H147</f>
        <v>0</v>
      </c>
      <c r="U147" s="76"/>
      <c r="V147" s="37"/>
      <c r="X147" s="107"/>
      <c r="Z147" s="89">
        <f ca="1">'Distribution Class'!BH147</f>
        <v>6545.1150972226396</v>
      </c>
      <c r="AA147" s="96">
        <f ca="1">IFERROR(Z147/F147,0)</f>
        <v>0.64277942655740705</v>
      </c>
      <c r="AC147" s="48">
        <f t="shared" ca="1" si="17"/>
        <v>0</v>
      </c>
      <c r="AE147" s="48">
        <f t="shared" ca="1" si="18"/>
        <v>6545.1150972226396</v>
      </c>
      <c r="AG147" s="48">
        <f t="shared" ca="1" si="19"/>
        <v>0</v>
      </c>
      <c r="AI147" s="48"/>
    </row>
    <row r="148" spans="2:35" ht="13" x14ac:dyDescent="0.3">
      <c r="B148" s="18">
        <f>B147+1</f>
        <v>91</v>
      </c>
      <c r="C148" s="1"/>
      <c r="D148" s="35" t="s">
        <v>132</v>
      </c>
      <c r="F148" s="48">
        <f ca="1">'Distribution Class'!AF148</f>
        <v>0</v>
      </c>
      <c r="H148" s="76"/>
      <c r="K148" s="70">
        <f>_xlfn.IFNA(MATCH(J148,'Dist Cust Factors'!$B$12:$B$447,0),0)</f>
        <v>0</v>
      </c>
      <c r="L148" s="48">
        <f t="shared" ca="1" si="29"/>
        <v>0</v>
      </c>
      <c r="O148" s="70">
        <f>_xlfn.IFNA(MATCH(N148,'Dist Cust Factors'!$B$12:$B$451,0),0)</f>
        <v>0</v>
      </c>
      <c r="P148" s="76">
        <f ca="1">OFFSET('Dist Cust Factors'!$B$12,$O148-1,P$14)*$L148+OFFSET('Dist Cust Factors'!$B$12,$K148-1,P$14)*$H148</f>
        <v>0</v>
      </c>
      <c r="R148" s="76">
        <f ca="1">OFFSET('Dist Cust Factors'!$B$12,$O148-1,R$14)*$L148+OFFSET('Dist Cust Factors'!$B$12,$K148-1,R$14)*$H148</f>
        <v>0</v>
      </c>
      <c r="S148" s="76"/>
      <c r="T148" s="76">
        <f ca="1">OFFSET('Dist Cust Factors'!$B$12,$O148-1,T$14)*$L148+OFFSET('Dist Cust Factors'!$B$12,$K148-1,T$14)*$H148</f>
        <v>0</v>
      </c>
      <c r="U148" s="76"/>
      <c r="V148" s="37"/>
      <c r="X148" s="107"/>
      <c r="Z148" s="89">
        <f ca="1">'Distribution Class'!BH148</f>
        <v>0</v>
      </c>
      <c r="AA148" s="96">
        <f ca="1">IFERROR(Z148/F148,0)</f>
        <v>0</v>
      </c>
      <c r="AC148" s="48">
        <f t="shared" ca="1" si="17"/>
        <v>0</v>
      </c>
      <c r="AE148" s="48">
        <f t="shared" ca="1" si="18"/>
        <v>0</v>
      </c>
      <c r="AG148" s="48">
        <f t="shared" ca="1" si="19"/>
        <v>0</v>
      </c>
      <c r="AI148" s="48"/>
    </row>
    <row r="149" spans="2:35" ht="13" x14ac:dyDescent="0.3">
      <c r="B149" s="18">
        <f t="shared" ref="B149" si="30">B148+1</f>
        <v>92</v>
      </c>
      <c r="C149" s="1"/>
      <c r="D149" s="35" t="s">
        <v>133</v>
      </c>
      <c r="F149" s="48">
        <f ca="1">'Distribution Class'!AF149</f>
        <v>0</v>
      </c>
      <c r="H149" s="76"/>
      <c r="K149" s="70">
        <f>_xlfn.IFNA(MATCH(J149,'Dist Cust Factors'!$B$12:$B$447,0),0)</f>
        <v>0</v>
      </c>
      <c r="L149" s="48">
        <f t="shared" ca="1" si="29"/>
        <v>0</v>
      </c>
      <c r="O149" s="70">
        <f>_xlfn.IFNA(MATCH(N149,'Dist Cust Factors'!$B$12:$B$451,0),0)</f>
        <v>0</v>
      </c>
      <c r="P149" s="76">
        <f ca="1">OFFSET('Dist Cust Factors'!$B$12,$O149-1,P$14)*$L149+OFFSET('Dist Cust Factors'!$B$12,$K149-1,P$14)*$H149</f>
        <v>0</v>
      </c>
      <c r="R149" s="76">
        <f ca="1">OFFSET('Dist Cust Factors'!$B$12,$O149-1,R$14)*$L149+OFFSET('Dist Cust Factors'!$B$12,$K149-1,R$14)*$H149</f>
        <v>0</v>
      </c>
      <c r="S149" s="76"/>
      <c r="T149" s="76">
        <f ca="1">OFFSET('Dist Cust Factors'!$B$12,$O149-1,T$14)*$L149+OFFSET('Dist Cust Factors'!$B$12,$K149-1,T$14)*$H149</f>
        <v>0</v>
      </c>
      <c r="U149" s="76"/>
      <c r="V149" s="37"/>
      <c r="X149" s="107"/>
      <c r="Z149" s="89">
        <f ca="1">'Distribution Class'!BH149</f>
        <v>0</v>
      </c>
      <c r="AA149" s="96">
        <f ca="1">IFERROR(Z149/F149,0)</f>
        <v>0</v>
      </c>
      <c r="AC149" s="48">
        <f t="shared" ca="1" si="17"/>
        <v>0</v>
      </c>
      <c r="AE149" s="48">
        <f t="shared" ca="1" si="18"/>
        <v>0</v>
      </c>
      <c r="AG149" s="48">
        <f t="shared" ca="1" si="19"/>
        <v>0</v>
      </c>
      <c r="AI149" s="48"/>
    </row>
    <row r="150" spans="2:35" ht="13" x14ac:dyDescent="0.3">
      <c r="B150" s="18"/>
      <c r="C150" s="1"/>
      <c r="D150" s="1" t="s">
        <v>134</v>
      </c>
      <c r="X150" s="107"/>
      <c r="AC150" s="48">
        <f t="shared" si="17"/>
        <v>0</v>
      </c>
      <c r="AE150" s="48">
        <f t="shared" si="18"/>
        <v>0</v>
      </c>
      <c r="AG150" s="48">
        <f t="shared" si="19"/>
        <v>0</v>
      </c>
      <c r="AI150" s="48"/>
    </row>
    <row r="151" spans="2:35" ht="13" x14ac:dyDescent="0.3">
      <c r="B151" s="18">
        <f>B149+1</f>
        <v>93</v>
      </c>
      <c r="C151" s="1"/>
      <c r="D151" s="35" t="s">
        <v>111</v>
      </c>
      <c r="F151" s="48">
        <f ca="1">'Distribution Class'!AF151</f>
        <v>2999.0388448958947</v>
      </c>
      <c r="H151" s="76">
        <f>'Distribution Class'!H151</f>
        <v>412.91835995474958</v>
      </c>
      <c r="J151" s="2" t="s">
        <v>329</v>
      </c>
      <c r="K151" s="70">
        <f>_xlfn.IFNA(MATCH(J151,'Dist Cust Factors'!$B$12:$B$447,0),0)</f>
        <v>5</v>
      </c>
      <c r="L151" s="48">
        <f t="shared" ref="L151:L157" ca="1" si="31">F151-H151</f>
        <v>2586.1204849411452</v>
      </c>
      <c r="N151" s="2" t="s">
        <v>331</v>
      </c>
      <c r="O151" s="70">
        <f>_xlfn.IFNA(MATCH(N151,'Dist Cust Factors'!$B$12:$B$451,0),0)</f>
        <v>14</v>
      </c>
      <c r="P151" s="76">
        <f ca="1">OFFSET('Dist Cust Factors'!$B$12,$O151-1,P$14)*$L151+OFFSET('Dist Cust Factors'!$B$12,$K151-1,P$14)*$H151</f>
        <v>266.62189812468336</v>
      </c>
      <c r="R151" s="76">
        <f ca="1">OFFSET('Dist Cust Factors'!$B$12,$O151-1,R$14)*$L151+OFFSET('Dist Cust Factors'!$B$12,$K151-1,R$14)*$H151</f>
        <v>2182.9029372798209</v>
      </c>
      <c r="S151" s="76"/>
      <c r="T151" s="76">
        <f ca="1">OFFSET('Dist Cust Factors'!$B$12,$O151-1,T$14)*$L151+OFFSET('Dist Cust Factors'!$B$12,$K151-1,T$14)*$H151</f>
        <v>549.51400949139008</v>
      </c>
      <c r="U151" s="76"/>
      <c r="V151" s="37"/>
      <c r="X151" s="107"/>
      <c r="Z151" s="89">
        <f ca="1">'Distribution Class'!BH151</f>
        <v>4273.2481020128562</v>
      </c>
      <c r="AA151" s="96">
        <f ca="1">IFERROR(Z151/L151,0)</f>
        <v>1.6523778095010553</v>
      </c>
      <c r="AC151" s="48">
        <f t="shared" ca="1" si="17"/>
        <v>440.56010798827782</v>
      </c>
      <c r="AE151" s="48">
        <f t="shared" ca="1" si="18"/>
        <v>3606.9803738558498</v>
      </c>
      <c r="AG151" s="48">
        <f ca="1">AA151*(T151-H151)</f>
        <v>225.70762016872789</v>
      </c>
      <c r="AI151" s="48"/>
    </row>
    <row r="152" spans="2:35" ht="13" x14ac:dyDescent="0.3">
      <c r="B152" s="18">
        <f>B151+1</f>
        <v>94</v>
      </c>
      <c r="C152" s="1"/>
      <c r="D152" s="35" t="s">
        <v>136</v>
      </c>
      <c r="F152" s="48">
        <f ca="1">'Distribution Class'!AF152</f>
        <v>19535.319138357758</v>
      </c>
      <c r="H152" s="76"/>
      <c r="K152" s="70">
        <f>_xlfn.IFNA(MATCH(J152,'Dist Cust Factors'!$B$12:$B$447,0),0)</f>
        <v>0</v>
      </c>
      <c r="L152" s="48">
        <f t="shared" ca="1" si="31"/>
        <v>19535.319138357758</v>
      </c>
      <c r="N152" s="2" t="s">
        <v>330</v>
      </c>
      <c r="O152" s="70">
        <f>_xlfn.IFNA(MATCH(N152,'Dist Cust Factors'!$B$12:$B$451,0),0)</f>
        <v>17</v>
      </c>
      <c r="P152" s="76">
        <f ca="1">OFFSET('Dist Cust Factors'!$B$12,$O152-1,P$14)*$L152+OFFSET('Dist Cust Factors'!$B$12,$K152-1,P$14)*$H152</f>
        <v>0</v>
      </c>
      <c r="R152" s="76">
        <f ca="1">OFFSET('Dist Cust Factors'!$B$12,$O152-1,R$14)*$L152+OFFSET('Dist Cust Factors'!$B$12,$K152-1,R$14)*$H152</f>
        <v>19535.319138357758</v>
      </c>
      <c r="S152" s="76"/>
      <c r="T152" s="76">
        <f ca="1">OFFSET('Dist Cust Factors'!$B$12,$O152-1,T$14)*$L152+OFFSET('Dist Cust Factors'!$B$12,$K152-1,T$14)*$H152</f>
        <v>0</v>
      </c>
      <c r="U152" s="76"/>
      <c r="V152" s="37"/>
      <c r="X152" s="107"/>
      <c r="Z152" s="89">
        <f ca="1">'Distribution Class'!BH152</f>
        <v>8208.9423951896006</v>
      </c>
      <c r="AA152" s="96">
        <f t="shared" ref="AA152:AA157" ca="1" si="32">IFERROR(Z152/F152,0)</f>
        <v>0.42021030406773724</v>
      </c>
      <c r="AC152" s="48">
        <f t="shared" ca="1" si="17"/>
        <v>0</v>
      </c>
      <c r="AE152" s="48">
        <f t="shared" ca="1" si="18"/>
        <v>8208.9423951896006</v>
      </c>
      <c r="AG152" s="48">
        <f ca="1">$AA152*T152</f>
        <v>0</v>
      </c>
      <c r="AI152" s="48"/>
    </row>
    <row r="153" spans="2:35" ht="13" x14ac:dyDescent="0.3">
      <c r="B153" s="18">
        <f>B152+1</f>
        <v>95</v>
      </c>
      <c r="C153" s="1"/>
      <c r="D153" s="35" t="s">
        <v>137</v>
      </c>
      <c r="F153" s="48">
        <f ca="1">'Distribution Class'!AF153</f>
        <v>23437.232127810334</v>
      </c>
      <c r="H153" s="76"/>
      <c r="K153" s="70">
        <f>_xlfn.IFNA(MATCH(J153,'Dist Cust Factors'!$B$12:$B$447,0),0)</f>
        <v>0</v>
      </c>
      <c r="L153" s="48">
        <f t="shared" ca="1" si="31"/>
        <v>23437.232127810334</v>
      </c>
      <c r="N153" s="2" t="s">
        <v>330</v>
      </c>
      <c r="O153" s="70">
        <f>_xlfn.IFNA(MATCH(N153,'Dist Cust Factors'!$B$12:$B$451,0),0)</f>
        <v>17</v>
      </c>
      <c r="P153" s="76">
        <f ca="1">OFFSET('Dist Cust Factors'!$B$12,$O153-1,P$14)*$L153+OFFSET('Dist Cust Factors'!$B$12,$K153-1,P$14)*$H153</f>
        <v>0</v>
      </c>
      <c r="R153" s="76">
        <f ca="1">OFFSET('Dist Cust Factors'!$B$12,$O153-1,R$14)*$L153+OFFSET('Dist Cust Factors'!$B$12,$K153-1,R$14)*$H153</f>
        <v>23437.232127810334</v>
      </c>
      <c r="S153" s="76"/>
      <c r="T153" s="76">
        <f ca="1">OFFSET('Dist Cust Factors'!$B$12,$O153-1,T$14)*$L153+OFFSET('Dist Cust Factors'!$B$12,$K153-1,T$14)*$H153</f>
        <v>0</v>
      </c>
      <c r="U153" s="76"/>
      <c r="V153" s="37"/>
      <c r="X153" s="107"/>
      <c r="Z153" s="89">
        <f ca="1">'Distribution Class'!BH153</f>
        <v>430.97034567832998</v>
      </c>
      <c r="AA153" s="96">
        <f t="shared" ca="1" si="32"/>
        <v>1.8388278245832015E-2</v>
      </c>
      <c r="AC153" s="48">
        <f t="shared" ca="1" si="17"/>
        <v>0</v>
      </c>
      <c r="AE153" s="48">
        <f t="shared" ca="1" si="18"/>
        <v>430.97034567832998</v>
      </c>
      <c r="AG153" s="48">
        <f t="shared" ca="1" si="19"/>
        <v>0</v>
      </c>
      <c r="AI153" s="48"/>
    </row>
    <row r="154" spans="2:35" ht="13" x14ac:dyDescent="0.3">
      <c r="B154" s="18">
        <f t="shared" ref="B154:B157" si="33">B153+1</f>
        <v>96</v>
      </c>
      <c r="C154" s="1"/>
      <c r="D154" s="35" t="s">
        <v>138</v>
      </c>
      <c r="F154" s="48">
        <f ca="1">'Distribution Class'!AF154</f>
        <v>47499.389818864729</v>
      </c>
      <c r="H154" s="76"/>
      <c r="K154" s="70">
        <f>_xlfn.IFNA(MATCH(J154,'Dist Cust Factors'!$B$12:$B$447,0),0)</f>
        <v>0</v>
      </c>
      <c r="L154" s="48">
        <f t="shared" ca="1" si="31"/>
        <v>47499.389818864729</v>
      </c>
      <c r="N154" s="2" t="s">
        <v>330</v>
      </c>
      <c r="O154" s="70">
        <f>_xlfn.IFNA(MATCH(N154,'Dist Cust Factors'!$B$12:$B$451,0),0)</f>
        <v>17</v>
      </c>
      <c r="P154" s="76">
        <f ca="1">OFFSET('Dist Cust Factors'!$B$12,$O154-1,P$14)*$L154+OFFSET('Dist Cust Factors'!$B$12,$K154-1,P$14)*$H154</f>
        <v>0</v>
      </c>
      <c r="R154" s="76">
        <f ca="1">OFFSET('Dist Cust Factors'!$B$12,$O154-1,R$14)*$L154+OFFSET('Dist Cust Factors'!$B$12,$K154-1,R$14)*$H154</f>
        <v>47499.389818864729</v>
      </c>
      <c r="S154" s="76"/>
      <c r="T154" s="76">
        <f ca="1">OFFSET('Dist Cust Factors'!$B$12,$O154-1,T$14)*$L154+OFFSET('Dist Cust Factors'!$B$12,$K154-1,T$14)*$H154</f>
        <v>0</v>
      </c>
      <c r="U154" s="76"/>
      <c r="V154" s="37"/>
      <c r="X154" s="107"/>
      <c r="Z154" s="89">
        <f ca="1">'Distribution Class'!BH154</f>
        <v>4988.9291576484293</v>
      </c>
      <c r="AA154" s="96">
        <f t="shared" ca="1" si="32"/>
        <v>0.10503143675473152</v>
      </c>
      <c r="AC154" s="48">
        <f t="shared" ca="1" si="17"/>
        <v>0</v>
      </c>
      <c r="AE154" s="48">
        <f t="shared" ca="1" si="18"/>
        <v>4988.9291576484293</v>
      </c>
      <c r="AG154" s="48">
        <f t="shared" ca="1" si="19"/>
        <v>0</v>
      </c>
      <c r="AI154" s="48"/>
    </row>
    <row r="155" spans="2:35" ht="13" x14ac:dyDescent="0.3">
      <c r="B155" s="18">
        <f t="shared" si="33"/>
        <v>97</v>
      </c>
      <c r="C155" s="1"/>
      <c r="D155" s="35" t="s">
        <v>139</v>
      </c>
      <c r="F155" s="48">
        <f ca="1">'Distribution Class'!AF155</f>
        <v>6052.9452734375218</v>
      </c>
      <c r="H155" s="76"/>
      <c r="K155" s="70">
        <f>_xlfn.IFNA(MATCH(J155,'Dist Cust Factors'!$B$12:$B$447,0),0)</f>
        <v>0</v>
      </c>
      <c r="L155" s="48">
        <f t="shared" ca="1" si="31"/>
        <v>6052.9452734375218</v>
      </c>
      <c r="N155" s="2" t="s">
        <v>329</v>
      </c>
      <c r="O155" s="70">
        <f>_xlfn.IFNA(MATCH(N155,'Dist Cust Factors'!$B$12:$B$451,0),0)</f>
        <v>5</v>
      </c>
      <c r="P155" s="76">
        <f ca="1">OFFSET('Dist Cust Factors'!$B$12,$O155-1,P$14)*$L155+OFFSET('Dist Cust Factors'!$B$12,$K155-1,P$14)*$H155</f>
        <v>0</v>
      </c>
      <c r="R155" s="76">
        <f ca="1">OFFSET('Dist Cust Factors'!$B$12,$O155-1,R$14)*$L155+OFFSET('Dist Cust Factors'!$B$12,$K155-1,R$14)*$H155</f>
        <v>0</v>
      </c>
      <c r="S155" s="76"/>
      <c r="T155" s="76">
        <f ca="1">OFFSET('Dist Cust Factors'!$B$12,$O155-1,T$14)*$L155+OFFSET('Dist Cust Factors'!$B$12,$K155-1,T$14)*$H155</f>
        <v>6052.9452734375218</v>
      </c>
      <c r="U155" s="76"/>
      <c r="V155" s="37"/>
      <c r="X155" s="107"/>
      <c r="Z155" s="89">
        <f ca="1">'Distribution Class'!BH155</f>
        <v>5323.0427163833365</v>
      </c>
      <c r="AA155" s="96">
        <f t="shared" ca="1" si="32"/>
        <v>0.87941365334042298</v>
      </c>
      <c r="AC155" s="48">
        <f t="shared" ca="1" si="17"/>
        <v>0</v>
      </c>
      <c r="AE155" s="48">
        <f t="shared" ca="1" si="18"/>
        <v>0</v>
      </c>
      <c r="AG155" s="48">
        <f t="shared" ca="1" si="19"/>
        <v>5323.0427163833365</v>
      </c>
      <c r="AI155" s="48"/>
    </row>
    <row r="156" spans="2:35" ht="13" x14ac:dyDescent="0.3">
      <c r="B156" s="18">
        <f t="shared" si="33"/>
        <v>98</v>
      </c>
      <c r="C156" s="1"/>
      <c r="D156" s="35" t="s">
        <v>140</v>
      </c>
      <c r="F156" s="48">
        <f ca="1">'Distribution Class'!AF156</f>
        <v>6258.7532042938401</v>
      </c>
      <c r="H156" s="76"/>
      <c r="K156" s="70">
        <f>_xlfn.IFNA(MATCH(J156,'Dist Cust Factors'!$B$12:$B$447,0),0)</f>
        <v>0</v>
      </c>
      <c r="L156" s="48">
        <f t="shared" ca="1" si="31"/>
        <v>6258.7532042938401</v>
      </c>
      <c r="N156" s="2" t="s">
        <v>330</v>
      </c>
      <c r="O156" s="70">
        <f>_xlfn.IFNA(MATCH(N156,'Dist Cust Factors'!$B$12:$B$451,0),0)</f>
        <v>17</v>
      </c>
      <c r="P156" s="76">
        <f ca="1">OFFSET('Dist Cust Factors'!$B$12,$O156-1,P$14)*$L156+OFFSET('Dist Cust Factors'!$B$12,$K156-1,P$14)*$H156</f>
        <v>0</v>
      </c>
      <c r="R156" s="76">
        <f ca="1">OFFSET('Dist Cust Factors'!$B$12,$O156-1,R$14)*$L156+OFFSET('Dist Cust Factors'!$B$12,$K156-1,R$14)*$H156</f>
        <v>6258.7532042938401</v>
      </c>
      <c r="S156" s="76"/>
      <c r="T156" s="76">
        <f ca="1">OFFSET('Dist Cust Factors'!$B$12,$O156-1,T$14)*$L156+OFFSET('Dist Cust Factors'!$B$12,$K156-1,T$14)*$H156</f>
        <v>0</v>
      </c>
      <c r="U156" s="76"/>
      <c r="V156" s="37"/>
      <c r="X156" s="107"/>
      <c r="Z156" s="89">
        <f ca="1">'Distribution Class'!BH156</f>
        <v>1248.1922043138802</v>
      </c>
      <c r="AA156" s="96">
        <f t="shared" ca="1" si="32"/>
        <v>0.19943144641932095</v>
      </c>
      <c r="AC156" s="48">
        <f t="shared" ca="1" si="17"/>
        <v>0</v>
      </c>
      <c r="AE156" s="48">
        <f t="shared" ca="1" si="18"/>
        <v>1248.1922043138802</v>
      </c>
      <c r="AG156" s="48">
        <f t="shared" ca="1" si="19"/>
        <v>0</v>
      </c>
      <c r="AI156" s="48"/>
    </row>
    <row r="157" spans="2:35" ht="13" x14ac:dyDescent="0.3">
      <c r="B157" s="18">
        <f t="shared" si="33"/>
        <v>99</v>
      </c>
      <c r="C157" s="1"/>
      <c r="D157" s="35" t="s">
        <v>141</v>
      </c>
      <c r="F157" s="48">
        <f ca="1">'Distribution Class'!AF157</f>
        <v>11814.781536038916</v>
      </c>
      <c r="H157" s="76"/>
      <c r="J157" s="2"/>
      <c r="K157" s="70">
        <f>_xlfn.IFNA(MATCH(J157,'Dist Cust Factors'!$B$12:$B$447,0),0)</f>
        <v>0</v>
      </c>
      <c r="L157" s="48">
        <f t="shared" ca="1" si="31"/>
        <v>11814.781536038916</v>
      </c>
      <c r="N157" s="2" t="s">
        <v>332</v>
      </c>
      <c r="O157" s="70">
        <f>_xlfn.IFNA(MATCH(N157,'Dist Cust Factors'!$B$12:$B$451,0),0)</f>
        <v>2</v>
      </c>
      <c r="P157" s="76">
        <f ca="1">OFFSET('Dist Cust Factors'!$B$12,$O157-1,P$14)*$L157+OFFSET('Dist Cust Factors'!$B$12,$K157-1,P$14)*$H157</f>
        <v>11814.781536038916</v>
      </c>
      <c r="R157" s="76">
        <f ca="1">OFFSET('Dist Cust Factors'!$B$12,$O157-1,R$14)*$L157+OFFSET('Dist Cust Factors'!$B$12,$K157-1,R$14)*$H157</f>
        <v>0</v>
      </c>
      <c r="S157" s="76"/>
      <c r="T157" s="76">
        <f ca="1">OFFSET('Dist Cust Factors'!$B$12,$O157-1,T$14)*$L157+OFFSET('Dist Cust Factors'!$B$12,$K157-1,T$14)*$H157</f>
        <v>0</v>
      </c>
      <c r="U157" s="76"/>
      <c r="V157" s="37"/>
      <c r="X157" s="107"/>
      <c r="Z157" s="89">
        <f ca="1">'Distribution Class'!BH157</f>
        <v>0</v>
      </c>
      <c r="AA157" s="96">
        <f t="shared" ca="1" si="32"/>
        <v>0</v>
      </c>
      <c r="AC157" s="48">
        <f t="shared" ca="1" si="17"/>
        <v>0</v>
      </c>
      <c r="AE157" s="48">
        <f t="shared" ca="1" si="18"/>
        <v>0</v>
      </c>
      <c r="AG157" s="48">
        <f t="shared" ca="1" si="19"/>
        <v>0</v>
      </c>
      <c r="AI157" s="48"/>
    </row>
    <row r="158" spans="2:35" ht="13" x14ac:dyDescent="0.3">
      <c r="B158" s="18"/>
      <c r="C158" s="1"/>
      <c r="D158" s="1" t="s">
        <v>143</v>
      </c>
      <c r="X158" s="107"/>
      <c r="AC158" s="48">
        <f t="shared" si="17"/>
        <v>0</v>
      </c>
      <c r="AE158" s="48">
        <f t="shared" si="18"/>
        <v>0</v>
      </c>
      <c r="AG158" s="48">
        <f t="shared" si="19"/>
        <v>0</v>
      </c>
      <c r="AI158" s="48"/>
    </row>
    <row r="159" spans="2:35" ht="13" x14ac:dyDescent="0.3">
      <c r="B159" s="18">
        <f>B157+1</f>
        <v>100</v>
      </c>
      <c r="C159" s="1"/>
      <c r="D159" s="35" t="s">
        <v>144</v>
      </c>
      <c r="F159" s="48">
        <f ca="1">'Distribution Class'!AF159</f>
        <v>34039.026712350409</v>
      </c>
      <c r="H159" s="76">
        <f>'Distribution Class'!H159</f>
        <v>427.13051271001717</v>
      </c>
      <c r="J159" s="2" t="s">
        <v>329</v>
      </c>
      <c r="K159" s="70">
        <f>_xlfn.IFNA(MATCH(J159,'Dist Cust Factors'!$B$12:$B$447,0),0)</f>
        <v>5</v>
      </c>
      <c r="L159" s="48">
        <f t="shared" ref="L159:L160" ca="1" si="34">F159-H159</f>
        <v>33611.896199640389</v>
      </c>
      <c r="N159" s="2" t="s">
        <v>333</v>
      </c>
      <c r="O159" s="70">
        <f>_xlfn.IFNA(MATCH(N159,'Dist Cust Factors'!$B$12:$B$451,0),0)</f>
        <v>8</v>
      </c>
      <c r="P159" s="76">
        <f ca="1">OFFSET('Dist Cust Factors'!$B$12,$O159-1,P$14)*$L159+OFFSET('Dist Cust Factors'!$B$12,$K159-1,P$14)*$H159</f>
        <v>314.63254638013115</v>
      </c>
      <c r="R159" s="76">
        <f ca="1">OFFSET('Dist Cust Factors'!$B$12,$O159-1,R$14)*$L159+OFFSET('Dist Cust Factors'!$B$12,$K159-1,R$14)*$H159</f>
        <v>28999.267098886048</v>
      </c>
      <c r="S159" s="76"/>
      <c r="T159" s="76">
        <f ca="1">OFFSET('Dist Cust Factors'!$B$12,$O159-1,T$14)*$L159+OFFSET('Dist Cust Factors'!$B$12,$K159-1,T$14)*$H159</f>
        <v>4725.1270670842232</v>
      </c>
      <c r="U159" s="76"/>
      <c r="V159" s="37"/>
      <c r="X159" s="107"/>
      <c r="Z159" s="89">
        <f>'Distribution Class'!BH159</f>
        <v>0</v>
      </c>
      <c r="AA159" s="96">
        <f ca="1">IFERROR(Z159/F159,0)</f>
        <v>0</v>
      </c>
      <c r="AC159" s="48">
        <f t="shared" ca="1" si="17"/>
        <v>0</v>
      </c>
      <c r="AE159" s="48">
        <f t="shared" ca="1" si="18"/>
        <v>0</v>
      </c>
      <c r="AG159" s="48">
        <f t="shared" ca="1" si="19"/>
        <v>0</v>
      </c>
      <c r="AI159" s="48"/>
    </row>
    <row r="160" spans="2:35" ht="13" x14ac:dyDescent="0.3">
      <c r="B160" s="18">
        <f>B159+1</f>
        <v>101</v>
      </c>
      <c r="C160" s="1"/>
      <c r="D160" s="35" t="s">
        <v>147</v>
      </c>
      <c r="F160" s="48">
        <f ca="1">'Distribution Class'!AF160</f>
        <v>49062.61902409992</v>
      </c>
      <c r="H160" s="37">
        <f>'Distribution Class'!H160</f>
        <v>1107.36012997326</v>
      </c>
      <c r="J160" s="2" t="s">
        <v>329</v>
      </c>
      <c r="K160" s="70">
        <f>_xlfn.IFNA(MATCH(J160,'Dist Cust Factors'!$B$12:$B$447,0),0)</f>
        <v>5</v>
      </c>
      <c r="L160" s="48">
        <f t="shared" ca="1" si="34"/>
        <v>47955.258894126659</v>
      </c>
      <c r="N160" s="2" t="s">
        <v>325</v>
      </c>
      <c r="O160" s="70">
        <f>_xlfn.IFNA(MATCH(N160,'Dist Cust Factors'!$B$12:$B$451,0),0)</f>
        <v>11</v>
      </c>
      <c r="P160" s="37">
        <f ca="1">OFFSET('Dist Cust Factors'!$B$12,$O160-1,P$14)*$L160+OFFSET('Dist Cust Factors'!$B$12,$K160-1,P$14)*$H160</f>
        <v>186.86931311801911</v>
      </c>
      <c r="R160" s="37">
        <f ca="1">OFFSET('Dist Cust Factors'!$B$12,$O160-1,R$14)*$L160+OFFSET('Dist Cust Factors'!$B$12,$K160-1,R$14)*$H160</f>
        <v>44396.718287619769</v>
      </c>
      <c r="S160" s="37"/>
      <c r="T160" s="37">
        <f ca="1">OFFSET('Dist Cust Factors'!$B$12,$O160-1,T$14)*$L160+OFFSET('Dist Cust Factors'!$B$12,$K160-1,T$14)*$H160</f>
        <v>4479.031423362123</v>
      </c>
      <c r="U160" s="37"/>
      <c r="V160" s="37"/>
      <c r="X160" s="107"/>
      <c r="Z160" s="89">
        <f ca="1">'Distribution Class'!BH160</f>
        <v>27489.763661728739</v>
      </c>
      <c r="AA160" s="96">
        <f ca="1">IFERROR(Z160/L160,0)</f>
        <v>0.57323772815864327</v>
      </c>
      <c r="AC160" s="48">
        <f t="shared" ca="1" si="17"/>
        <v>107.12054051433942</v>
      </c>
      <c r="AE160" s="48">
        <f t="shared" ca="1" si="18"/>
        <v>25449.873928894449</v>
      </c>
      <c r="AG160" s="48">
        <f ca="1">(T160-H160)*AA160</f>
        <v>1932.7691923199461</v>
      </c>
      <c r="AI160" s="48"/>
    </row>
    <row r="161" spans="2:35" ht="13" x14ac:dyDescent="0.3">
      <c r="B161" s="18"/>
      <c r="C161" s="1"/>
      <c r="D161" s="1"/>
      <c r="X161" s="107"/>
    </row>
    <row r="162" spans="2:35" ht="13" x14ac:dyDescent="0.3">
      <c r="B162" s="18">
        <f>B160+1</f>
        <v>102</v>
      </c>
      <c r="C162" s="1"/>
      <c r="D162" s="1" t="s">
        <v>150</v>
      </c>
      <c r="F162" s="78">
        <f ca="1">SUM(F115:F160)</f>
        <v>211275.85789201714</v>
      </c>
      <c r="H162" s="78">
        <f ca="1">SUM(H115:H160)</f>
        <v>2341.6400777032691</v>
      </c>
      <c r="L162" s="78">
        <f ca="1">SUM(L115:L160)</f>
        <v>208934.21781431389</v>
      </c>
      <c r="P162" s="78">
        <f ca="1">SUM(P115:P160)</f>
        <v>12582.90529366175</v>
      </c>
      <c r="R162" s="78">
        <f ca="1">SUM(R115:R160)</f>
        <v>182492.10374991488</v>
      </c>
      <c r="S162" s="76"/>
      <c r="T162" s="78">
        <f ca="1">SUM(T115:T160)</f>
        <v>16200.848848440501</v>
      </c>
      <c r="U162" s="76"/>
      <c r="V162" s="37"/>
      <c r="X162" s="107"/>
      <c r="Z162" s="78">
        <f ca="1">SUM(Z116:Z161)</f>
        <v>58508.203680177816</v>
      </c>
      <c r="AC162" s="78">
        <f ca="1">SUM(AC116:AC161)</f>
        <v>547.68064850261726</v>
      </c>
      <c r="AE162" s="78">
        <f ca="1">SUM(AE116:AE161)</f>
        <v>50479.003502803178</v>
      </c>
      <c r="AG162" s="78">
        <f ca="1">SUM(AG116:AG161)</f>
        <v>7481.5195288720106</v>
      </c>
      <c r="AI162" s="37"/>
    </row>
    <row r="163" spans="2:35" ht="13" x14ac:dyDescent="0.3">
      <c r="B163" s="18"/>
      <c r="C163" s="1"/>
      <c r="D163" s="1"/>
      <c r="S163" s="76"/>
      <c r="U163" s="76"/>
      <c r="X163" s="107"/>
    </row>
    <row r="164" spans="2:35" ht="13.5" thickBot="1" x14ac:dyDescent="0.35">
      <c r="B164" s="18">
        <f>B162+1</f>
        <v>103</v>
      </c>
      <c r="C164" s="1"/>
      <c r="D164" s="1" t="s">
        <v>151</v>
      </c>
      <c r="F164" s="80">
        <f ca="1">F162+F104+F109+F108+F97</f>
        <v>220593.11247445</v>
      </c>
      <c r="H164" s="80">
        <f ca="1">H162+H104+H109+H108+H97</f>
        <v>2341.6400777032691</v>
      </c>
      <c r="L164" s="80">
        <f ca="1">L162+L104+L109+L108+L97</f>
        <v>218251.47239674674</v>
      </c>
      <c r="P164" s="80">
        <f ca="1">P162+P104+P109+P108+P97</f>
        <v>12619.21223901281</v>
      </c>
      <c r="R164" s="80">
        <f ca="1">R162+R104+R109+R108+R97</f>
        <v>191117.96744973466</v>
      </c>
      <c r="S164" s="76"/>
      <c r="T164" s="80">
        <f ca="1">T162+T104+T109+T108+T97</f>
        <v>16855.932785702535</v>
      </c>
      <c r="U164" s="76"/>
      <c r="V164" s="48"/>
      <c r="X164" s="107"/>
    </row>
    <row r="165" spans="2:35" ht="13.5" thickTop="1" x14ac:dyDescent="0.3">
      <c r="F165" s="48"/>
      <c r="H165" s="48"/>
      <c r="L165" s="48"/>
      <c r="X165" s="107"/>
    </row>
    <row r="166" spans="2:35" ht="13" x14ac:dyDescent="0.3">
      <c r="F166" s="48"/>
      <c r="H166" s="48"/>
      <c r="L166" s="48"/>
      <c r="X166" s="107"/>
    </row>
    <row r="167" spans="2:35" ht="13" x14ac:dyDescent="0.3">
      <c r="F167" s="48"/>
      <c r="H167" s="48"/>
      <c r="L167" s="48"/>
      <c r="X167" s="107"/>
    </row>
    <row r="168" spans="2:35" ht="13" x14ac:dyDescent="0.3">
      <c r="B168" s="18"/>
      <c r="C168" s="1"/>
      <c r="D168" s="6" t="s">
        <v>152</v>
      </c>
      <c r="X168" s="107"/>
    </row>
    <row r="169" spans="2:35" ht="13" x14ac:dyDescent="0.3">
      <c r="B169" s="18"/>
      <c r="C169" s="1"/>
      <c r="D169" s="6"/>
      <c r="F169" s="48"/>
      <c r="H169" s="76"/>
      <c r="K169" s="70"/>
      <c r="L169" s="48"/>
      <c r="O169" s="70"/>
      <c r="P169" s="76"/>
      <c r="R169" s="76"/>
      <c r="S169" s="76"/>
      <c r="T169" s="76"/>
      <c r="U169" s="76"/>
      <c r="V169" s="37"/>
      <c r="X169" s="107"/>
    </row>
    <row r="170" spans="2:35" ht="13" x14ac:dyDescent="0.3">
      <c r="B170" s="18">
        <f>B164+1</f>
        <v>104</v>
      </c>
      <c r="C170" s="1"/>
      <c r="D170" s="1" t="s">
        <v>153</v>
      </c>
      <c r="F170" s="48">
        <f ca="1">'Distribution Class'!AF170</f>
        <v>0</v>
      </c>
      <c r="H170" s="76"/>
      <c r="K170" s="70">
        <f>_xlfn.IFNA(MATCH(J170,'Dist Cust Factors'!$B$12:$B$447,0),0)</f>
        <v>0</v>
      </c>
      <c r="L170" s="48">
        <f t="shared" ref="L170:L176" ca="1" si="35">F170-H170</f>
        <v>0</v>
      </c>
      <c r="O170" s="70">
        <f>_xlfn.IFNA(MATCH(N170,'Dist Cust Factors'!$B$12:$B$451,0),0)</f>
        <v>0</v>
      </c>
      <c r="P170" s="37">
        <f ca="1">OFFSET('Dist Cust Factors'!$B$12,$O170-1,P$14)*$L170+OFFSET('Dist Cust Factors'!$B$12,$K170-1,P$14)*$H170</f>
        <v>0</v>
      </c>
      <c r="R170" s="37">
        <f ca="1">OFFSET('Dist Cust Factors'!$B$12,$O170-1,R$14)*$L170+OFFSET('Dist Cust Factors'!$B$12,$K170-1,R$14)*$H170</f>
        <v>0</v>
      </c>
      <c r="S170" s="37"/>
      <c r="T170" s="37">
        <f ca="1">OFFSET('Dist Cust Factors'!$B$12,$O170-1,T$14)*$L170+OFFSET('Dist Cust Factors'!$B$12,$K170-1,T$14)*$H170</f>
        <v>0</v>
      </c>
      <c r="U170" s="37"/>
      <c r="V170" s="37"/>
      <c r="X170" s="107"/>
    </row>
    <row r="171" spans="2:35" ht="13" x14ac:dyDescent="0.3">
      <c r="B171" s="18">
        <f t="shared" ref="B171:B176" si="36">B170+1</f>
        <v>105</v>
      </c>
      <c r="C171" s="1"/>
      <c r="D171" s="1" t="s">
        <v>154</v>
      </c>
      <c r="F171" s="48">
        <f ca="1">'Distribution Class'!AF171</f>
        <v>0</v>
      </c>
      <c r="H171" s="76"/>
      <c r="J171" s="2"/>
      <c r="K171" s="70">
        <f>_xlfn.IFNA(MATCH(J171,'Dist Cust Factors'!$B$12:$B$447,0),0)</f>
        <v>0</v>
      </c>
      <c r="L171" s="48">
        <f t="shared" ca="1" si="35"/>
        <v>0</v>
      </c>
      <c r="O171" s="70">
        <f>_xlfn.IFNA(MATCH(N171,'Dist Cust Factors'!$B$12:$B$451,0),0)</f>
        <v>0</v>
      </c>
      <c r="P171" s="37">
        <f ca="1">OFFSET('Dist Cust Factors'!$B$12,$O171-1,P$14)*$L171+OFFSET('Dist Cust Factors'!$B$12,$K171-1,P$14)*$H171</f>
        <v>0</v>
      </c>
      <c r="R171" s="37">
        <f ca="1">OFFSET('Dist Cust Factors'!$B$12,$O171-1,R$14)*$L171+OFFSET('Dist Cust Factors'!$B$12,$K171-1,R$14)*$H171</f>
        <v>0</v>
      </c>
      <c r="S171" s="37"/>
      <c r="T171" s="37">
        <f ca="1">OFFSET('Dist Cust Factors'!$B$12,$O171-1,T$14)*$L171+OFFSET('Dist Cust Factors'!$B$12,$K171-1,T$14)*$H171</f>
        <v>0</v>
      </c>
      <c r="U171" s="37"/>
      <c r="V171" s="37"/>
      <c r="X171" s="107"/>
    </row>
    <row r="172" spans="2:35" ht="13" x14ac:dyDescent="0.3">
      <c r="B172" s="18">
        <f t="shared" si="36"/>
        <v>106</v>
      </c>
      <c r="C172" s="1"/>
      <c r="D172" s="1" t="s">
        <v>155</v>
      </c>
      <c r="F172" s="48">
        <f ca="1">'Distribution Class'!AF172</f>
        <v>0</v>
      </c>
      <c r="H172" s="76"/>
      <c r="J172" s="2"/>
      <c r="K172" s="70">
        <f>_xlfn.IFNA(MATCH(J172,'Dist Cust Factors'!$B$12:$B$447,0),0)</f>
        <v>0</v>
      </c>
      <c r="L172" s="48">
        <f t="shared" ca="1" si="35"/>
        <v>0</v>
      </c>
      <c r="O172" s="70">
        <f>_xlfn.IFNA(MATCH(N172,'Dist Cust Factors'!$B$12:$B$451,0),0)</f>
        <v>0</v>
      </c>
      <c r="P172" s="37">
        <f ca="1">OFFSET('Dist Cust Factors'!$B$12,$O172-1,P$14)*$L172+OFFSET('Dist Cust Factors'!$B$12,$K172-1,P$14)*$H172</f>
        <v>0</v>
      </c>
      <c r="R172" s="37">
        <f ca="1">OFFSET('Dist Cust Factors'!$B$12,$O172-1,R$14)*$L172+OFFSET('Dist Cust Factors'!$B$12,$K172-1,R$14)*$H172</f>
        <v>0</v>
      </c>
      <c r="S172" s="37"/>
      <c r="T172" s="37">
        <f ca="1">OFFSET('Dist Cust Factors'!$B$12,$O172-1,T$14)*$L172+OFFSET('Dist Cust Factors'!$B$12,$K172-1,T$14)*$H172</f>
        <v>0</v>
      </c>
      <c r="U172" s="37"/>
      <c r="V172" s="37"/>
      <c r="X172" s="107"/>
    </row>
    <row r="173" spans="2:35" ht="13" x14ac:dyDescent="0.3">
      <c r="B173" s="18">
        <f t="shared" si="36"/>
        <v>107</v>
      </c>
      <c r="C173" s="1"/>
      <c r="D173" s="1" t="s">
        <v>156</v>
      </c>
      <c r="F173" s="48">
        <f ca="1">'Distribution Class'!AF173</f>
        <v>26870.623617239937</v>
      </c>
      <c r="H173" s="76"/>
      <c r="J173" s="2"/>
      <c r="K173" s="70">
        <f>_xlfn.IFNA(MATCH(J173,'Dist Cust Factors'!$B$12:$B$447,0),0)</f>
        <v>0</v>
      </c>
      <c r="L173" s="48">
        <f t="shared" ca="1" si="35"/>
        <v>26870.623617239937</v>
      </c>
      <c r="N173" s="2" t="s">
        <v>330</v>
      </c>
      <c r="O173" s="70">
        <f>_xlfn.IFNA(MATCH(N173,'Dist Cust Factors'!$B$12:$B$451,0),0)</f>
        <v>17</v>
      </c>
      <c r="P173" s="37">
        <f ca="1">OFFSET('Dist Cust Factors'!$B$12,$O173-1,P$14)*$L173+OFFSET('Dist Cust Factors'!$B$12,$K173-1,P$14)*$H173</f>
        <v>0</v>
      </c>
      <c r="R173" s="37">
        <f ca="1">OFFSET('Dist Cust Factors'!$B$12,$O173-1,R$14)*$L173+OFFSET('Dist Cust Factors'!$B$12,$K173-1,R$14)*$H173</f>
        <v>26870.623617239937</v>
      </c>
      <c r="S173" s="37"/>
      <c r="T173" s="37">
        <f ca="1">OFFSET('Dist Cust Factors'!$B$12,$O173-1,T$14)*$L173+OFFSET('Dist Cust Factors'!$B$12,$K173-1,T$14)*$H173</f>
        <v>0</v>
      </c>
      <c r="U173" s="37"/>
      <c r="V173" s="37"/>
      <c r="X173" s="107"/>
    </row>
    <row r="174" spans="2:35" ht="13" x14ac:dyDescent="0.3">
      <c r="B174" s="18">
        <f t="shared" si="36"/>
        <v>108</v>
      </c>
      <c r="C174" s="1"/>
      <c r="D174" s="1" t="s">
        <v>157</v>
      </c>
      <c r="F174" s="48">
        <f ca="1">'Distribution Class'!AF174</f>
        <v>14283.139384300001</v>
      </c>
      <c r="H174" s="76"/>
      <c r="J174" s="2"/>
      <c r="K174" s="70">
        <f>_xlfn.IFNA(MATCH(J174,'Dist Cust Factors'!$B$12:$B$447,0),0)</f>
        <v>0</v>
      </c>
      <c r="L174" s="48">
        <f t="shared" ca="1" si="35"/>
        <v>14283.139384300001</v>
      </c>
      <c r="N174" s="2" t="s">
        <v>330</v>
      </c>
      <c r="O174" s="70">
        <f>_xlfn.IFNA(MATCH(N174,'Dist Cust Factors'!$B$12:$B$451,0),0)</f>
        <v>17</v>
      </c>
      <c r="P174" s="37">
        <f ca="1">OFFSET('Dist Cust Factors'!$B$12,$O174-1,P$14)*$L174+OFFSET('Dist Cust Factors'!$B$12,$K174-1,P$14)*$H174</f>
        <v>0</v>
      </c>
      <c r="R174" s="37">
        <f ca="1">OFFSET('Dist Cust Factors'!$B$12,$O174-1,R$14)*$L174+OFFSET('Dist Cust Factors'!$B$12,$K174-1,R$14)*$H174</f>
        <v>14283.139384300001</v>
      </c>
      <c r="S174" s="37"/>
      <c r="T174" s="37">
        <f ca="1">OFFSET('Dist Cust Factors'!$B$12,$O174-1,T$14)*$L174+OFFSET('Dist Cust Factors'!$B$12,$K174-1,T$14)*$H174</f>
        <v>0</v>
      </c>
      <c r="U174" s="37"/>
      <c r="V174" s="37"/>
      <c r="X174" s="107"/>
    </row>
    <row r="175" spans="2:35" ht="13" x14ac:dyDescent="0.3">
      <c r="B175" s="18">
        <f t="shared" si="36"/>
        <v>109</v>
      </c>
      <c r="C175" s="1"/>
      <c r="D175" s="1" t="s">
        <v>158</v>
      </c>
      <c r="F175" s="48">
        <f ca="1">'Distribution Class'!AF175</f>
        <v>17761.652743977927</v>
      </c>
      <c r="H175" s="76"/>
      <c r="J175" s="2"/>
      <c r="K175" s="70">
        <f>_xlfn.IFNA(MATCH(J175,'Dist Cust Factors'!$B$12:$B$447,0),0)</f>
        <v>0</v>
      </c>
      <c r="L175" s="48">
        <f t="shared" ca="1" si="35"/>
        <v>17761.652743977927</v>
      </c>
      <c r="N175" s="2" t="s">
        <v>330</v>
      </c>
      <c r="O175" s="70">
        <f>_xlfn.IFNA(MATCH(N175,'Dist Cust Factors'!$B$12:$B$451,0),0)</f>
        <v>17</v>
      </c>
      <c r="P175" s="37">
        <f ca="1">OFFSET('Dist Cust Factors'!$B$12,$O175-1,P$14)*$L175+OFFSET('Dist Cust Factors'!$B$12,$K175-1,P$14)*$H175</f>
        <v>0</v>
      </c>
      <c r="R175" s="37">
        <f ca="1">OFFSET('Dist Cust Factors'!$B$12,$O175-1,R$14)*$L175+OFFSET('Dist Cust Factors'!$B$12,$K175-1,R$14)*$H175</f>
        <v>17761.652743977927</v>
      </c>
      <c r="S175" s="37"/>
      <c r="T175" s="37">
        <f ca="1">OFFSET('Dist Cust Factors'!$B$12,$O175-1,T$14)*$L175+OFFSET('Dist Cust Factors'!$B$12,$K175-1,T$14)*$H175</f>
        <v>0</v>
      </c>
      <c r="U175" s="37"/>
      <c r="V175" s="37"/>
      <c r="X175" s="107"/>
    </row>
    <row r="176" spans="2:35" ht="13" x14ac:dyDescent="0.3">
      <c r="B176" s="18">
        <f t="shared" si="36"/>
        <v>110</v>
      </c>
      <c r="C176" s="1"/>
      <c r="D176" s="1" t="s">
        <v>159</v>
      </c>
      <c r="F176" s="48">
        <f ca="1">'Distribution Class'!AF176</f>
        <v>0</v>
      </c>
      <c r="H176" s="76"/>
      <c r="J176" s="2"/>
      <c r="K176" s="70">
        <f>_xlfn.IFNA(MATCH(J176,'Dist Cust Factors'!$B$12:$B$447,0),0)</f>
        <v>0</v>
      </c>
      <c r="L176" s="48">
        <f t="shared" ca="1" si="35"/>
        <v>0</v>
      </c>
      <c r="O176" s="70">
        <f>_xlfn.IFNA(MATCH(N176,'Dist Cust Factors'!$B$12:$B$451,0),0)</f>
        <v>0</v>
      </c>
      <c r="P176" s="37">
        <f ca="1">OFFSET('Dist Cust Factors'!$B$12,$O176-1,P$14)*$L176+OFFSET('Dist Cust Factors'!$B$12,$K176-1,P$14)*$H176</f>
        <v>0</v>
      </c>
      <c r="R176" s="37">
        <f ca="1">OFFSET('Dist Cust Factors'!$B$12,$O176-1,R$14)*$L176+OFFSET('Dist Cust Factors'!$B$12,$K176-1,R$14)*$H176</f>
        <v>0</v>
      </c>
      <c r="S176" s="37"/>
      <c r="T176" s="37">
        <f ca="1">OFFSET('Dist Cust Factors'!$B$12,$O176-1,T$14)*$L176+OFFSET('Dist Cust Factors'!$B$12,$K176-1,T$14)*$H176</f>
        <v>0</v>
      </c>
      <c r="U176" s="37"/>
      <c r="V176" s="37"/>
      <c r="X176" s="107"/>
    </row>
    <row r="177" spans="2:24" ht="13" x14ac:dyDescent="0.3">
      <c r="B177" s="18"/>
      <c r="C177" s="1"/>
      <c r="D177" s="1"/>
      <c r="X177" s="107"/>
    </row>
    <row r="178" spans="2:24" ht="13" x14ac:dyDescent="0.3">
      <c r="B178" s="18">
        <f>B176+1</f>
        <v>111</v>
      </c>
      <c r="C178" s="1"/>
      <c r="D178" s="1" t="s">
        <v>160</v>
      </c>
      <c r="F178" s="40">
        <f ca="1">SUM(F170:F176)</f>
        <v>58915.415745517865</v>
      </c>
      <c r="H178" s="40">
        <f>SUM(H170:H176)</f>
        <v>0</v>
      </c>
      <c r="J178" s="2"/>
      <c r="L178" s="40">
        <f ca="1">SUM(L170:L176)</f>
        <v>58915.415745517865</v>
      </c>
      <c r="P178" s="40">
        <f ca="1">SUM(P170:P176)</f>
        <v>0</v>
      </c>
      <c r="R178" s="40">
        <f ca="1">SUM(R170:R176)</f>
        <v>58915.415745517865</v>
      </c>
      <c r="S178" s="76"/>
      <c r="T178" s="40">
        <f ca="1">SUM(T170:T176)</f>
        <v>0</v>
      </c>
      <c r="U178" s="76"/>
      <c r="V178" s="48"/>
      <c r="X178" s="107"/>
    </row>
    <row r="179" spans="2:24" ht="13" x14ac:dyDescent="0.3">
      <c r="B179" s="18"/>
      <c r="C179" s="1"/>
      <c r="D179" s="1"/>
      <c r="S179" s="76"/>
      <c r="U179" s="76"/>
      <c r="X179" s="107"/>
    </row>
    <row r="180" spans="2:24" ht="13.5" thickBot="1" x14ac:dyDescent="0.35">
      <c r="B180" s="18">
        <f>B178+1</f>
        <v>112</v>
      </c>
      <c r="C180" s="1"/>
      <c r="D180" s="1" t="s">
        <v>161</v>
      </c>
      <c r="F180" s="80">
        <f ca="1">F164-F178</f>
        <v>161677.69672893215</v>
      </c>
      <c r="H180" s="80">
        <f ca="1">H164-H178</f>
        <v>2341.6400777032691</v>
      </c>
      <c r="L180" s="80">
        <f ca="1">L164-L178</f>
        <v>159336.05665122886</v>
      </c>
      <c r="P180" s="80">
        <f ca="1">P164-P178</f>
        <v>12619.21223901281</v>
      </c>
      <c r="R180" s="80">
        <f ca="1">R164-R178</f>
        <v>132202.55170421681</v>
      </c>
      <c r="S180" s="76"/>
      <c r="T180" s="80">
        <f ca="1">T164-T178</f>
        <v>16855.932785702535</v>
      </c>
      <c r="U180" s="76"/>
      <c r="V180" s="48"/>
      <c r="X180" s="107"/>
    </row>
    <row r="181" spans="2:24" ht="13" thickTop="1" x14ac:dyDescent="0.25">
      <c r="B181" s="18"/>
      <c r="C181" s="1"/>
      <c r="D181" s="1" t="s">
        <v>162</v>
      </c>
    </row>
    <row r="182" spans="2:24" x14ac:dyDescent="0.25">
      <c r="V182" s="48"/>
    </row>
  </sheetData>
  <mergeCells count="3">
    <mergeCell ref="B5:T5"/>
    <mergeCell ref="B6:T6"/>
    <mergeCell ref="B7:T7"/>
  </mergeCells>
  <pageMargins left="0.7" right="0.7" top="0.75" bottom="0.75" header="0.3" footer="0.3"/>
  <pageSetup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dimension ref="A6:V53"/>
  <sheetViews>
    <sheetView zoomScaleNormal="100" workbookViewId="0">
      <selection activeCell="P17" sqref="P17"/>
    </sheetView>
  </sheetViews>
  <sheetFormatPr defaultColWidth="9.1796875" defaultRowHeight="12.5" x14ac:dyDescent="0.25"/>
  <cols>
    <col min="1" max="1" width="7" style="31" customWidth="1"/>
    <col min="2" max="2" width="29.26953125" style="1" customWidth="1"/>
    <col min="3" max="3" width="5" style="1" customWidth="1"/>
    <col min="4" max="4" width="14.26953125" style="1" customWidth="1"/>
    <col min="5" max="5" width="1.81640625" style="1" customWidth="1"/>
    <col min="6" max="6" width="14.54296875" style="1" bestFit="1" customWidth="1"/>
    <col min="7" max="7" width="1.81640625" style="1" customWidth="1"/>
    <col min="8" max="8" width="14" style="1" customWidth="1"/>
    <col min="9" max="9" width="1.81640625" style="1" customWidth="1"/>
    <col min="10" max="10" width="12.1796875" style="1" customWidth="1"/>
    <col min="11" max="11" width="1.7265625" style="1" customWidth="1"/>
    <col min="12" max="12" width="10.7265625" style="1" customWidth="1"/>
    <col min="13" max="13" width="1.7265625" style="1" customWidth="1"/>
    <col min="14" max="14" width="10.7265625" style="1" customWidth="1"/>
    <col min="15" max="15" width="1.7265625" style="1" customWidth="1"/>
    <col min="16" max="16" width="10.7265625" style="1" customWidth="1"/>
    <col min="17" max="17" width="1.7265625" style="1" customWidth="1"/>
    <col min="18" max="18" width="10.7265625" style="1" customWidth="1"/>
    <col min="19" max="19" width="1.7265625" style="1" customWidth="1"/>
    <col min="20" max="20" width="10.7265625" style="1" customWidth="1"/>
    <col min="21" max="21" width="1.7265625" style="1" customWidth="1"/>
    <col min="22" max="22" width="10.7265625" style="1" customWidth="1"/>
    <col min="23" max="23" width="1.7265625" style="1" customWidth="1"/>
    <col min="24" max="24" width="10.7265625" style="1" customWidth="1"/>
    <col min="25" max="25" width="1.7265625" style="1" customWidth="1"/>
    <col min="26" max="26" width="10.7265625" style="1" customWidth="1"/>
    <col min="27" max="27" width="1.7265625" style="1" customWidth="1"/>
    <col min="28" max="28" width="10.7265625" style="1" customWidth="1"/>
    <col min="29" max="29" width="9.1796875" style="1"/>
    <col min="30" max="30" width="12.1796875" style="1" bestFit="1" customWidth="1"/>
    <col min="31" max="16384" width="9.1796875" style="1"/>
  </cols>
  <sheetData>
    <row r="6" spans="1:12" ht="14.5" x14ac:dyDescent="0.35">
      <c r="F6" s="156" t="s">
        <v>334</v>
      </c>
      <c r="G6" s="157"/>
      <c r="H6" s="157"/>
      <c r="I6" s="157"/>
      <c r="J6" s="157"/>
    </row>
    <row r="7" spans="1:12" x14ac:dyDescent="0.25">
      <c r="F7" s="18"/>
      <c r="H7" s="18" t="s">
        <v>20</v>
      </c>
      <c r="J7" s="18" t="s">
        <v>320</v>
      </c>
      <c r="K7" s="18"/>
      <c r="L7" s="18"/>
    </row>
    <row r="8" spans="1:12" x14ac:dyDescent="0.25">
      <c r="A8" s="18" t="s">
        <v>6</v>
      </c>
      <c r="B8" s="18" t="s">
        <v>275</v>
      </c>
      <c r="F8" s="18" t="s">
        <v>335</v>
      </c>
      <c r="G8" s="18"/>
      <c r="H8" s="18" t="s">
        <v>276</v>
      </c>
      <c r="I8" s="3"/>
      <c r="J8" s="2" t="s">
        <v>276</v>
      </c>
      <c r="L8" s="18"/>
    </row>
    <row r="9" spans="1:12" x14ac:dyDescent="0.25">
      <c r="A9" s="4" t="s">
        <v>11</v>
      </c>
      <c r="B9" s="4" t="s">
        <v>191</v>
      </c>
      <c r="D9" s="4" t="s">
        <v>2</v>
      </c>
      <c r="F9" s="4" t="s">
        <v>322</v>
      </c>
      <c r="G9" s="18"/>
      <c r="H9" s="4" t="s">
        <v>323</v>
      </c>
      <c r="I9" s="18"/>
      <c r="J9" s="4" t="s">
        <v>324</v>
      </c>
      <c r="K9" s="3"/>
      <c r="L9" s="2"/>
    </row>
    <row r="10" spans="1:12" x14ac:dyDescent="0.25">
      <c r="A10" s="4"/>
      <c r="B10" s="4"/>
      <c r="D10" s="4" t="s">
        <v>22</v>
      </c>
      <c r="F10" s="4" t="s">
        <v>23</v>
      </c>
      <c r="G10" s="18"/>
      <c r="H10" s="4" t="s">
        <v>24</v>
      </c>
      <c r="I10" s="18"/>
      <c r="J10" s="4" t="s">
        <v>165</v>
      </c>
      <c r="K10" s="18"/>
      <c r="L10" s="18"/>
    </row>
    <row r="11" spans="1:12" x14ac:dyDescent="0.25">
      <c r="A11" s="1"/>
      <c r="C11" s="18"/>
      <c r="D11" s="18"/>
      <c r="E11" s="18"/>
      <c r="F11" s="55"/>
      <c r="G11" s="18"/>
      <c r="H11" s="55"/>
      <c r="I11" s="18"/>
      <c r="J11" s="55"/>
      <c r="K11" s="18"/>
      <c r="L11" s="55"/>
    </row>
    <row r="12" spans="1:12" x14ac:dyDescent="0.25">
      <c r="A12" s="18">
        <v>1</v>
      </c>
      <c r="B12" s="18"/>
      <c r="C12" s="2" t="s">
        <v>167</v>
      </c>
      <c r="D12" s="20">
        <f>SUM(F12:J12)</f>
        <v>1</v>
      </c>
      <c r="E12" s="20"/>
      <c r="F12" s="20">
        <v>1</v>
      </c>
      <c r="G12" s="20"/>
      <c r="H12" s="20">
        <v>0</v>
      </c>
      <c r="I12" s="20"/>
      <c r="J12" s="20">
        <v>0</v>
      </c>
    </row>
    <row r="13" spans="1:12" x14ac:dyDescent="0.25">
      <c r="A13" s="18">
        <f>A12+1</f>
        <v>2</v>
      </c>
      <c r="B13" s="18" t="s">
        <v>332</v>
      </c>
      <c r="C13" s="2"/>
      <c r="D13" s="24">
        <f>SUM(F13:J13)</f>
        <v>1</v>
      </c>
      <c r="E13" s="24"/>
      <c r="F13" s="24">
        <f>IFERROR(F12/$D12,0)</f>
        <v>1</v>
      </c>
      <c r="G13" s="24"/>
      <c r="H13" s="24">
        <f>IFERROR(H12/$D12,0)</f>
        <v>0</v>
      </c>
      <c r="I13" s="24"/>
      <c r="J13" s="24">
        <f>IFERROR(J12/$D12,0)</f>
        <v>0</v>
      </c>
      <c r="K13" s="20"/>
      <c r="L13" s="20"/>
    </row>
    <row r="14" spans="1:12" x14ac:dyDescent="0.25">
      <c r="A14" s="18"/>
      <c r="B14" s="18"/>
      <c r="C14" s="2"/>
      <c r="D14" s="24"/>
      <c r="F14" s="24"/>
      <c r="H14" s="24"/>
      <c r="J14" s="24"/>
      <c r="L14" s="24"/>
    </row>
    <row r="15" spans="1:12" x14ac:dyDescent="0.25">
      <c r="A15" s="18">
        <f>A13+1</f>
        <v>3</v>
      </c>
      <c r="B15" s="18"/>
      <c r="C15" s="2" t="s">
        <v>167</v>
      </c>
      <c r="D15" s="20">
        <f>SUM(F15:J15)</f>
        <v>1</v>
      </c>
      <c r="E15" s="20"/>
      <c r="F15" s="20">
        <v>0</v>
      </c>
      <c r="G15" s="20"/>
      <c r="H15" s="20">
        <v>0</v>
      </c>
      <c r="I15" s="20"/>
      <c r="J15" s="20">
        <v>1</v>
      </c>
      <c r="L15" s="24"/>
    </row>
    <row r="16" spans="1:12" x14ac:dyDescent="0.25">
      <c r="A16" s="18">
        <f>A15+1</f>
        <v>4</v>
      </c>
      <c r="B16" s="18" t="s">
        <v>329</v>
      </c>
      <c r="C16" s="2"/>
      <c r="D16" s="24">
        <f>SUM(F16:J16)</f>
        <v>1</v>
      </c>
      <c r="E16" s="24"/>
      <c r="F16" s="24">
        <f>IFERROR(F15/$D15,0)</f>
        <v>0</v>
      </c>
      <c r="G16" s="24"/>
      <c r="H16" s="24">
        <f>IFERROR(H15/$D15,0)</f>
        <v>0</v>
      </c>
      <c r="I16" s="24"/>
      <c r="J16" s="24">
        <f>IFERROR(J15/$D15,0)</f>
        <v>1</v>
      </c>
      <c r="K16" s="20"/>
      <c r="L16" s="20"/>
    </row>
    <row r="17" spans="1:12" x14ac:dyDescent="0.25">
      <c r="A17" s="18"/>
      <c r="B17" s="18"/>
      <c r="C17" s="2"/>
      <c r="D17" s="24"/>
      <c r="F17" s="24"/>
      <c r="H17" s="24"/>
      <c r="J17" s="24"/>
      <c r="L17" s="24"/>
    </row>
    <row r="18" spans="1:12" x14ac:dyDescent="0.25">
      <c r="A18" s="18">
        <f>A16+1</f>
        <v>5</v>
      </c>
      <c r="B18" s="18"/>
      <c r="C18" s="2" t="s">
        <v>167</v>
      </c>
      <c r="D18" s="20">
        <f>SUM(F18:J18)</f>
        <v>58508.203680177823</v>
      </c>
      <c r="E18" s="20"/>
      <c r="F18" s="20">
        <v>547.68064850261737</v>
      </c>
      <c r="G18" s="20"/>
      <c r="H18" s="20">
        <v>50479.003502803193</v>
      </c>
      <c r="I18" s="20"/>
      <c r="J18" s="20">
        <v>7481.5195288720115</v>
      </c>
    </row>
    <row r="19" spans="1:12" x14ac:dyDescent="0.25">
      <c r="A19" s="18">
        <f>A18+1</f>
        <v>6</v>
      </c>
      <c r="B19" s="18" t="s">
        <v>333</v>
      </c>
      <c r="C19" s="2"/>
      <c r="D19" s="24">
        <f>SUM(F19:J19)</f>
        <v>0.99999999999999989</v>
      </c>
      <c r="E19" s="24"/>
      <c r="F19" s="24">
        <f>IFERROR(F18/$D18,0)</f>
        <v>9.3607496736080424E-3</v>
      </c>
      <c r="G19" s="24"/>
      <c r="H19" s="24">
        <f>IFERROR(H18/$D18,0)</f>
        <v>0.8627679594939458</v>
      </c>
      <c r="I19" s="24"/>
      <c r="J19" s="24">
        <f>IFERROR(J18/$D18,0)</f>
        <v>0.12787129083244611</v>
      </c>
      <c r="K19" s="20"/>
      <c r="L19" s="20"/>
    </row>
    <row r="20" spans="1:12" x14ac:dyDescent="0.25">
      <c r="A20" s="18"/>
      <c r="B20" s="18"/>
      <c r="C20" s="2"/>
      <c r="D20" s="24"/>
      <c r="F20" s="24"/>
      <c r="H20" s="24"/>
      <c r="J20" s="24"/>
      <c r="L20" s="24"/>
    </row>
    <row r="21" spans="1:12" x14ac:dyDescent="0.25">
      <c r="A21" s="18">
        <f>A19+1</f>
        <v>7</v>
      </c>
      <c r="B21" s="18"/>
      <c r="C21" s="2" t="s">
        <v>167</v>
      </c>
      <c r="D21" s="20">
        <f ca="1">SUM(F21:J21)</f>
        <v>149164.17738414832</v>
      </c>
      <c r="E21" s="20"/>
      <c r="F21" s="20">
        <f ca="1">SUM('Dist Cust Class'!P124:P147,'Dist Cust Class'!P149:P156,'Dist Cust Class'!P159)</f>
        <v>581.2544445048145</v>
      </c>
      <c r="G21" s="20"/>
      <c r="H21" s="20">
        <f ca="1">SUM('Dist Cust Class'!R124:R147,'Dist Cust Class'!R149:R156,'Dist Cust Class'!R159)</f>
        <v>138095.38546229512</v>
      </c>
      <c r="I21" s="20"/>
      <c r="J21" s="20">
        <f ca="1">SUM('Dist Cust Class'!T124:T147,'Dist Cust Class'!T149:T156,'Dist Cust Class'!T159)-'Dist Cust Class'!H145-'Dist Cust Class'!H151-'Dist Cust Class'!H159</f>
        <v>10487.537477348371</v>
      </c>
    </row>
    <row r="22" spans="1:12" x14ac:dyDescent="0.25">
      <c r="A22" s="18">
        <f>A21+1</f>
        <v>8</v>
      </c>
      <c r="B22" s="18" t="s">
        <v>325</v>
      </c>
      <c r="C22" s="2"/>
      <c r="D22" s="24">
        <f ca="1">SUM(F22:J22)</f>
        <v>1</v>
      </c>
      <c r="E22" s="24"/>
      <c r="F22" s="24">
        <f ca="1">IFERROR(F21/$D21,0)</f>
        <v>3.89674286881821E-3</v>
      </c>
      <c r="G22" s="24"/>
      <c r="H22" s="24">
        <f ca="1">IFERROR(H21/$D21,0)</f>
        <v>0.92579457001028265</v>
      </c>
      <c r="I22" s="24"/>
      <c r="J22" s="24">
        <f ca="1">IFERROR(J21/$D21,0)</f>
        <v>7.0308687120899049E-2</v>
      </c>
      <c r="K22" s="20"/>
      <c r="L22" s="20"/>
    </row>
    <row r="23" spans="1:12" x14ac:dyDescent="0.25">
      <c r="A23" s="18"/>
      <c r="B23" s="18"/>
      <c r="C23" s="2"/>
      <c r="D23" s="24"/>
      <c r="F23" s="24"/>
      <c r="H23" s="24"/>
      <c r="J23" s="24"/>
      <c r="L23" s="24"/>
    </row>
    <row r="24" spans="1:12" x14ac:dyDescent="0.25">
      <c r="A24" s="18">
        <f>A22+1</f>
        <v>9</v>
      </c>
      <c r="B24" s="18"/>
      <c r="C24" s="2" t="s">
        <v>167</v>
      </c>
      <c r="D24" s="20">
        <f ca="1">SUM(F24:J24)</f>
        <v>114598.42109880311</v>
      </c>
      <c r="E24" s="20"/>
      <c r="F24" s="20">
        <f ca="1">SUM('Dist Cust Class'!P152:P157)</f>
        <v>11814.781536038916</v>
      </c>
      <c r="G24" s="20"/>
      <c r="H24" s="20">
        <f ca="1">SUM('Dist Cust Class'!R152:R157)</f>
        <v>96730.694289326668</v>
      </c>
      <c r="I24" s="20"/>
      <c r="J24" s="20">
        <f ca="1">SUM('Dist Cust Class'!T152:T157)</f>
        <v>6052.9452734375218</v>
      </c>
      <c r="L24" s="24"/>
    </row>
    <row r="25" spans="1:12" x14ac:dyDescent="0.25">
      <c r="A25" s="18">
        <f>A24+1</f>
        <v>10</v>
      </c>
      <c r="B25" s="18" t="s">
        <v>331</v>
      </c>
      <c r="C25" s="2"/>
      <c r="D25" s="36">
        <f ca="1">SUM(F25:J25)</f>
        <v>0.99999999999999989</v>
      </c>
      <c r="E25" s="36"/>
      <c r="F25" s="24">
        <f ca="1">IFERROR(F24/$D24,0)</f>
        <v>0.10309724534383058</v>
      </c>
      <c r="G25" s="24"/>
      <c r="H25" s="24">
        <f ca="1">IFERROR(H24/$D24,0)</f>
        <v>0.84408400536276618</v>
      </c>
      <c r="I25" s="24"/>
      <c r="J25" s="24">
        <f ca="1">IFERROR(J24/$D24,0)</f>
        <v>5.2818749293403133E-2</v>
      </c>
      <c r="K25" s="20"/>
      <c r="L25" s="20"/>
    </row>
    <row r="26" spans="1:12" x14ac:dyDescent="0.25">
      <c r="B26" s="18"/>
      <c r="C26" s="2"/>
      <c r="D26" s="24"/>
      <c r="F26" s="24"/>
      <c r="H26" s="24"/>
      <c r="J26" s="24"/>
      <c r="L26" s="24"/>
    </row>
    <row r="27" spans="1:12" x14ac:dyDescent="0.25">
      <c r="A27" s="18">
        <f>A25+1</f>
        <v>11</v>
      </c>
      <c r="B27" s="18"/>
      <c r="C27" s="2" t="s">
        <v>167</v>
      </c>
      <c r="D27" s="20">
        <f>SUM(F27:J27)</f>
        <v>1</v>
      </c>
      <c r="E27" s="20"/>
      <c r="F27" s="20">
        <v>0</v>
      </c>
      <c r="G27" s="20"/>
      <c r="H27" s="20">
        <v>1</v>
      </c>
      <c r="I27" s="20"/>
      <c r="J27" s="20">
        <v>0</v>
      </c>
    </row>
    <row r="28" spans="1:12" x14ac:dyDescent="0.25">
      <c r="A28" s="18">
        <f>A27+1</f>
        <v>12</v>
      </c>
      <c r="B28" s="18" t="s">
        <v>330</v>
      </c>
      <c r="C28" s="18"/>
      <c r="D28" s="36">
        <f>SUM(F28:J28)</f>
        <v>1</v>
      </c>
      <c r="E28" s="36"/>
      <c r="F28" s="24">
        <f>IFERROR(F27/$D27,0)</f>
        <v>0</v>
      </c>
      <c r="G28" s="24"/>
      <c r="H28" s="24">
        <f>IFERROR(H27/$D27,0)</f>
        <v>1</v>
      </c>
      <c r="I28" s="24"/>
      <c r="J28" s="24">
        <f>IFERROR(J27/$D27,0)</f>
        <v>0</v>
      </c>
      <c r="K28" s="20"/>
      <c r="L28" s="20"/>
    </row>
    <row r="29" spans="1:12" x14ac:dyDescent="0.25">
      <c r="F29" s="24"/>
      <c r="H29" s="24"/>
      <c r="J29" s="24"/>
    </row>
    <row r="34" spans="1:22" x14ac:dyDescent="0.25">
      <c r="A34" s="3"/>
    </row>
    <row r="35" spans="1:22" x14ac:dyDescent="0.25">
      <c r="A35" s="3"/>
    </row>
    <row r="37" spans="1:22" x14ac:dyDescent="0.25">
      <c r="A37" s="3"/>
    </row>
    <row r="38" spans="1:22" x14ac:dyDescent="0.25">
      <c r="A38" s="3"/>
    </row>
    <row r="39" spans="1:22" x14ac:dyDescent="0.25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5">
      <c r="A40" s="3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25">
      <c r="A41" s="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25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5">
      <c r="A43" s="2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5">
      <c r="A44" s="2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5">
      <c r="D45" s="61"/>
      <c r="F45" s="61"/>
      <c r="H45" s="61"/>
    </row>
    <row r="46" spans="1:22" x14ac:dyDescent="0.25">
      <c r="A46" s="2"/>
    </row>
    <row r="47" spans="1:22" x14ac:dyDescent="0.25">
      <c r="A47" s="2"/>
    </row>
    <row r="49" spans="1:12" x14ac:dyDescent="0.25">
      <c r="A49" s="2"/>
    </row>
    <row r="50" spans="1:12" x14ac:dyDescent="0.25">
      <c r="A50" s="2"/>
    </row>
    <row r="52" spans="1:12" ht="13" x14ac:dyDescent="0.3">
      <c r="A52" s="54"/>
      <c r="B52" s="18"/>
      <c r="D52" s="22"/>
      <c r="E52" s="22"/>
      <c r="F52" s="22"/>
      <c r="G52" s="22"/>
      <c r="H52" s="22"/>
      <c r="J52" s="22"/>
      <c r="L52" s="51"/>
    </row>
    <row r="53" spans="1:12" ht="13" x14ac:dyDescent="0.3">
      <c r="A53" s="54"/>
      <c r="B53" s="60"/>
      <c r="D53" s="61"/>
      <c r="F53" s="61"/>
      <c r="H53" s="61"/>
      <c r="J53" s="61"/>
    </row>
  </sheetData>
  <mergeCells count="1">
    <mergeCell ref="F6:J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23C0-672A-4FAF-9F19-B78A98FD5181}">
  <sheetPr>
    <tabColor theme="0" tint="-0.249977111117893"/>
  </sheetPr>
  <dimension ref="A6:S71"/>
  <sheetViews>
    <sheetView zoomScale="80" zoomScaleNormal="80" workbookViewId="0">
      <selection activeCell="N37" sqref="N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20.1796875" style="31" customWidth="1"/>
    <col min="7" max="7" width="1.7265625" style="31" customWidth="1"/>
    <col min="8" max="8" width="17.1796875" style="31" customWidth="1"/>
    <col min="9" max="9" width="1.7265625" style="39" customWidth="1"/>
    <col min="10" max="10" width="26.54296875" style="2" customWidth="1"/>
    <col min="11" max="11" width="1.7265625" style="71" customWidth="1"/>
    <col min="12" max="12" width="17.1796875" style="31" customWidth="1"/>
    <col min="13" max="13" width="1.7265625" style="39" customWidth="1"/>
    <col min="14" max="14" width="23.453125" style="2" bestFit="1" customWidth="1"/>
    <col min="15" max="15" width="1.7265625" style="71" customWidth="1"/>
    <col min="16" max="18" width="10.81640625" style="31" customWidth="1"/>
    <col min="19" max="19" width="11.81640625" style="31" bestFit="1" customWidth="1"/>
    <col min="20" max="16384" width="9.1796875" style="31"/>
  </cols>
  <sheetData>
    <row r="6" spans="1:19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9" x14ac:dyDescent="0.25">
      <c r="B7" s="158" t="s">
        <v>336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9" spans="1:19" x14ac:dyDescent="0.25">
      <c r="F9" s="2" t="s">
        <v>337</v>
      </c>
    </row>
    <row r="10" spans="1:19" x14ac:dyDescent="0.25">
      <c r="A10" s="2" t="s">
        <v>6</v>
      </c>
      <c r="D10" s="2" t="s">
        <v>337</v>
      </c>
      <c r="F10" s="2" t="s">
        <v>13</v>
      </c>
      <c r="H10" s="2" t="s">
        <v>338</v>
      </c>
      <c r="J10" s="2" t="s">
        <v>339</v>
      </c>
      <c r="K10" s="70"/>
      <c r="L10" s="2" t="s">
        <v>340</v>
      </c>
      <c r="N10" s="2" t="s">
        <v>10</v>
      </c>
      <c r="P10" s="2"/>
      <c r="Q10" s="2"/>
      <c r="R10" s="2"/>
    </row>
    <row r="11" spans="1:19" x14ac:dyDescent="0.25">
      <c r="A11" s="33" t="s">
        <v>11</v>
      </c>
      <c r="B11" s="77" t="s">
        <v>12</v>
      </c>
      <c r="D11" s="33" t="s">
        <v>341</v>
      </c>
      <c r="F11" s="33" t="s">
        <v>342</v>
      </c>
      <c r="H11" s="33" t="s">
        <v>8</v>
      </c>
      <c r="J11" s="33" t="s">
        <v>14</v>
      </c>
      <c r="K11" s="70"/>
      <c r="L11" s="33" t="s">
        <v>343</v>
      </c>
      <c r="N11" s="33" t="s">
        <v>14</v>
      </c>
      <c r="P11" s="4" t="s">
        <v>344</v>
      </c>
      <c r="Q11" s="4" t="s">
        <v>345</v>
      </c>
      <c r="R11" s="4" t="s">
        <v>346</v>
      </c>
      <c r="S11" s="33" t="s">
        <v>347</v>
      </c>
    </row>
    <row r="12" spans="1:19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P12" s="81" t="s">
        <v>28</v>
      </c>
      <c r="Q12" s="81" t="s">
        <v>29</v>
      </c>
      <c r="R12" s="81" t="s">
        <v>30</v>
      </c>
      <c r="S12" s="81" t="s">
        <v>180</v>
      </c>
    </row>
    <row r="13" spans="1:19" x14ac:dyDescent="0.25">
      <c r="D13" s="81"/>
      <c r="F13" s="81"/>
      <c r="H13" s="81"/>
      <c r="J13" s="81"/>
      <c r="L13" s="81"/>
      <c r="N13" s="81"/>
      <c r="P13" s="114">
        <v>4</v>
      </c>
      <c r="Q13" s="114">
        <v>6</v>
      </c>
      <c r="R13" s="114">
        <v>8</v>
      </c>
      <c r="S13" s="114">
        <v>10</v>
      </c>
    </row>
    <row r="14" spans="1:19" x14ac:dyDescent="0.25">
      <c r="B14" s="74" t="s">
        <v>348</v>
      </c>
      <c r="I14" s="31"/>
      <c r="P14" s="39"/>
      <c r="Q14" s="39"/>
      <c r="R14" s="39"/>
      <c r="S14" s="39"/>
    </row>
    <row r="15" spans="1:19" x14ac:dyDescent="0.25">
      <c r="A15" s="2">
        <v>1</v>
      </c>
      <c r="B15" s="31" t="s">
        <v>349</v>
      </c>
      <c r="D15" s="76">
        <f ca="1">'Gas Supply Class'!P164</f>
        <v>1878311.1040714213</v>
      </c>
      <c r="E15" s="76"/>
      <c r="F15" s="76">
        <f ca="1">'Gas Supply Class'!P180</f>
        <v>1878311.1040714213</v>
      </c>
      <c r="I15" s="31"/>
      <c r="K15" s="71">
        <f>_xlfn.IFNA(MATCH(J15,'Rate Zone Allocation Factors'!$B$13:$B$68,0),0)</f>
        <v>0</v>
      </c>
      <c r="L15" s="76">
        <f ca="1">F15-H15</f>
        <v>1878311.1040714213</v>
      </c>
      <c r="N15" s="2" t="s">
        <v>350</v>
      </c>
      <c r="O15" s="71">
        <f>MATCH(N15,'Rate Zone Allocation Factors'!$B$13:$B$68,0)</f>
        <v>47</v>
      </c>
      <c r="P15" s="9">
        <f ca="1">OFFSET('Rate Zone Allocation Factors'!$B$13,$O15-1,P$13)*$L15+OFFSET('Rate Zone Allocation Factors'!$B$13,$K15-1,P$13)*$H15</f>
        <v>104134.65440462345</v>
      </c>
      <c r="Q15" s="20">
        <f ca="1">OFFSET('Rate Zone Allocation Factors'!$B$13,$O15-1,Q$13)*$L15+OFFSET('Rate Zone Allocation Factors'!$B$13,$K15-1,Q$13)*$H15</f>
        <v>1171021.2005978464</v>
      </c>
      <c r="R15" s="9">
        <f ca="1">OFFSET('Rate Zone Allocation Factors'!$B$13,$O15-1,R$13)*$L15+OFFSET('Rate Zone Allocation Factors'!$B$13,$K15-1,R$13)*$H15</f>
        <v>603155.24906895147</v>
      </c>
      <c r="S15" s="9">
        <f ca="1">OFFSET('Rate Zone Allocation Factors'!$B$13,$O15-1,S$13)*$L15+OFFSET('Rate Zone Allocation Factors'!$B$13,$K15-1,S$13)*$H15</f>
        <v>0</v>
      </c>
    </row>
    <row r="16" spans="1:19" x14ac:dyDescent="0.25">
      <c r="A16" s="2">
        <f>A15+1</f>
        <v>2</v>
      </c>
      <c r="B16" s="31" t="s">
        <v>351</v>
      </c>
      <c r="D16" s="76">
        <f ca="1">'Gas Supply Class'!R164</f>
        <v>161486.41315728414</v>
      </c>
      <c r="E16" s="76"/>
      <c r="F16" s="76">
        <f ca="1">'Gas Supply Class'!R180</f>
        <v>153599.23567205007</v>
      </c>
      <c r="H16" s="76"/>
      <c r="I16" s="31"/>
      <c r="K16" s="71">
        <f>_xlfn.IFNA(MATCH(J16,'Rate Zone Allocation Factors'!$B$13:$B$68,0),0)</f>
        <v>0</v>
      </c>
      <c r="L16" s="76">
        <f t="shared" ref="L16:L20" ca="1" si="0">F16-H16</f>
        <v>153599.23567205007</v>
      </c>
      <c r="N16" s="2" t="s">
        <v>352</v>
      </c>
      <c r="O16" s="71">
        <f>MATCH(N16,'Rate Zone Allocation Factors'!$B$13:$B$68,0)</f>
        <v>26</v>
      </c>
      <c r="P16" s="9">
        <f ca="1">OFFSET('Rate Zone Allocation Factors'!$B$13,$O16-1,P$13)*$L16+OFFSET('Rate Zone Allocation Factors'!$B$13,$K16-1,P$13)*$H16</f>
        <v>26185.896049534473</v>
      </c>
      <c r="Q16" s="20">
        <f ca="1">OFFSET('Rate Zone Allocation Factors'!$B$13,$O16-1,Q$13)*$L16+OFFSET('Rate Zone Allocation Factors'!$B$13,$K16-1,Q$13)*$H16</f>
        <v>127413.33962251562</v>
      </c>
      <c r="R16" s="9">
        <f ca="1">OFFSET('Rate Zone Allocation Factors'!$B$13,$O16-1,R$13)*$L16+OFFSET('Rate Zone Allocation Factors'!$B$13,$K16-1,R$13)*$H16</f>
        <v>0</v>
      </c>
      <c r="S16" s="9">
        <f ca="1">OFFSET('Rate Zone Allocation Factors'!$B$13,$O16-1,S$13)*$L16+OFFSET('Rate Zone Allocation Factors'!$B$13,$K16-1,S$13)*$H16</f>
        <v>0</v>
      </c>
    </row>
    <row r="17" spans="1:19" x14ac:dyDescent="0.25">
      <c r="A17" s="2">
        <f t="shared" ref="A17:A21" si="1">A16+1</f>
        <v>3</v>
      </c>
      <c r="B17" s="31" t="s">
        <v>353</v>
      </c>
      <c r="D17" s="76">
        <f ca="1">'Gas Supply Class'!T164</f>
        <v>40328.527901042762</v>
      </c>
      <c r="E17" s="76"/>
      <c r="F17" s="76">
        <f ca="1">'Gas Supply Class'!T180</f>
        <v>40328.527901042762</v>
      </c>
      <c r="I17" s="31"/>
      <c r="K17" s="71">
        <f>_xlfn.IFNA(MATCH(J17,'Rate Zone Allocation Factors'!$B$13:$B$68,0),0)</f>
        <v>0</v>
      </c>
      <c r="L17" s="76">
        <f t="shared" ca="1" si="0"/>
        <v>40328.527901042762</v>
      </c>
      <c r="N17" s="2" t="s">
        <v>354</v>
      </c>
      <c r="O17" s="71">
        <f>MATCH(N17,'Rate Zone Allocation Factors'!$B$13:$B$68,0)</f>
        <v>29</v>
      </c>
      <c r="P17" s="20">
        <f ca="1">OFFSET('Rate Zone Allocation Factors'!$B$13,$O17-1,P$13)*$L17+OFFSET('Rate Zone Allocation Factors'!$B$13,$K17-1,P$13)*$H17</f>
        <v>1935.8745702546512</v>
      </c>
      <c r="Q17" s="20">
        <f ca="1">OFFSET('Rate Zone Allocation Factors'!$B$13,$O17-1,Q$13)*$L17+OFFSET('Rate Zone Allocation Factors'!$B$13,$K17-1,Q$13)*$H17</f>
        <v>24624.003101098595</v>
      </c>
      <c r="R17" s="20">
        <f ca="1">OFFSET('Rate Zone Allocation Factors'!$B$13,$O17-1,R$13)*$L17+OFFSET('Rate Zone Allocation Factors'!$B$13,$K17-1,R$13)*$H17</f>
        <v>13768.650229689516</v>
      </c>
      <c r="S17" s="20">
        <f ca="1">OFFSET('Rate Zone Allocation Factors'!$B$13,$O17-1,S$13)*$L17+OFFSET('Rate Zone Allocation Factors'!$B$13,$K17-1,S$13)*$H17</f>
        <v>0</v>
      </c>
    </row>
    <row r="18" spans="1:19" x14ac:dyDescent="0.25">
      <c r="A18" s="2">
        <f t="shared" si="1"/>
        <v>4</v>
      </c>
      <c r="B18" s="31" t="s">
        <v>355</v>
      </c>
      <c r="D18" s="76">
        <f ca="1">'Gas Supply Class'!V164</f>
        <v>152523.42553920622</v>
      </c>
      <c r="E18" s="76"/>
      <c r="F18" s="76">
        <f ca="1">'Gas Supply Class'!V180</f>
        <v>145074.01041898847</v>
      </c>
      <c r="H18" s="76">
        <f ca="1">-'Gas Supply Class'!V172</f>
        <v>-7449.4151202177381</v>
      </c>
      <c r="I18" s="31"/>
      <c r="J18" s="2" t="s">
        <v>356</v>
      </c>
      <c r="K18" s="71">
        <f>_xlfn.IFNA(MATCH(J18,'Rate Zone Allocation Factors'!$B$13:$B$68,0),0)</f>
        <v>8</v>
      </c>
      <c r="L18" s="76">
        <f t="shared" ca="1" si="0"/>
        <v>152523.42553920622</v>
      </c>
      <c r="N18" s="2" t="s">
        <v>357</v>
      </c>
      <c r="O18" s="71">
        <f>MATCH(N18,'Rate Zone Allocation Factors'!$B$13:$B$68,0)</f>
        <v>50</v>
      </c>
      <c r="P18" s="20">
        <f ca="1">OFFSET('Rate Zone Allocation Factors'!$B$13,$O18-1,P$13)*$L18+OFFSET('Rate Zone Allocation Factors'!$B$13,$K18-1,P$13)*$H18</f>
        <v>15139.615264700324</v>
      </c>
      <c r="Q18" s="20">
        <f ca="1">OFFSET('Rate Zone Allocation Factors'!$B$13,$O18-1,Q$13)*$L18+OFFSET('Rate Zone Allocation Factors'!$B$13,$K18-1,Q$13)*$H18</f>
        <v>128790.80874773079</v>
      </c>
      <c r="R18" s="20">
        <f ca="1">OFFSET('Rate Zone Allocation Factors'!$B$13,$O18-1,R$13)*$L18+OFFSET('Rate Zone Allocation Factors'!$B$13,$K18-1,R$13)*$H18</f>
        <v>1143.5864065573767</v>
      </c>
      <c r="S18" s="20">
        <f ca="1">OFFSET('Rate Zone Allocation Factors'!$B$13,$O18-1,S$13)*$L18+OFFSET('Rate Zone Allocation Factors'!$B$13,$K18-1,S$13)*$H18</f>
        <v>0</v>
      </c>
    </row>
    <row r="19" spans="1:19" x14ac:dyDescent="0.25">
      <c r="A19" s="2">
        <f t="shared" si="1"/>
        <v>5</v>
      </c>
      <c r="B19" s="31" t="s">
        <v>358</v>
      </c>
      <c r="D19" s="76">
        <f ca="1">'Gas Supply Class'!X164</f>
        <v>14888.543237034275</v>
      </c>
      <c r="E19" s="76"/>
      <c r="F19" s="76">
        <f ca="1">'Gas Supply Class'!X180</f>
        <v>14888.543237034275</v>
      </c>
      <c r="I19" s="31"/>
      <c r="K19" s="71">
        <f>_xlfn.IFNA(MATCH(J19,'Rate Zone Allocation Factors'!$B$13:$B$68,0),0)</f>
        <v>0</v>
      </c>
      <c r="L19" s="76">
        <f t="shared" ca="1" si="0"/>
        <v>14888.543237034275</v>
      </c>
      <c r="N19" s="2" t="s">
        <v>359</v>
      </c>
      <c r="O19" s="71">
        <f>MATCH(N19,'Rate Zone Allocation Factors'!$B$13:$B$68,0)</f>
        <v>53</v>
      </c>
      <c r="P19" s="20">
        <f ca="1">OFFSET('Rate Zone Allocation Factors'!$B$13,$O19-1,P$13)*$L19+OFFSET('Rate Zone Allocation Factors'!$B$13,$K19-1,P$13)*$H19</f>
        <v>2349.3688172958259</v>
      </c>
      <c r="Q19" s="20">
        <f ca="1">OFFSET('Rate Zone Allocation Factors'!$B$13,$O19-1,Q$13)*$L19+OFFSET('Rate Zone Allocation Factors'!$B$13,$K19-1,Q$13)*$H19</f>
        <v>12417.343062049933</v>
      </c>
      <c r="R19" s="20">
        <f ca="1">OFFSET('Rate Zone Allocation Factors'!$B$13,$O19-1,R$13)*$L19+OFFSET('Rate Zone Allocation Factors'!$B$13,$K19-1,R$13)*$H19</f>
        <v>121.83135768851581</v>
      </c>
      <c r="S19" s="20">
        <f ca="1">OFFSET('Rate Zone Allocation Factors'!$B$13,$O19-1,S$13)*$L19+OFFSET('Rate Zone Allocation Factors'!$B$13,$K19-1,S$13)*$H19</f>
        <v>0</v>
      </c>
    </row>
    <row r="20" spans="1:19" x14ac:dyDescent="0.25">
      <c r="A20" s="2">
        <f t="shared" si="1"/>
        <v>6</v>
      </c>
      <c r="B20" s="31" t="s">
        <v>178</v>
      </c>
      <c r="D20" s="76">
        <f ca="1">'Gas Supply Class'!Z164</f>
        <v>20855.923243351954</v>
      </c>
      <c r="E20" s="76"/>
      <c r="F20" s="76">
        <f ca="1">'Gas Supply Class'!Z180</f>
        <v>15491.673288166032</v>
      </c>
      <c r="I20" s="31"/>
      <c r="K20" s="71">
        <f>_xlfn.IFNA(MATCH(J20,'Rate Zone Allocation Factors'!$B$13:$B$68,0),0)</f>
        <v>0</v>
      </c>
      <c r="L20" s="76">
        <f t="shared" ca="1" si="0"/>
        <v>15491.673288166032</v>
      </c>
      <c r="N20" s="2" t="s">
        <v>360</v>
      </c>
      <c r="O20" s="71">
        <f>MATCH(N20,'Rate Zone Allocation Factors'!$B$13:$B$68,0)</f>
        <v>11</v>
      </c>
      <c r="P20" s="20">
        <f ca="1">OFFSET('Rate Zone Allocation Factors'!$B$13,$O20-1,P$13)*$L20+OFFSET('Rate Zone Allocation Factors'!$B$13,$K20-1,P$13)*$H20</f>
        <v>925.77960019655279</v>
      </c>
      <c r="Q20" s="20">
        <f ca="1">OFFSET('Rate Zone Allocation Factors'!$B$13,$O20-1,Q$13)*$L20+OFFSET('Rate Zone Allocation Factors'!$B$13,$K20-1,Q$13)*$H20</f>
        <v>10000.109352543885</v>
      </c>
      <c r="R20" s="20">
        <f ca="1">OFFSET('Rate Zone Allocation Factors'!$B$13,$O20-1,R$13)*$L20+OFFSET('Rate Zone Allocation Factors'!$B$13,$K20-1,R$13)*$H20</f>
        <v>4565.7843354255947</v>
      </c>
      <c r="S20" s="20">
        <f ca="1">OFFSET('Rate Zone Allocation Factors'!$B$13,$O20-1,S$13)*$L20+OFFSET('Rate Zone Allocation Factors'!$B$13,$K20-1,S$13)*$H20</f>
        <v>0</v>
      </c>
    </row>
    <row r="21" spans="1:19" x14ac:dyDescent="0.25">
      <c r="A21" s="2">
        <f t="shared" si="1"/>
        <v>7</v>
      </c>
      <c r="B21" s="31" t="s">
        <v>361</v>
      </c>
      <c r="D21" s="78">
        <f ca="1">SUM(D15:D20)</f>
        <v>2268393.9371493403</v>
      </c>
      <c r="E21" s="76"/>
      <c r="F21" s="78">
        <f ca="1">SUM(F15:F20)</f>
        <v>2247693.094588703</v>
      </c>
      <c r="H21" s="78">
        <f ca="1">SUM(H15:H20)</f>
        <v>-7449.4151202177381</v>
      </c>
      <c r="I21" s="31"/>
      <c r="L21" s="40">
        <f ca="1">SUM(L15:L20)</f>
        <v>2255142.5097089205</v>
      </c>
      <c r="P21" s="40">
        <f t="shared" ref="P21:S21" ca="1" si="2">SUM(P15:P20)</f>
        <v>150671.18870660526</v>
      </c>
      <c r="Q21" s="40">
        <f t="shared" ca="1" si="2"/>
        <v>1474266.8044837853</v>
      </c>
      <c r="R21" s="40">
        <f t="shared" ca="1" si="2"/>
        <v>622755.10139831249</v>
      </c>
      <c r="S21" s="40">
        <f t="shared" ca="1" si="2"/>
        <v>0</v>
      </c>
    </row>
    <row r="22" spans="1:19" x14ac:dyDescent="0.25">
      <c r="D22" s="76"/>
      <c r="E22" s="76"/>
      <c r="F22" s="76"/>
      <c r="I22" s="31"/>
      <c r="P22" s="76" t="s">
        <v>185</v>
      </c>
      <c r="Q22" s="76"/>
      <c r="R22" s="76"/>
      <c r="S22" s="76"/>
    </row>
    <row r="23" spans="1:19" x14ac:dyDescent="0.25">
      <c r="B23" s="74" t="s">
        <v>362</v>
      </c>
      <c r="D23" s="76"/>
      <c r="E23" s="76"/>
      <c r="F23" s="76"/>
      <c r="I23" s="31"/>
      <c r="P23" s="76"/>
      <c r="Q23" s="76"/>
      <c r="R23" s="76"/>
      <c r="S23" s="76"/>
    </row>
    <row r="24" spans="1:19" x14ac:dyDescent="0.25">
      <c r="A24" s="2">
        <f>A21+1</f>
        <v>8</v>
      </c>
      <c r="B24" s="31" t="s">
        <v>363</v>
      </c>
      <c r="D24" s="76">
        <f ca="1">'Storage Class'!P164</f>
        <v>106265.51371986589</v>
      </c>
      <c r="E24" s="76"/>
      <c r="F24" s="76">
        <f ca="1">'Storage Class'!P180</f>
        <v>106265.51371986589</v>
      </c>
      <c r="I24" s="31"/>
      <c r="K24" s="71">
        <f>_xlfn.IFNA(MATCH(J24,'Rate Zone Allocation Factors'!$B$13:$B$68,0),0)</f>
        <v>0</v>
      </c>
      <c r="L24" s="76">
        <f t="shared" ref="L24:L27" ca="1" si="3">F24-H24</f>
        <v>106265.51371986589</v>
      </c>
      <c r="N24" s="2" t="s">
        <v>354</v>
      </c>
      <c r="O24" s="71">
        <f>MATCH(N24,'Rate Zone Allocation Factors'!$B$13:$B$68,0)</f>
        <v>29</v>
      </c>
      <c r="P24" s="20">
        <f ca="1">OFFSET('Rate Zone Allocation Factors'!$B$13,$O24-1,P$13)*$L24+OFFSET('Rate Zone Allocation Factors'!$B$13,$K24-1,P$13)*$H24</f>
        <v>5101.0219418402321</v>
      </c>
      <c r="Q24" s="20">
        <f ca="1">OFFSET('Rate Zone Allocation Factors'!$B$13,$O24-1,Q$13)*$L24+OFFSET('Rate Zone Allocation Factors'!$B$13,$K24-1,Q$13)*$H24</f>
        <v>64884.152126717083</v>
      </c>
      <c r="R24" s="20">
        <f ca="1">OFFSET('Rate Zone Allocation Factors'!$B$13,$O24-1,R$13)*$L24+OFFSET('Rate Zone Allocation Factors'!$B$13,$K24-1,R$13)*$H24</f>
        <v>36280.339651308575</v>
      </c>
      <c r="S24" s="20">
        <f ca="1">OFFSET('Rate Zone Allocation Factors'!$B$13,$O24-1,S$13)*$L24+OFFSET('Rate Zone Allocation Factors'!$B$13,$K24-1,S$13)*$H24</f>
        <v>0</v>
      </c>
    </row>
    <row r="25" spans="1:19" x14ac:dyDescent="0.25">
      <c r="A25" s="2">
        <f>A24+1</f>
        <v>9</v>
      </c>
      <c r="B25" s="31" t="s">
        <v>364</v>
      </c>
      <c r="D25" s="76">
        <f ca="1">'Storage Class'!R164</f>
        <v>67317.433307812898</v>
      </c>
      <c r="E25" s="76"/>
      <c r="F25" s="76">
        <f ca="1">'Storage Class'!R180</f>
        <v>67317.433307812898</v>
      </c>
      <c r="H25" s="76">
        <f ca="1">'Storage Class'!AC93</f>
        <v>28256.55440729922</v>
      </c>
      <c r="I25" s="31"/>
      <c r="J25" s="2" t="s">
        <v>365</v>
      </c>
      <c r="K25" s="71">
        <f>_xlfn.IFNA(MATCH(J25,'Rate Zone Allocation Factors'!$B$13:$B$68,0),0)</f>
        <v>2</v>
      </c>
      <c r="L25" s="76">
        <f t="shared" ca="1" si="3"/>
        <v>39060.878900513679</v>
      </c>
      <c r="N25" s="2" t="s">
        <v>366</v>
      </c>
      <c r="O25" s="71">
        <f>MATCH(N25,'Rate Zone Allocation Factors'!$B$13:$B$68,0)</f>
        <v>41</v>
      </c>
      <c r="P25" s="20">
        <f ca="1">OFFSET('Rate Zone Allocation Factors'!$B$13,$O25-1,P$13)*$L25+OFFSET('Rate Zone Allocation Factors'!$B$13,$K25-1,P$13)*$H25</f>
        <v>3854.1306153863579</v>
      </c>
      <c r="Q25" s="20">
        <f ca="1">OFFSET('Rate Zone Allocation Factors'!$B$13,$O25-1,Q$13)*$L25+OFFSET('Rate Zone Allocation Factors'!$B$13,$K25-1,Q$13)*$H25</f>
        <v>41736.052645523814</v>
      </c>
      <c r="R25" s="20">
        <f ca="1">OFFSET('Rate Zone Allocation Factors'!$B$13,$O25-1,R$13)*$L25+OFFSET('Rate Zone Allocation Factors'!$B$13,$K25-1,R$13)*$H25</f>
        <v>21727.250046902733</v>
      </c>
      <c r="S25" s="20">
        <f ca="1">OFFSET('Rate Zone Allocation Factors'!$B$13,$O25-1,S$13)*$L25+OFFSET('Rate Zone Allocation Factors'!$B$13,$K25-1,S$13)*$H25</f>
        <v>0</v>
      </c>
    </row>
    <row r="26" spans="1:19" x14ac:dyDescent="0.25">
      <c r="A26" s="2">
        <f t="shared" ref="A26:A28" si="4">A25+1</f>
        <v>10</v>
      </c>
      <c r="B26" s="31" t="s">
        <v>367</v>
      </c>
      <c r="D26" s="76">
        <f ca="1">'Storage Class'!T164</f>
        <v>5768.9625818688937</v>
      </c>
      <c r="E26" s="76"/>
      <c r="F26" s="76">
        <f ca="1">'Storage Class'!T180</f>
        <v>5768.9625818688937</v>
      </c>
      <c r="I26" s="31"/>
      <c r="K26" s="71">
        <f>_xlfn.IFNA(MATCH(J26,'Rate Zone Allocation Factors'!$B$13:$B$68,0),0)</f>
        <v>0</v>
      </c>
      <c r="L26" s="76">
        <f t="shared" ca="1" si="3"/>
        <v>5768.9625818688937</v>
      </c>
      <c r="N26" s="2" t="s">
        <v>368</v>
      </c>
      <c r="O26" s="71">
        <f>MATCH(N26,'Rate Zone Allocation Factors'!$B$13:$B$68,0)</f>
        <v>32</v>
      </c>
      <c r="P26" s="20">
        <f ca="1">OFFSET('Rate Zone Allocation Factors'!$B$13,$O26-1,P$13)*$L26+OFFSET('Rate Zone Allocation Factors'!$B$13,$K26-1,P$13)*$H26</f>
        <v>290.91065568303998</v>
      </c>
      <c r="Q26" s="20">
        <f ca="1">OFFSET('Rate Zone Allocation Factors'!$B$13,$O26-1,Q$13)*$L26+OFFSET('Rate Zone Allocation Factors'!$B$13,$K26-1,Q$13)*$H26</f>
        <v>3465.2664142229587</v>
      </c>
      <c r="R26" s="20">
        <f ca="1">OFFSET('Rate Zone Allocation Factors'!$B$13,$O26-1,R$13)*$L26+OFFSET('Rate Zone Allocation Factors'!$B$13,$K26-1,R$13)*$H26</f>
        <v>1552.727668972055</v>
      </c>
      <c r="S26" s="20">
        <f ca="1">OFFSET('Rate Zone Allocation Factors'!$B$13,$O26-1,S$13)*$L26+OFFSET('Rate Zone Allocation Factors'!$B$13,$K26-1,S$13)*$H26</f>
        <v>460.05784299084002</v>
      </c>
    </row>
    <row r="27" spans="1:19" x14ac:dyDescent="0.25">
      <c r="A27" s="2">
        <f t="shared" si="4"/>
        <v>11</v>
      </c>
      <c r="B27" s="31" t="s">
        <v>369</v>
      </c>
      <c r="D27" s="76">
        <f ca="1">'Storage Class'!V164</f>
        <v>14135.587472300971</v>
      </c>
      <c r="E27" s="76"/>
      <c r="F27" s="76">
        <f ca="1">'Storage Class'!V180</f>
        <v>14135.587472300971</v>
      </c>
      <c r="I27" s="31"/>
      <c r="K27" s="71">
        <f>_xlfn.IFNA(MATCH(J27,'Rate Zone Allocation Factors'!$B$13:$B$68,0),0)</f>
        <v>0</v>
      </c>
      <c r="L27" s="76">
        <f t="shared" ca="1" si="3"/>
        <v>14135.587472300971</v>
      </c>
      <c r="N27" s="2" t="s">
        <v>370</v>
      </c>
      <c r="O27" s="71">
        <f>MATCH(N27,'Rate Zone Allocation Factors'!$B$13:$B$68,0)</f>
        <v>44</v>
      </c>
      <c r="P27" s="9">
        <f ca="1">OFFSET('Rate Zone Allocation Factors'!$B$13,$O27-1,P$13)*$L27+OFFSET('Rate Zone Allocation Factors'!$B$13,$K27-1,P$13)*$H27</f>
        <v>656.84290940717995</v>
      </c>
      <c r="Q27" s="20">
        <f ca="1">OFFSET('Rate Zone Allocation Factors'!$B$13,$O27-1,Q$13)*$L27+OFFSET('Rate Zone Allocation Factors'!$B$13,$K27-1,Q$13)*$H27</f>
        <v>8224.957206916366</v>
      </c>
      <c r="R27" s="9">
        <f ca="1">OFFSET('Rate Zone Allocation Factors'!$B$13,$O27-1,R$13)*$L27+OFFSET('Rate Zone Allocation Factors'!$B$13,$K27-1,R$13)*$H27</f>
        <v>5253.7873559774252</v>
      </c>
      <c r="S27" s="9">
        <f ca="1">OFFSET('Rate Zone Allocation Factors'!$B$13,$O27-1,S$13)*$L27+OFFSET('Rate Zone Allocation Factors'!$B$13,$K27-1,S$13)*$H27</f>
        <v>0</v>
      </c>
    </row>
    <row r="28" spans="1:19" x14ac:dyDescent="0.25">
      <c r="A28" s="2">
        <f t="shared" si="4"/>
        <v>12</v>
      </c>
      <c r="B28" s="31" t="s">
        <v>371</v>
      </c>
      <c r="D28" s="40">
        <f ca="1">SUM(D24:D27)</f>
        <v>193487.49708184865</v>
      </c>
      <c r="F28" s="40">
        <f ca="1">SUM(F24:F27)</f>
        <v>193487.49708184865</v>
      </c>
      <c r="H28" s="40">
        <f ca="1">SUM(H24:H27)</f>
        <v>28256.55440729922</v>
      </c>
      <c r="I28" s="31"/>
      <c r="J28" s="115"/>
      <c r="L28" s="40">
        <f ca="1">SUM(L24:L27)</f>
        <v>165230.94267454944</v>
      </c>
      <c r="P28" s="40">
        <f t="shared" ref="P28:S28" ca="1" si="5">SUM(P24:P27)</f>
        <v>9902.9061223168083</v>
      </c>
      <c r="Q28" s="40">
        <f t="shared" ca="1" si="5"/>
        <v>118310.42839338022</v>
      </c>
      <c r="R28" s="40">
        <f t="shared" ca="1" si="5"/>
        <v>64814.104723160781</v>
      </c>
      <c r="S28" s="40">
        <f t="shared" ca="1" si="5"/>
        <v>460.05784299084002</v>
      </c>
    </row>
    <row r="29" spans="1:19" x14ac:dyDescent="0.25">
      <c r="D29" s="48"/>
      <c r="I29" s="31"/>
      <c r="P29" s="76"/>
      <c r="Q29" s="76"/>
      <c r="R29" s="76"/>
      <c r="S29" s="76"/>
    </row>
    <row r="30" spans="1:19" x14ac:dyDescent="0.25">
      <c r="B30" s="74" t="s">
        <v>372</v>
      </c>
      <c r="I30" s="31"/>
      <c r="P30" s="76"/>
      <c r="Q30" s="76"/>
      <c r="R30" s="76"/>
      <c r="S30" s="76"/>
    </row>
    <row r="31" spans="1:19" x14ac:dyDescent="0.25">
      <c r="A31" s="2">
        <f>A28+1</f>
        <v>13</v>
      </c>
      <c r="B31" s="31" t="s">
        <v>373</v>
      </c>
      <c r="D31" s="76">
        <f ca="1">'Transmission Class'!P164</f>
        <v>12889.72691135346</v>
      </c>
      <c r="E31" s="76"/>
      <c r="F31" s="76">
        <f ca="1">'Transmission Class'!P180</f>
        <v>12889.72691135346</v>
      </c>
      <c r="I31" s="31"/>
      <c r="K31" s="71">
        <f>_xlfn.IFNA(MATCH(J31,'Rate Zone Allocation Factors'!$B$13:$B$68,0),0)</f>
        <v>0</v>
      </c>
      <c r="L31" s="76">
        <f t="shared" ref="L31:L38" ca="1" si="6">F31-H31</f>
        <v>12889.72691135346</v>
      </c>
      <c r="N31" s="2" t="s">
        <v>374</v>
      </c>
      <c r="O31" s="71">
        <f>MATCH(N31,'Rate Zone Allocation Factors'!$B$13:$B$68,0)</f>
        <v>17</v>
      </c>
      <c r="P31" s="9">
        <f ca="1">OFFSET('Rate Zone Allocation Factors'!$B$13,$O31-1,P$13)*$L31+OFFSET('Rate Zone Allocation Factors'!$B$13,$K31-1,P$13)*$H31</f>
        <v>346.55278235722216</v>
      </c>
      <c r="Q31" s="20">
        <f ca="1">OFFSET('Rate Zone Allocation Factors'!$B$13,$O31-1,Q$13)*$L31+OFFSET('Rate Zone Allocation Factors'!$B$13,$K31-1,Q$13)*$H31</f>
        <v>5058.8991334695847</v>
      </c>
      <c r="R31" s="9">
        <f ca="1">OFFSET('Rate Zone Allocation Factors'!$B$13,$O31-1,R$13)*$L31+OFFSET('Rate Zone Allocation Factors'!$B$13,$K31-1,R$13)*$H31</f>
        <v>2801.1189187088398</v>
      </c>
      <c r="S31" s="9">
        <f ca="1">OFFSET('Rate Zone Allocation Factors'!$B$13,$O31-1,S$13)*$L31+OFFSET('Rate Zone Allocation Factors'!$B$13,$K31-1,S$13)*$H31</f>
        <v>4683.1560768178124</v>
      </c>
    </row>
    <row r="32" spans="1:19" x14ac:dyDescent="0.25">
      <c r="A32" s="2">
        <f>A31+1</f>
        <v>14</v>
      </c>
      <c r="B32" s="31" t="s">
        <v>375</v>
      </c>
      <c r="D32" s="76">
        <f ca="1">'Transmission Class'!R164</f>
        <v>1418.3718363261082</v>
      </c>
      <c r="E32" s="76"/>
      <c r="F32" s="76">
        <f ca="1">'Transmission Class'!R180</f>
        <v>1418.3718363261082</v>
      </c>
      <c r="I32" s="31"/>
      <c r="K32" s="71">
        <f>_xlfn.IFNA(MATCH(J32,'Rate Zone Allocation Factors'!$B$13:$B$68,0),0)</f>
        <v>0</v>
      </c>
      <c r="L32" s="76">
        <f t="shared" ca="1" si="6"/>
        <v>1418.3718363261082</v>
      </c>
      <c r="N32" s="2" t="s">
        <v>376</v>
      </c>
      <c r="O32" s="71">
        <f>MATCH(N32,'Rate Zone Allocation Factors'!$B$13:$B$68,0)</f>
        <v>23</v>
      </c>
      <c r="P32" s="9">
        <f ca="1">OFFSET('Rate Zone Allocation Factors'!$B$13,$O32-1,P$13)*$L32+OFFSET('Rate Zone Allocation Factors'!$B$13,$K32-1,P$13)*$H32</f>
        <v>0</v>
      </c>
      <c r="Q32" s="20">
        <f ca="1">OFFSET('Rate Zone Allocation Factors'!$B$13,$O32-1,Q$13)*$L32+OFFSET('Rate Zone Allocation Factors'!$B$13,$K32-1,Q$13)*$H32</f>
        <v>135.75366221986272</v>
      </c>
      <c r="R32" s="9">
        <f ca="1">OFFSET('Rate Zone Allocation Factors'!$B$13,$O32-1,R$13)*$L32+OFFSET('Rate Zone Allocation Factors'!$B$13,$K32-1,R$13)*$H32</f>
        <v>286.05282800224467</v>
      </c>
      <c r="S32" s="9">
        <f ca="1">OFFSET('Rate Zone Allocation Factors'!$B$13,$O32-1,S$13)*$L32+OFFSET('Rate Zone Allocation Factors'!$B$13,$K32-1,S$13)*$H32</f>
        <v>996.5653461040007</v>
      </c>
    </row>
    <row r="33" spans="1:19" x14ac:dyDescent="0.25">
      <c r="A33" s="2">
        <f t="shared" ref="A33:A39" si="7">A32+1</f>
        <v>15</v>
      </c>
      <c r="B33" s="31" t="s">
        <v>377</v>
      </c>
      <c r="D33" s="76">
        <f ca="1">'Transmission Class'!T164</f>
        <v>46033.650718814592</v>
      </c>
      <c r="E33" s="76"/>
      <c r="F33" s="76">
        <f ca="1">'Transmission Class'!T180</f>
        <v>46033.650718814592</v>
      </c>
      <c r="I33" s="31"/>
      <c r="K33" s="71">
        <f>_xlfn.IFNA(MATCH(J33,'Rate Zone Allocation Factors'!$B$13:$B$68,0),0)</f>
        <v>0</v>
      </c>
      <c r="L33" s="76">
        <f t="shared" ca="1" si="6"/>
        <v>46033.650718814592</v>
      </c>
      <c r="N33" s="2" t="s">
        <v>378</v>
      </c>
      <c r="O33" s="71">
        <f>MATCH(N33,'Rate Zone Allocation Factors'!$B$13:$B$68,0)</f>
        <v>38</v>
      </c>
      <c r="P33" s="9">
        <f ca="1">OFFSET('Rate Zone Allocation Factors'!$B$13,$O33-1,P$13)*$L33+OFFSET('Rate Zone Allocation Factors'!$B$13,$K33-1,P$13)*$H33</f>
        <v>2246.0811933588025</v>
      </c>
      <c r="Q33" s="20">
        <f ca="1">OFFSET('Rate Zone Allocation Factors'!$B$13,$O33-1,Q$13)*$L33+OFFSET('Rate Zone Allocation Factors'!$B$13,$K33-1,Q$13)*$H33</f>
        <v>20136.013668639356</v>
      </c>
      <c r="R33" s="9">
        <f ca="1">OFFSET('Rate Zone Allocation Factors'!$B$13,$O33-1,R$13)*$L33+OFFSET('Rate Zone Allocation Factors'!$B$13,$K33-1,R$13)*$H33</f>
        <v>0</v>
      </c>
      <c r="S33" s="9">
        <f ca="1">OFFSET('Rate Zone Allocation Factors'!$B$13,$O33-1,S$13)*$L33+OFFSET('Rate Zone Allocation Factors'!$B$13,$K33-1,S$13)*$H33</f>
        <v>23651.555856816427</v>
      </c>
    </row>
    <row r="34" spans="1:19" x14ac:dyDescent="0.25">
      <c r="A34" s="2">
        <f t="shared" si="7"/>
        <v>16</v>
      </c>
      <c r="B34" s="31" t="s">
        <v>379</v>
      </c>
      <c r="D34" s="76">
        <f ca="1">'Transmission Class'!V164</f>
        <v>229743.82612937456</v>
      </c>
      <c r="E34" s="76"/>
      <c r="F34" s="76">
        <f ca="1">'Transmission Class'!V180</f>
        <v>229743.82612937456</v>
      </c>
      <c r="I34" s="31"/>
      <c r="K34" s="71">
        <f>_xlfn.IFNA(MATCH(J34,'Rate Zone Allocation Factors'!$B$13:$B$68,0),0)</f>
        <v>0</v>
      </c>
      <c r="L34" s="76">
        <f t="shared" ca="1" si="6"/>
        <v>229743.82612937456</v>
      </c>
      <c r="N34" s="2" t="s">
        <v>380</v>
      </c>
      <c r="O34" s="71">
        <f>MATCH(N34,'Rate Zone Allocation Factors'!$B$13:$B$68,0)</f>
        <v>20</v>
      </c>
      <c r="P34" s="9">
        <f ca="1">OFFSET('Rate Zone Allocation Factors'!$B$13,$O34-1,P$13)*$L34+OFFSET('Rate Zone Allocation Factors'!$B$13,$K34-1,P$13)*$H34</f>
        <v>7589.6466546897955</v>
      </c>
      <c r="Q34" s="20">
        <f ca="1">OFFSET('Rate Zone Allocation Factors'!$B$13,$O34-1,Q$13)*$L34+OFFSET('Rate Zone Allocation Factors'!$B$13,$K34-1,Q$13)*$H34</f>
        <v>110385.58057496099</v>
      </c>
      <c r="R34" s="9">
        <f ca="1">OFFSET('Rate Zone Allocation Factors'!$B$13,$O34-1,R$13)*$L34+OFFSET('Rate Zone Allocation Factors'!$B$13,$K34-1,R$13)*$H34</f>
        <v>45205.240456075633</v>
      </c>
      <c r="S34" s="9">
        <f ca="1">OFFSET('Rate Zone Allocation Factors'!$B$13,$O34-1,S$13)*$L34+OFFSET('Rate Zone Allocation Factors'!$B$13,$K34-1,S$13)*$H34</f>
        <v>66563.358443648132</v>
      </c>
    </row>
    <row r="35" spans="1:19" x14ac:dyDescent="0.25">
      <c r="A35" s="2">
        <f t="shared" si="7"/>
        <v>17</v>
      </c>
      <c r="B35" s="31" t="s">
        <v>381</v>
      </c>
      <c r="D35" s="76">
        <f ca="1">'Transmission Class'!X164</f>
        <v>30569.722628306641</v>
      </c>
      <c r="E35" s="76"/>
      <c r="F35" s="76">
        <f ca="1">'Transmission Class'!X180</f>
        <v>30569.722628306641</v>
      </c>
      <c r="I35" s="31"/>
      <c r="K35" s="71">
        <f>_xlfn.IFNA(MATCH(J35,'Rate Zone Allocation Factors'!$B$13:$B$68,0),0)</f>
        <v>0</v>
      </c>
      <c r="L35" s="76">
        <f t="shared" ca="1" si="6"/>
        <v>30569.722628306641</v>
      </c>
      <c r="N35" s="2" t="s">
        <v>382</v>
      </c>
      <c r="O35" s="71">
        <f>MATCH(N35,'Rate Zone Allocation Factors'!$B$13:$B$68,0)</f>
        <v>14</v>
      </c>
      <c r="P35" s="9">
        <f ca="1">OFFSET('Rate Zone Allocation Factors'!$B$13,$O35-1,P$13)*$L35+OFFSET('Rate Zone Allocation Factors'!$B$13,$K35-1,P$13)*$H35</f>
        <v>0</v>
      </c>
      <c r="Q35" s="20">
        <f ca="1">OFFSET('Rate Zone Allocation Factors'!$B$13,$O35-1,Q$13)*$L35+OFFSET('Rate Zone Allocation Factors'!$B$13,$K35-1,Q$13)*$H35</f>
        <v>12227.889051322658</v>
      </c>
      <c r="R35" s="9">
        <f ca="1">OFFSET('Rate Zone Allocation Factors'!$B$13,$O35-1,R$13)*$L35+OFFSET('Rate Zone Allocation Factors'!$B$13,$K35-1,R$13)*$H35</f>
        <v>0</v>
      </c>
      <c r="S35" s="9">
        <f ca="1">OFFSET('Rate Zone Allocation Factors'!$B$13,$O35-1,S$13)*$L35+OFFSET('Rate Zone Allocation Factors'!$B$13,$K35-1,S$13)*$H35</f>
        <v>18341.833576983983</v>
      </c>
    </row>
    <row r="36" spans="1:19" x14ac:dyDescent="0.25">
      <c r="A36" s="2">
        <f t="shared" si="7"/>
        <v>18</v>
      </c>
      <c r="B36" s="31" t="s">
        <v>383</v>
      </c>
      <c r="D36" s="76">
        <f ca="1">'Transmission Class'!Z164</f>
        <v>51106.232348853373</v>
      </c>
      <c r="E36" s="76"/>
      <c r="F36" s="76">
        <f ca="1">'Transmission Class'!Z180</f>
        <v>51106.232348853373</v>
      </c>
      <c r="I36" s="31"/>
      <c r="K36" s="71">
        <f>_xlfn.IFNA(MATCH(J36,'Rate Zone Allocation Factors'!$B$13:$B$68,0),0)</f>
        <v>0</v>
      </c>
      <c r="L36" s="76">
        <f t="shared" ca="1" si="6"/>
        <v>51106.232348853373</v>
      </c>
      <c r="N36" s="2" t="s">
        <v>384</v>
      </c>
      <c r="O36" s="71">
        <f>MATCH(N36,'Rate Zone Allocation Factors'!$B$13:$B$68,0)</f>
        <v>35</v>
      </c>
      <c r="P36" s="20">
        <f ca="1">OFFSET('Rate Zone Allocation Factors'!$B$13,$O36-1,P$13)*$L36+OFFSET('Rate Zone Allocation Factors'!$B$13,$K36-1,P$13)*$H36</f>
        <v>0</v>
      </c>
      <c r="Q36" s="20">
        <f ca="1">OFFSET('Rate Zone Allocation Factors'!$B$13,$O36-1,Q$13)*$L36+OFFSET('Rate Zone Allocation Factors'!$B$13,$K36-1,Q$13)*$H36</f>
        <v>0</v>
      </c>
      <c r="R36" s="20">
        <f ca="1">OFFSET('Rate Zone Allocation Factors'!$B$13,$O36-1,R$13)*$L36+OFFSET('Rate Zone Allocation Factors'!$B$13,$K36-1,R$13)*$H36</f>
        <v>51106.232348853373</v>
      </c>
      <c r="S36" s="20">
        <f ca="1">OFFSET('Rate Zone Allocation Factors'!$B$13,$O36-1,S$13)*$L36+OFFSET('Rate Zone Allocation Factors'!$B$13,$K36-1,S$13)*$H36</f>
        <v>0</v>
      </c>
    </row>
    <row r="37" spans="1:19" x14ac:dyDescent="0.25">
      <c r="A37" s="2">
        <f t="shared" si="7"/>
        <v>19</v>
      </c>
      <c r="B37" s="31" t="s">
        <v>385</v>
      </c>
      <c r="D37" s="76">
        <f ca="1">'Transmission Class'!AB164</f>
        <v>2042.0772565754232</v>
      </c>
      <c r="E37" s="76"/>
      <c r="F37" s="76">
        <f ca="1">'Transmission Class'!AB180</f>
        <v>2042.0772565754232</v>
      </c>
      <c r="I37" s="31"/>
      <c r="K37" s="71">
        <f>_xlfn.IFNA(MATCH(J37,'Rate Zone Allocation Factors'!$B$13:$B$68,0),0)</f>
        <v>0</v>
      </c>
      <c r="L37" s="76">
        <f t="shared" ca="1" si="6"/>
        <v>2042.0772565754232</v>
      </c>
      <c r="N37" s="2" t="s">
        <v>384</v>
      </c>
      <c r="O37" s="71">
        <f>MATCH(N37,'Rate Zone Allocation Factors'!$B$13:$B$68,0)</f>
        <v>35</v>
      </c>
      <c r="P37" s="20">
        <f ca="1">OFFSET('Rate Zone Allocation Factors'!$B$13,$O37-1,P$13)*$L37+OFFSET('Rate Zone Allocation Factors'!$B$13,$K37-1,P$13)*$H37</f>
        <v>0</v>
      </c>
      <c r="Q37" s="20">
        <f ca="1">OFFSET('Rate Zone Allocation Factors'!$B$13,$O37-1,Q$13)*$L37+OFFSET('Rate Zone Allocation Factors'!$B$13,$K37-1,Q$13)*$H37</f>
        <v>0</v>
      </c>
      <c r="R37" s="20">
        <f ca="1">OFFSET('Rate Zone Allocation Factors'!$B$13,$O37-1,R$13)*$L37+OFFSET('Rate Zone Allocation Factors'!$B$13,$K37-1,R$13)*$H37</f>
        <v>2042.0772565754232</v>
      </c>
      <c r="S37" s="20">
        <f ca="1">OFFSET('Rate Zone Allocation Factors'!$B$13,$O37-1,S$13)*$L37+OFFSET('Rate Zone Allocation Factors'!$B$13,$K37-1,S$13)*$H37</f>
        <v>0</v>
      </c>
    </row>
    <row r="38" spans="1:19" x14ac:dyDescent="0.25">
      <c r="A38" s="2">
        <f t="shared" si="7"/>
        <v>20</v>
      </c>
      <c r="B38" s="31" t="s">
        <v>386</v>
      </c>
      <c r="D38" s="76">
        <f ca="1">'Transmission Class'!AD164</f>
        <v>29913.696260682678</v>
      </c>
      <c r="E38" s="76"/>
      <c r="F38" s="76">
        <f ca="1">'Transmission Class'!AD180</f>
        <v>29913.696260682678</v>
      </c>
      <c r="H38" s="76">
        <f ca="1">'Transmission Class'!AD117</f>
        <v>18533.95038585359</v>
      </c>
      <c r="I38" s="31"/>
      <c r="J38" s="2" t="s">
        <v>387</v>
      </c>
      <c r="K38" s="71">
        <f>_xlfn.IFNA(MATCH(J38,'Rate Zone Allocation Factors'!$B$13:$B$68,0),0)</f>
        <v>5</v>
      </c>
      <c r="L38" s="76">
        <f t="shared" ca="1" si="6"/>
        <v>11379.745874829088</v>
      </c>
      <c r="N38" s="2" t="s">
        <v>388</v>
      </c>
      <c r="O38" s="71">
        <f>MATCH(N38,'Rate Zone Allocation Factors'!$B$13:$B$68,0)</f>
        <v>56</v>
      </c>
      <c r="P38" s="9">
        <f ca="1">OFFSET('Rate Zone Allocation Factors'!$B$13,$O38-1,P$13)*$L38+OFFSET('Rate Zone Allocation Factors'!$B$13,$K38-1,P$13)*$H38</f>
        <v>664.44573542758917</v>
      </c>
      <c r="Q38" s="20">
        <f ca="1">OFFSET('Rate Zone Allocation Factors'!$B$13,$O38-1,Q$13)*$L38+OFFSET('Rate Zone Allocation Factors'!$B$13,$K38-1,Q$13)*$H38</f>
        <v>3912.8666997724104</v>
      </c>
      <c r="R38" s="9">
        <f ca="1">OFFSET('Rate Zone Allocation Factors'!$B$13,$O38-1,R$13)*$L38+OFFSET('Rate Zone Allocation Factors'!$B$13,$K38-1,R$13)*$H38</f>
        <v>4680.2587595675122</v>
      </c>
      <c r="S38" s="9">
        <f ca="1">OFFSET('Rate Zone Allocation Factors'!$B$13,$O38-1,S$13)*$L38+OFFSET('Rate Zone Allocation Factors'!$B$13,$K38-1,S$13)*$H38</f>
        <v>20656.12506591517</v>
      </c>
    </row>
    <row r="39" spans="1:19" x14ac:dyDescent="0.25">
      <c r="A39" s="2">
        <f t="shared" si="7"/>
        <v>21</v>
      </c>
      <c r="B39" s="31" t="s">
        <v>389</v>
      </c>
      <c r="D39" s="40">
        <f ca="1">SUM(D31:D38)</f>
        <v>403717.30409028684</v>
      </c>
      <c r="F39" s="40">
        <f ca="1">SUM(F31:F38)</f>
        <v>403717.30409028684</v>
      </c>
      <c r="H39" s="40">
        <f ca="1">SUM(H31:H38)</f>
        <v>18533.95038585359</v>
      </c>
      <c r="I39" s="31"/>
      <c r="L39" s="40">
        <f ca="1">SUM(L31:L38)</f>
        <v>385183.35370443325</v>
      </c>
      <c r="P39" s="40">
        <f t="shared" ref="P39:S39" ca="1" si="8">SUM(P31:P38)</f>
        <v>10846.726365833409</v>
      </c>
      <c r="Q39" s="40">
        <f t="shared" ca="1" si="8"/>
        <v>151857.00279038487</v>
      </c>
      <c r="R39" s="40">
        <f t="shared" ca="1" si="8"/>
        <v>106120.98056778303</v>
      </c>
      <c r="S39" s="40">
        <f t="shared" ca="1" si="8"/>
        <v>134892.59436628551</v>
      </c>
    </row>
    <row r="40" spans="1:19" x14ac:dyDescent="0.25">
      <c r="D40" s="48"/>
      <c r="P40" s="76"/>
      <c r="Q40" s="76"/>
      <c r="R40" s="76"/>
    </row>
    <row r="41" spans="1:19" x14ac:dyDescent="0.25">
      <c r="B41" s="74" t="s">
        <v>390</v>
      </c>
      <c r="P41" s="76"/>
      <c r="Q41" s="76"/>
      <c r="R41" s="76"/>
    </row>
    <row r="42" spans="1:19" x14ac:dyDescent="0.25">
      <c r="A42" s="2">
        <f>A39+1</f>
        <v>22</v>
      </c>
      <c r="B42" s="31" t="s">
        <v>391</v>
      </c>
      <c r="D42" s="76">
        <f ca="1">'Distribution Class'!P$164</f>
        <v>308037.74636037333</v>
      </c>
      <c r="E42" s="76"/>
      <c r="F42" s="76">
        <f ca="1">'Distribution Class'!P$180</f>
        <v>308037.74636037333</v>
      </c>
      <c r="G42" s="76"/>
      <c r="H42" s="76"/>
      <c r="I42" s="121"/>
      <c r="J42" s="116"/>
      <c r="L42" s="76">
        <f t="shared" ref="L42:L56" ca="1" si="9">F42-H42</f>
        <v>308037.74636037333</v>
      </c>
      <c r="N42" s="2" t="s">
        <v>392</v>
      </c>
      <c r="P42" s="13"/>
      <c r="Q42" s="22"/>
      <c r="R42" s="13"/>
      <c r="S42" s="48"/>
    </row>
    <row r="43" spans="1:19" x14ac:dyDescent="0.25">
      <c r="A43" s="2">
        <f>A42+1</f>
        <v>23</v>
      </c>
      <c r="B43" s="31" t="s">
        <v>393</v>
      </c>
      <c r="D43" s="76">
        <f ca="1">'Distribution Class'!R$164</f>
        <v>56868.262593660387</v>
      </c>
      <c r="E43" s="76"/>
      <c r="F43" s="76">
        <f ca="1">'Distribution Class'!R$180</f>
        <v>56868.262593660387</v>
      </c>
      <c r="G43" s="76"/>
      <c r="H43" s="76"/>
      <c r="I43" s="121"/>
      <c r="J43" s="116"/>
      <c r="L43" s="76">
        <f t="shared" ca="1" si="9"/>
        <v>56868.262593660387</v>
      </c>
      <c r="N43" s="2" t="s">
        <v>394</v>
      </c>
      <c r="P43" s="13"/>
      <c r="Q43" s="22"/>
      <c r="R43" s="13"/>
      <c r="S43" s="48"/>
    </row>
    <row r="44" spans="1:19" x14ac:dyDescent="0.25">
      <c r="A44" s="2">
        <f t="shared" ref="A44:A57" si="10">A43+1</f>
        <v>24</v>
      </c>
      <c r="B44" s="31" t="s">
        <v>395</v>
      </c>
      <c r="D44" s="76">
        <f ca="1">'Distribution Class'!T$164</f>
        <v>344372.00780846307</v>
      </c>
      <c r="E44" s="76"/>
      <c r="F44" s="76">
        <f ca="1">'Distribution Class'!T$180</f>
        <v>343743.97514135833</v>
      </c>
      <c r="G44" s="76"/>
      <c r="H44" s="76"/>
      <c r="I44" s="121"/>
      <c r="J44" s="116"/>
      <c r="L44" s="76">
        <f t="shared" ca="1" si="9"/>
        <v>343743.97514135833</v>
      </c>
      <c r="N44" s="2" t="s">
        <v>396</v>
      </c>
      <c r="P44" s="13"/>
      <c r="Q44" s="22"/>
      <c r="R44" s="13"/>
      <c r="S44" s="48"/>
    </row>
    <row r="45" spans="1:19" x14ac:dyDescent="0.25">
      <c r="B45" s="31" t="s">
        <v>397</v>
      </c>
      <c r="D45" s="76"/>
      <c r="E45" s="76"/>
      <c r="F45" s="76"/>
      <c r="G45" s="76"/>
      <c r="H45" s="76"/>
      <c r="I45" s="121"/>
      <c r="J45" s="116"/>
      <c r="L45" s="76"/>
      <c r="S45" s="48"/>
    </row>
    <row r="46" spans="1:19" x14ac:dyDescent="0.25">
      <c r="A46" s="2">
        <f>A44+1</f>
        <v>25</v>
      </c>
      <c r="B46" s="79" t="s">
        <v>398</v>
      </c>
      <c r="D46" s="76">
        <f ca="1">'Distribution Class'!V148</f>
        <v>150927.52203758305</v>
      </c>
      <c r="E46" s="76"/>
      <c r="F46" s="76">
        <f ca="1">D46</f>
        <v>150927.52203758305</v>
      </c>
      <c r="G46" s="76"/>
      <c r="H46" s="76"/>
      <c r="I46" s="121"/>
      <c r="J46" s="116"/>
      <c r="L46" s="76">
        <f t="shared" ca="1" si="9"/>
        <v>150927.52203758305</v>
      </c>
      <c r="N46" s="2" t="s">
        <v>399</v>
      </c>
      <c r="P46" s="13"/>
      <c r="Q46" s="22"/>
      <c r="R46" s="13"/>
      <c r="S46" s="48"/>
    </row>
    <row r="47" spans="1:19" x14ac:dyDescent="0.25">
      <c r="A47" s="2">
        <f t="shared" si="10"/>
        <v>26</v>
      </c>
      <c r="B47" s="79" t="s">
        <v>400</v>
      </c>
      <c r="D47" s="76">
        <f ca="1">'Distribution Class'!V164-'Total Allocation by Rate Zone'!D46</f>
        <v>65848.377147061197</v>
      </c>
      <c r="E47" s="76"/>
      <c r="F47" s="76">
        <f ca="1">'Distribution Class'!V180-F46</f>
        <v>65848.377147061197</v>
      </c>
      <c r="G47" s="76"/>
      <c r="H47" s="76"/>
      <c r="I47" s="121"/>
      <c r="J47" s="116"/>
      <c r="L47" s="76">
        <f t="shared" ca="1" si="9"/>
        <v>65848.377147061197</v>
      </c>
      <c r="N47" s="2" t="s">
        <v>401</v>
      </c>
      <c r="P47" s="13"/>
      <c r="Q47" s="22"/>
      <c r="R47" s="13"/>
      <c r="S47" s="48"/>
    </row>
    <row r="48" spans="1:19" x14ac:dyDescent="0.25">
      <c r="A48" s="2">
        <f t="shared" si="10"/>
        <v>27</v>
      </c>
      <c r="B48" s="31" t="s">
        <v>402</v>
      </c>
      <c r="D48" s="76">
        <f ca="1">'Distribution Class'!X164</f>
        <v>373864.90964815381</v>
      </c>
      <c r="E48" s="76"/>
      <c r="F48" s="76">
        <f ca="1">'Distribution Class'!X180</f>
        <v>373183.09065294155</v>
      </c>
      <c r="G48" s="76"/>
      <c r="H48" s="76"/>
      <c r="I48" s="121"/>
      <c r="J48" s="116"/>
      <c r="L48" s="76">
        <f ca="1">F48-H48</f>
        <v>373183.09065294155</v>
      </c>
      <c r="N48" s="2" t="s">
        <v>403</v>
      </c>
      <c r="P48" s="13"/>
      <c r="Q48" s="22"/>
      <c r="R48" s="13"/>
      <c r="S48" s="48"/>
    </row>
    <row r="49" spans="1:19" x14ac:dyDescent="0.25">
      <c r="A49" s="2">
        <f t="shared" si="10"/>
        <v>28</v>
      </c>
      <c r="B49" s="31" t="s">
        <v>404</v>
      </c>
      <c r="D49" s="76">
        <f ca="1">'Distribution Class'!Z164</f>
        <v>583743.7291515196</v>
      </c>
      <c r="E49" s="76"/>
      <c r="F49" s="76">
        <f ca="1">'Distribution Class'!Z180</f>
        <v>582679.15327772032</v>
      </c>
      <c r="G49" s="76"/>
      <c r="H49" s="76"/>
      <c r="I49" s="121"/>
      <c r="J49" s="116"/>
      <c r="L49" s="76">
        <f t="shared" ca="1" si="9"/>
        <v>582679.15327772032</v>
      </c>
      <c r="N49" s="2" t="s">
        <v>405</v>
      </c>
      <c r="P49" s="13"/>
      <c r="Q49" s="22"/>
      <c r="R49" s="13"/>
      <c r="S49" s="48"/>
    </row>
    <row r="50" spans="1:19" x14ac:dyDescent="0.25">
      <c r="A50" s="2">
        <f t="shared" si="10"/>
        <v>29</v>
      </c>
      <c r="B50" s="31" t="s">
        <v>406</v>
      </c>
      <c r="D50" s="76">
        <f ca="1">'Distribution Class'!AB164</f>
        <v>293237.9955716416</v>
      </c>
      <c r="E50" s="76"/>
      <c r="F50" s="76">
        <f ca="1">'Distribution Class'!AB180</f>
        <v>292703.2162159463</v>
      </c>
      <c r="G50" s="76"/>
      <c r="H50" s="76"/>
      <c r="I50" s="121"/>
      <c r="J50" s="116"/>
      <c r="L50" s="76">
        <f t="shared" ca="1" si="9"/>
        <v>292703.2162159463</v>
      </c>
      <c r="N50" s="2" t="s">
        <v>407</v>
      </c>
      <c r="P50" s="13"/>
      <c r="Q50" s="22"/>
      <c r="R50" s="13"/>
      <c r="S50" s="48"/>
    </row>
    <row r="51" spans="1:19" x14ac:dyDescent="0.25">
      <c r="A51" s="2">
        <f t="shared" si="10"/>
        <v>30</v>
      </c>
      <c r="B51" s="31" t="s">
        <v>408</v>
      </c>
      <c r="D51" s="76">
        <f ca="1">'Distribution Class'!AD164</f>
        <v>48458.119684596852</v>
      </c>
      <c r="E51" s="76"/>
      <c r="F51" s="76">
        <f ca="1">'Distribution Class'!AD180</f>
        <v>45350.157242930072</v>
      </c>
      <c r="G51" s="76"/>
      <c r="H51" s="76"/>
      <c r="I51" s="121"/>
      <c r="J51" s="116"/>
      <c r="L51" s="76">
        <f t="shared" ca="1" si="9"/>
        <v>45350.157242930072</v>
      </c>
      <c r="N51" s="2" t="s">
        <v>409</v>
      </c>
      <c r="P51" s="13"/>
      <c r="Q51" s="22"/>
      <c r="R51" s="13"/>
      <c r="S51" s="48"/>
    </row>
    <row r="52" spans="1:19" x14ac:dyDescent="0.25">
      <c r="B52" s="31" t="s">
        <v>410</v>
      </c>
      <c r="D52" s="76"/>
      <c r="E52" s="76"/>
      <c r="F52" s="76"/>
      <c r="G52" s="76"/>
      <c r="H52" s="76"/>
      <c r="I52" s="121"/>
      <c r="J52" s="116"/>
      <c r="L52" s="76"/>
      <c r="N52" s="1"/>
      <c r="P52" s="37"/>
      <c r="Q52" s="37"/>
      <c r="R52" s="37"/>
      <c r="S52" s="48"/>
    </row>
    <row r="53" spans="1:19" x14ac:dyDescent="0.25">
      <c r="A53" s="2">
        <f>A51+1</f>
        <v>31</v>
      </c>
      <c r="B53" s="79" t="s">
        <v>141</v>
      </c>
      <c r="D53" s="76">
        <f ca="1">'Dist Cust Class'!P164</f>
        <v>12619.21223901281</v>
      </c>
      <c r="F53" s="48">
        <f ca="1">'Dist Cust Class'!P180</f>
        <v>12619.21223901281</v>
      </c>
      <c r="L53" s="76">
        <f t="shared" ca="1" si="9"/>
        <v>12619.21223901281</v>
      </c>
      <c r="N53" s="2" t="s">
        <v>411</v>
      </c>
      <c r="P53" s="13"/>
      <c r="Q53" s="22"/>
      <c r="R53" s="13"/>
      <c r="S53" s="48"/>
    </row>
    <row r="54" spans="1:19" x14ac:dyDescent="0.25">
      <c r="A54" s="2">
        <f t="shared" si="10"/>
        <v>32</v>
      </c>
      <c r="B54" s="79" t="s">
        <v>134</v>
      </c>
      <c r="D54" s="76">
        <f ca="1">'Dist Cust Class'!R164</f>
        <v>191117.96744973466</v>
      </c>
      <c r="F54" s="48">
        <f ca="1">'Dist Cust Class'!R180</f>
        <v>132202.55170421681</v>
      </c>
      <c r="H54" s="76">
        <f>'Distribution Allocation Factors'!D13</f>
        <v>11615.535133857918</v>
      </c>
      <c r="J54" s="2" t="s">
        <v>412</v>
      </c>
      <c r="L54" s="76">
        <f t="shared" ca="1" si="9"/>
        <v>120587.01657035889</v>
      </c>
      <c r="N54" s="2" t="s">
        <v>413</v>
      </c>
      <c r="P54" s="13"/>
      <c r="Q54" s="22"/>
      <c r="R54" s="13"/>
      <c r="S54" s="48"/>
    </row>
    <row r="55" spans="1:19" x14ac:dyDescent="0.25">
      <c r="A55" s="2">
        <f t="shared" si="10"/>
        <v>33</v>
      </c>
      <c r="B55" s="79" t="s">
        <v>139</v>
      </c>
      <c r="D55" s="76">
        <f ca="1">'Dist Cust Class'!T164</f>
        <v>16855.932785702535</v>
      </c>
      <c r="F55" s="48">
        <f ca="1">'Dist Cust Class'!T180</f>
        <v>16855.932785702535</v>
      </c>
      <c r="L55" s="76">
        <f t="shared" ca="1" si="9"/>
        <v>16855.932785702535</v>
      </c>
      <c r="N55" s="2" t="s">
        <v>414</v>
      </c>
      <c r="P55" s="13"/>
      <c r="Q55" s="22"/>
      <c r="R55" s="13"/>
      <c r="S55" s="48"/>
    </row>
    <row r="56" spans="1:19" x14ac:dyDescent="0.25">
      <c r="A56" s="2">
        <f t="shared" si="10"/>
        <v>34</v>
      </c>
      <c r="B56" s="31" t="s">
        <v>415</v>
      </c>
      <c r="D56" s="48">
        <f ca="1">'Distribution Class'!AH164</f>
        <v>18339.883386175716</v>
      </c>
      <c r="F56" s="48">
        <f ca="1">'Distribution Class'!AH180</f>
        <v>18339.883386175716</v>
      </c>
      <c r="H56" s="76"/>
      <c r="L56" s="76">
        <f t="shared" ca="1" si="9"/>
        <v>18339.883386175716</v>
      </c>
      <c r="N56" s="2" t="s">
        <v>416</v>
      </c>
      <c r="P56" s="13"/>
      <c r="Q56" s="22"/>
      <c r="R56" s="13"/>
      <c r="S56" s="48"/>
    </row>
    <row r="57" spans="1:19" x14ac:dyDescent="0.25">
      <c r="A57" s="2">
        <f t="shared" si="10"/>
        <v>35</v>
      </c>
      <c r="B57" s="31" t="s">
        <v>417</v>
      </c>
      <c r="D57" s="40">
        <f ca="1">SUM(D42:D56)</f>
        <v>2464291.6658636783</v>
      </c>
      <c r="F57" s="40">
        <f ca="1">SUM(F42:F56)</f>
        <v>2399359.0807846817</v>
      </c>
      <c r="H57" s="40">
        <f>SUM(H42:H56)</f>
        <v>11615.535133857918</v>
      </c>
      <c r="L57" s="40">
        <f ca="1">SUM(L42:L56)</f>
        <v>2387743.545650824</v>
      </c>
      <c r="P57" s="48"/>
      <c r="Q57" s="48"/>
      <c r="R57" s="48"/>
      <c r="S57" s="48"/>
    </row>
    <row r="58" spans="1:19" x14ac:dyDescent="0.25">
      <c r="D58" s="48"/>
      <c r="F58" s="48"/>
    </row>
    <row r="59" spans="1:19" ht="13" thickBot="1" x14ac:dyDescent="0.3">
      <c r="A59" s="2">
        <f>A57+1</f>
        <v>36</v>
      </c>
      <c r="B59" s="31" t="s">
        <v>418</v>
      </c>
      <c r="D59" s="80">
        <f ca="1">D21+D28+D39+D57</f>
        <v>5329890.4041851535</v>
      </c>
      <c r="F59" s="80">
        <f ca="1">F21+F28+F39+F57</f>
        <v>5244256.9765455201</v>
      </c>
      <c r="H59" s="80">
        <f ca="1">H21+H28+H39+H57</f>
        <v>50956.624806792992</v>
      </c>
      <c r="L59" s="80">
        <f ca="1">L21+L28+L39+L57</f>
        <v>5193300.3517387267</v>
      </c>
      <c r="N59" s="1"/>
      <c r="P59" s="48"/>
      <c r="Q59" s="48"/>
      <c r="R59" s="48"/>
      <c r="S59" s="48"/>
    </row>
    <row r="60" spans="1:19" ht="13" thickTop="1" x14ac:dyDescent="0.25">
      <c r="D60" s="48"/>
      <c r="F60" s="48"/>
      <c r="P60" s="48"/>
      <c r="Q60" s="48"/>
      <c r="R60" s="48"/>
    </row>
    <row r="61" spans="1:19" x14ac:dyDescent="0.25">
      <c r="D61" s="48"/>
      <c r="F61" s="48"/>
      <c r="H61" s="48"/>
      <c r="L61" s="48"/>
      <c r="N61" s="1"/>
      <c r="P61" s="48"/>
      <c r="Q61" s="48"/>
      <c r="R61" s="48"/>
    </row>
    <row r="62" spans="1:19" x14ac:dyDescent="0.25">
      <c r="N62" s="1"/>
    </row>
    <row r="65" spans="14:14" x14ac:dyDescent="0.25">
      <c r="N65" s="1"/>
    </row>
    <row r="68" spans="14:14" x14ac:dyDescent="0.25">
      <c r="N68" s="1"/>
    </row>
    <row r="70" spans="14:14" x14ac:dyDescent="0.25">
      <c r="N70" s="1"/>
    </row>
    <row r="71" spans="14:14" x14ac:dyDescent="0.25">
      <c r="N71" s="1"/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C78F-E01C-44AD-B238-0CF613D2E827}">
  <sheetPr>
    <tabColor theme="0" tint="-0.249977111117893"/>
  </sheetPr>
  <dimension ref="A6:XFC65"/>
  <sheetViews>
    <sheetView topLeftCell="A16" zoomScale="80" zoomScaleNormal="80" workbookViewId="0">
      <selection activeCell="N37" sqref="N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20.1796875" style="31" customWidth="1"/>
    <col min="7" max="7" width="1.7265625" style="31" customWidth="1"/>
    <col min="8" max="8" width="17.1796875" style="31" customWidth="1"/>
    <col min="9" max="9" width="1.7265625" style="31" customWidth="1"/>
    <col min="10" max="10" width="27.26953125" style="2" bestFit="1" customWidth="1"/>
    <col min="11" max="11" width="1.7265625" style="71" customWidth="1"/>
    <col min="12" max="12" width="17.1796875" style="31" customWidth="1"/>
    <col min="13" max="13" width="1.7265625" style="39" customWidth="1"/>
    <col min="14" max="14" width="23.453125" style="2" bestFit="1" customWidth="1"/>
    <col min="15" max="15" width="2" style="71" customWidth="1"/>
    <col min="16" max="18" width="10.81640625" style="31" customWidth="1"/>
    <col min="19" max="19" width="11.81640625" style="31" bestFit="1" customWidth="1"/>
    <col min="20" max="16384" width="9.1796875" style="31"/>
  </cols>
  <sheetData>
    <row r="6" spans="1:19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9" x14ac:dyDescent="0.25">
      <c r="B7" s="158" t="s">
        <v>419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9" spans="1:19" x14ac:dyDescent="0.25">
      <c r="F9" s="2" t="s">
        <v>337</v>
      </c>
    </row>
    <row r="10" spans="1:19" x14ac:dyDescent="0.25">
      <c r="A10" s="2" t="s">
        <v>6</v>
      </c>
      <c r="D10" s="2" t="s">
        <v>337</v>
      </c>
      <c r="F10" s="2" t="s">
        <v>13</v>
      </c>
      <c r="H10" s="2" t="s">
        <v>338</v>
      </c>
      <c r="J10" s="2" t="s">
        <v>339</v>
      </c>
      <c r="K10" s="70"/>
      <c r="L10" s="2" t="s">
        <v>340</v>
      </c>
      <c r="N10" s="2" t="s">
        <v>10</v>
      </c>
      <c r="P10" s="2"/>
      <c r="Q10" s="2"/>
      <c r="R10" s="2"/>
    </row>
    <row r="11" spans="1:19" x14ac:dyDescent="0.25">
      <c r="A11" s="33" t="s">
        <v>11</v>
      </c>
      <c r="B11" s="77" t="s">
        <v>12</v>
      </c>
      <c r="D11" s="33" t="s">
        <v>341</v>
      </c>
      <c r="F11" s="33" t="s">
        <v>342</v>
      </c>
      <c r="H11" s="33" t="s">
        <v>8</v>
      </c>
      <c r="J11" s="33" t="s">
        <v>14</v>
      </c>
      <c r="K11" s="70"/>
      <c r="L11" s="33" t="s">
        <v>343</v>
      </c>
      <c r="N11" s="33" t="s">
        <v>14</v>
      </c>
      <c r="P11" s="4" t="s">
        <v>344</v>
      </c>
      <c r="Q11" s="4" t="s">
        <v>345</v>
      </c>
      <c r="R11" s="4" t="s">
        <v>346</v>
      </c>
      <c r="S11" s="4" t="s">
        <v>347</v>
      </c>
    </row>
    <row r="12" spans="1:19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P12" s="81" t="s">
        <v>28</v>
      </c>
      <c r="Q12" s="81" t="s">
        <v>29</v>
      </c>
      <c r="R12" s="81" t="s">
        <v>30</v>
      </c>
      <c r="S12" s="81" t="s">
        <v>180</v>
      </c>
    </row>
    <row r="13" spans="1:19" x14ac:dyDescent="0.25">
      <c r="D13" s="81"/>
      <c r="F13" s="81"/>
      <c r="H13" s="81"/>
      <c r="J13" s="81"/>
      <c r="L13" s="81"/>
      <c r="N13" s="81"/>
      <c r="P13" s="114">
        <v>4</v>
      </c>
      <c r="Q13" s="114">
        <v>6</v>
      </c>
      <c r="R13" s="114">
        <v>8</v>
      </c>
      <c r="S13" s="114">
        <v>10</v>
      </c>
    </row>
    <row r="14" spans="1:19" x14ac:dyDescent="0.25">
      <c r="B14" s="74" t="s">
        <v>348</v>
      </c>
      <c r="P14" s="39"/>
      <c r="Q14" s="39"/>
      <c r="R14" s="39"/>
    </row>
    <row r="15" spans="1:19" x14ac:dyDescent="0.25">
      <c r="A15" s="2">
        <v>1</v>
      </c>
      <c r="B15" s="31" t="s">
        <v>349</v>
      </c>
      <c r="D15" s="20">
        <f ca="1">'Total Allocation by Rate Zone'!D15-'Rate Zone Allocation - Gas Cost'!D15</f>
        <v>0</v>
      </c>
      <c r="E15" s="76"/>
      <c r="F15" s="20">
        <f ca="1">'Total Allocation by Rate Zone'!F15-'Rate Zone Allocation - Gas Cost'!F15</f>
        <v>0</v>
      </c>
      <c r="H15" s="76">
        <f>'Total Allocation by Rate Zone'!H15-'Rate Zone Allocation - Gas Cost'!H15</f>
        <v>0</v>
      </c>
      <c r="K15" s="71">
        <f>_xlfn.IFNA(MATCH(J15,'Rate Zone Allocation Factors'!$B$13:$B$68,0),0)</f>
        <v>0</v>
      </c>
      <c r="L15" s="76">
        <f ca="1">F15-H15</f>
        <v>0</v>
      </c>
      <c r="N15" s="2" t="s">
        <v>350</v>
      </c>
      <c r="O15" s="71">
        <f>MATCH(N15,'Rate Zone Allocation Factors'!$B$13:$B$68,0)</f>
        <v>47</v>
      </c>
      <c r="P15" s="9">
        <f ca="1">OFFSET('Rate Zone Allocation Factors'!$B$13,$O15-1,P$13)*$L15+OFFSET('Rate Zone Allocation Factors'!$B$13,$K15-1,P$13)*$H15</f>
        <v>0</v>
      </c>
      <c r="Q15" s="9">
        <f ca="1">OFFSET('Rate Zone Allocation Factors'!$B$13,$O15-1,Q$13)*$L15+OFFSET('Rate Zone Allocation Factors'!$B$13,$K15-1,Q$13)*$H15</f>
        <v>0</v>
      </c>
      <c r="R15" s="9">
        <f ca="1">OFFSET('Rate Zone Allocation Factors'!$B$13,$O15-1,R$13)*$L15+OFFSET('Rate Zone Allocation Factors'!$B$13,$K15-1,R$13)*$H15</f>
        <v>0</v>
      </c>
      <c r="S15" s="9">
        <f ca="1">OFFSET('Rate Zone Allocation Factors'!$B$13,$O15-1,S$13)*$L15+OFFSET('Rate Zone Allocation Factors'!$B$13,$K15-1,S$13)*$H15</f>
        <v>0</v>
      </c>
    </row>
    <row r="16" spans="1:19" x14ac:dyDescent="0.25">
      <c r="A16" s="2">
        <f>A15+1</f>
        <v>2</v>
      </c>
      <c r="B16" s="31" t="s">
        <v>351</v>
      </c>
      <c r="D16" s="20">
        <f ca="1">'Total Allocation by Rate Zone'!D16-'Rate Zone Allocation - Gas Cost'!D16</f>
        <v>0</v>
      </c>
      <c r="E16" s="122"/>
      <c r="F16" s="20">
        <f ca="1">'Total Allocation by Rate Zone'!F16-'Rate Zone Allocation - Gas Cost'!F16</f>
        <v>-7887.177485234075</v>
      </c>
      <c r="G16" s="71"/>
      <c r="H16" s="76">
        <f>'Total Allocation by Rate Zone'!H16-'Rate Zone Allocation - Gas Cost'!H16</f>
        <v>0</v>
      </c>
      <c r="K16" s="71">
        <f>_xlfn.IFNA(MATCH(J16,'Rate Zone Allocation Factors'!$B$13:$B$68,0),0)</f>
        <v>0</v>
      </c>
      <c r="L16" s="76">
        <f ca="1">F16-H16</f>
        <v>-7887.177485234075</v>
      </c>
      <c r="N16" s="2" t="s">
        <v>352</v>
      </c>
      <c r="O16" s="71">
        <f>MATCH(N16,'Rate Zone Allocation Factors'!$B$13:$B$68,0)</f>
        <v>26</v>
      </c>
      <c r="P16" s="9">
        <f ca="1">OFFSET('Rate Zone Allocation Factors'!$B$13,$O16-1,P$13)*$L16+OFFSET('Rate Zone Allocation Factors'!$B$13,$K16-1,P$13)*$H16</f>
        <v>-1344.6213377880126</v>
      </c>
      <c r="Q16" s="9">
        <f ca="1">OFFSET('Rate Zone Allocation Factors'!$B$13,$O16-1,Q$13)*$L16+OFFSET('Rate Zone Allocation Factors'!$B$13,$K16-1,Q$13)*$H16</f>
        <v>-6542.5561474460637</v>
      </c>
      <c r="R16" s="9">
        <f ca="1">OFFSET('Rate Zone Allocation Factors'!$B$13,$O16-1,R$13)*$L16+OFFSET('Rate Zone Allocation Factors'!$B$13,$K16-1,R$13)*$H16</f>
        <v>0</v>
      </c>
      <c r="S16" s="9">
        <f ca="1">OFFSET('Rate Zone Allocation Factors'!$B$13,$O16-1,S$13)*$L16+OFFSET('Rate Zone Allocation Factors'!$B$13,$K16-1,S$13)*$H16</f>
        <v>0</v>
      </c>
    </row>
    <row r="17" spans="1:19" x14ac:dyDescent="0.25">
      <c r="A17" s="2">
        <f t="shared" ref="A17:A21" si="0">A16+1</f>
        <v>3</v>
      </c>
      <c r="B17" s="31" t="s">
        <v>353</v>
      </c>
      <c r="D17" s="20">
        <f ca="1">'Total Allocation by Rate Zone'!D17-'Rate Zone Allocation - Gas Cost'!D17</f>
        <v>0</v>
      </c>
      <c r="E17" s="76"/>
      <c r="F17" s="20">
        <f ca="1">'Total Allocation by Rate Zone'!F17-'Rate Zone Allocation - Gas Cost'!F17</f>
        <v>0</v>
      </c>
      <c r="H17" s="76">
        <f>'Total Allocation by Rate Zone'!H17-'Rate Zone Allocation - Gas Cost'!H17</f>
        <v>0</v>
      </c>
      <c r="K17" s="71">
        <f>_xlfn.IFNA(MATCH(J17,'Rate Zone Allocation Factors'!$B$13:$B$68,0),0)</f>
        <v>0</v>
      </c>
      <c r="L17" s="76">
        <f t="shared" ref="L17:L20" ca="1" si="1">F17-H17</f>
        <v>0</v>
      </c>
      <c r="N17" s="2" t="s">
        <v>354</v>
      </c>
      <c r="O17" s="71">
        <f>MATCH(N17,'Rate Zone Allocation Factors'!$B$13:$B$68,0)</f>
        <v>29</v>
      </c>
      <c r="P17" s="9">
        <f ca="1">OFFSET('Rate Zone Allocation Factors'!$B$13,$O17-1,P$13)*$L17+OFFSET('Rate Zone Allocation Factors'!$B$13,$K17-1,P$13)*$H17</f>
        <v>0</v>
      </c>
      <c r="Q17" s="9">
        <f ca="1">OFFSET('Rate Zone Allocation Factors'!$B$13,$O17-1,Q$13)*$L17+OFFSET('Rate Zone Allocation Factors'!$B$13,$K17-1,Q$13)*$H17</f>
        <v>0</v>
      </c>
      <c r="R17" s="9">
        <f ca="1">OFFSET('Rate Zone Allocation Factors'!$B$13,$O17-1,R$13)*$L17+OFFSET('Rate Zone Allocation Factors'!$B$13,$K17-1,R$13)*$H17</f>
        <v>0</v>
      </c>
      <c r="S17" s="9">
        <f ca="1">OFFSET('Rate Zone Allocation Factors'!$B$13,$O17-1,S$13)*$L17+OFFSET('Rate Zone Allocation Factors'!$B$13,$K17-1,S$13)*$H17</f>
        <v>0</v>
      </c>
    </row>
    <row r="18" spans="1:19" x14ac:dyDescent="0.25">
      <c r="A18" s="2">
        <f t="shared" si="0"/>
        <v>4</v>
      </c>
      <c r="B18" s="31" t="s">
        <v>355</v>
      </c>
      <c r="D18" s="20">
        <f ca="1">'Total Allocation by Rate Zone'!D18-'Rate Zone Allocation - Gas Cost'!D18</f>
        <v>0</v>
      </c>
      <c r="E18" s="76"/>
      <c r="F18" s="20">
        <f ca="1">'Total Allocation by Rate Zone'!F18-'Rate Zone Allocation - Gas Cost'!F18</f>
        <v>-7449.4151202177454</v>
      </c>
      <c r="H18" s="76">
        <f ca="1">'Total Allocation by Rate Zone'!H18-'Rate Zone Allocation - Gas Cost'!H18</f>
        <v>-7449.4151202177381</v>
      </c>
      <c r="J18" s="2" t="s">
        <v>356</v>
      </c>
      <c r="K18" s="71">
        <f>_xlfn.IFNA(MATCH(J18,'Rate Zone Allocation Factors'!$B$13:$B$68,0),0)</f>
        <v>8</v>
      </c>
      <c r="L18" s="76">
        <f ca="1">F18-H18</f>
        <v>-7.2759576141834259E-12</v>
      </c>
      <c r="N18" s="2" t="s">
        <v>357</v>
      </c>
      <c r="O18" s="71">
        <f>MATCH(N18,'Rate Zone Allocation Factors'!$B$13:$B$68,0)</f>
        <v>50</v>
      </c>
      <c r="P18" s="20">
        <f ca="1">OFFSET('Rate Zone Allocation Factors'!$B$13,$O18-1,P$13)*$L18+OFFSET('Rate Zone Allocation Factors'!$B$13,$K18-1,P$13)*$H18</f>
        <v>-1498.8754307544825</v>
      </c>
      <c r="Q18" s="20">
        <f ca="1">OFFSET('Rate Zone Allocation Factors'!$B$13,$O18-1,Q$13)*$L18+OFFSET('Rate Zone Allocation Factors'!$B$13,$K18-1,Q$13)*$H18</f>
        <v>-5950.5396894632622</v>
      </c>
      <c r="R18" s="20">
        <f ca="1">OFFSET('Rate Zone Allocation Factors'!$B$13,$O18-1,R$13)*$L18+OFFSET('Rate Zone Allocation Factors'!$B$13,$K18-1,R$13)*$H18</f>
        <v>-5.4553496899589183E-14</v>
      </c>
      <c r="S18" s="20">
        <f ca="1">OFFSET('Rate Zone Allocation Factors'!$B$13,$O18-1,S$13)*$L18+OFFSET('Rate Zone Allocation Factors'!$B$13,$K18-1,S$13)*$H18</f>
        <v>0</v>
      </c>
    </row>
    <row r="19" spans="1:19" x14ac:dyDescent="0.25">
      <c r="A19" s="2">
        <f t="shared" si="0"/>
        <v>5</v>
      </c>
      <c r="B19" s="31" t="s">
        <v>358</v>
      </c>
      <c r="D19" s="20">
        <f ca="1">'Total Allocation by Rate Zone'!D19-'Rate Zone Allocation - Gas Cost'!D19</f>
        <v>0</v>
      </c>
      <c r="E19" s="76"/>
      <c r="F19" s="20">
        <f ca="1">'Total Allocation by Rate Zone'!F19-'Rate Zone Allocation - Gas Cost'!F19</f>
        <v>0</v>
      </c>
      <c r="H19" s="76">
        <f>'Total Allocation by Rate Zone'!H19-'Rate Zone Allocation - Gas Cost'!H19</f>
        <v>0</v>
      </c>
      <c r="K19" s="71">
        <f>_xlfn.IFNA(MATCH(J19,'Rate Zone Allocation Factors'!$B$13:$B$68,0),0)</f>
        <v>0</v>
      </c>
      <c r="L19" s="76">
        <f t="shared" ca="1" si="1"/>
        <v>0</v>
      </c>
      <c r="N19" s="2" t="s">
        <v>359</v>
      </c>
      <c r="O19" s="71">
        <f>MATCH(N19,'Rate Zone Allocation Factors'!$B$13:$B$68,0)</f>
        <v>53</v>
      </c>
      <c r="P19" s="9">
        <f ca="1">OFFSET('Rate Zone Allocation Factors'!$B$13,$O19-1,P$13)*$L19+OFFSET('Rate Zone Allocation Factors'!$B$13,$K19-1,P$13)*$H19</f>
        <v>0</v>
      </c>
      <c r="Q19" s="9">
        <f ca="1">OFFSET('Rate Zone Allocation Factors'!$B$13,$O19-1,Q$13)*$L19+OFFSET('Rate Zone Allocation Factors'!$B$13,$K19-1,Q$13)*$H19</f>
        <v>0</v>
      </c>
      <c r="R19" s="9">
        <f ca="1">OFFSET('Rate Zone Allocation Factors'!$B$13,$O19-1,R$13)*$L19+OFFSET('Rate Zone Allocation Factors'!$B$13,$K19-1,R$13)*$H19</f>
        <v>0</v>
      </c>
      <c r="S19" s="9">
        <f ca="1">OFFSET('Rate Zone Allocation Factors'!$B$13,$O19-1,S$13)*$L19+OFFSET('Rate Zone Allocation Factors'!$B$13,$K19-1,S$13)*$H19</f>
        <v>0</v>
      </c>
    </row>
    <row r="20" spans="1:19" x14ac:dyDescent="0.25">
      <c r="A20" s="2">
        <f t="shared" si="0"/>
        <v>6</v>
      </c>
      <c r="B20" s="31" t="s">
        <v>178</v>
      </c>
      <c r="D20" s="20">
        <f ca="1">'Total Allocation by Rate Zone'!D20-'Rate Zone Allocation - Gas Cost'!D20</f>
        <v>20855.923243351954</v>
      </c>
      <c r="E20" s="76"/>
      <c r="F20" s="20">
        <f ca="1">'Total Allocation by Rate Zone'!F20-'Rate Zone Allocation - Gas Cost'!F20</f>
        <v>15491.673288166032</v>
      </c>
      <c r="H20" s="76">
        <f>'Total Allocation by Rate Zone'!H20-'Rate Zone Allocation - Gas Cost'!H20</f>
        <v>0</v>
      </c>
      <c r="K20" s="71">
        <f>_xlfn.IFNA(MATCH(J20,'Rate Zone Allocation Factors'!$B$13:$B$68,0),0)</f>
        <v>0</v>
      </c>
      <c r="L20" s="76">
        <f t="shared" ca="1" si="1"/>
        <v>15491.673288166032</v>
      </c>
      <c r="N20" s="2" t="s">
        <v>360</v>
      </c>
      <c r="O20" s="71">
        <f>MATCH(N20,'Rate Zone Allocation Factors'!$B$13:$B$68,0)</f>
        <v>11</v>
      </c>
      <c r="P20" s="9">
        <f ca="1">OFFSET('Rate Zone Allocation Factors'!$B$13,$O20-1,P$13)*$L20+OFFSET('Rate Zone Allocation Factors'!$B$13,$K20-1,P$13)*$H20</f>
        <v>925.77960019655279</v>
      </c>
      <c r="Q20" s="9">
        <f ca="1">OFFSET('Rate Zone Allocation Factors'!$B$13,$O20-1,Q$13)*$L20+OFFSET('Rate Zone Allocation Factors'!$B$13,$K20-1,Q$13)*$H20</f>
        <v>10000.109352543885</v>
      </c>
      <c r="R20" s="9">
        <f ca="1">OFFSET('Rate Zone Allocation Factors'!$B$13,$O20-1,R$13)*$L20+OFFSET('Rate Zone Allocation Factors'!$B$13,$K20-1,R$13)*$H20</f>
        <v>4565.7843354255947</v>
      </c>
      <c r="S20" s="9">
        <f ca="1">OFFSET('Rate Zone Allocation Factors'!$B$13,$O20-1,S$13)*$L20+OFFSET('Rate Zone Allocation Factors'!$B$13,$K20-1,S$13)*$H20</f>
        <v>0</v>
      </c>
    </row>
    <row r="21" spans="1:19" x14ac:dyDescent="0.25">
      <c r="A21" s="2">
        <f t="shared" si="0"/>
        <v>7</v>
      </c>
      <c r="B21" s="31" t="s">
        <v>361</v>
      </c>
      <c r="D21" s="78">
        <f ca="1">SUM(D15:D20)</f>
        <v>20855.923243351954</v>
      </c>
      <c r="E21" s="76"/>
      <c r="F21" s="78">
        <f ca="1">SUM(F15:F20)</f>
        <v>155.08068271421143</v>
      </c>
      <c r="H21" s="78">
        <f ca="1">SUM(H15:H20)</f>
        <v>-7449.4151202177381</v>
      </c>
      <c r="L21" s="40">
        <f ca="1">SUM(L15:L20)</f>
        <v>7604.4958029319496</v>
      </c>
      <c r="P21" s="40">
        <f t="shared" ref="P21:S21" ca="1" si="2">SUM(P15:P20)</f>
        <v>-1917.7171683459426</v>
      </c>
      <c r="Q21" s="40">
        <f t="shared" ca="1" si="2"/>
        <v>-2492.9864843654414</v>
      </c>
      <c r="R21" s="40">
        <f t="shared" ca="1" si="2"/>
        <v>4565.7843354255947</v>
      </c>
      <c r="S21" s="40">
        <f t="shared" ca="1" si="2"/>
        <v>0</v>
      </c>
    </row>
    <row r="22" spans="1:19" x14ac:dyDescent="0.25">
      <c r="D22" s="76"/>
      <c r="E22" s="76"/>
      <c r="F22" s="76"/>
      <c r="P22" s="76" t="s">
        <v>185</v>
      </c>
      <c r="Q22" s="76"/>
      <c r="R22" s="76"/>
      <c r="S22" s="48">
        <f t="shared" ref="S22:S30" si="3">F22-SUM(P22:R22)</f>
        <v>0</v>
      </c>
    </row>
    <row r="23" spans="1:19" x14ac:dyDescent="0.25">
      <c r="B23" s="74" t="s">
        <v>362</v>
      </c>
      <c r="D23" s="76"/>
      <c r="E23" s="76"/>
      <c r="F23" s="76"/>
      <c r="P23" s="76"/>
      <c r="Q23" s="76"/>
      <c r="R23" s="76"/>
      <c r="S23" s="48">
        <f t="shared" si="3"/>
        <v>0</v>
      </c>
    </row>
    <row r="24" spans="1:19" x14ac:dyDescent="0.25">
      <c r="A24" s="2">
        <f>A21+1</f>
        <v>8</v>
      </c>
      <c r="B24" s="31" t="s">
        <v>363</v>
      </c>
      <c r="D24" s="20">
        <f ca="1">'Total Allocation by Rate Zone'!D24-'Rate Zone Allocation - Gas Cost'!D24</f>
        <v>96004.225333664712</v>
      </c>
      <c r="E24" s="76"/>
      <c r="F24" s="20">
        <f ca="1">'Total Allocation by Rate Zone'!F24-'Rate Zone Allocation - Gas Cost'!F24</f>
        <v>96004.225333664712</v>
      </c>
      <c r="H24" s="76">
        <f>'Total Allocation by Rate Zone'!H24-'Rate Zone Allocation - Gas Cost'!H24</f>
        <v>0</v>
      </c>
      <c r="K24" s="71">
        <f>_xlfn.IFNA(MATCH(J24,'Rate Zone Allocation Factors'!$B$13:$B$68,0),0)</f>
        <v>0</v>
      </c>
      <c r="L24" s="76">
        <f ca="1">F24-H24</f>
        <v>96004.225333664712</v>
      </c>
      <c r="N24" s="2" t="s">
        <v>354</v>
      </c>
      <c r="O24" s="71">
        <f>MATCH(N24,'Rate Zone Allocation Factors'!$B$13:$B$91,0)</f>
        <v>29</v>
      </c>
      <c r="P24" s="20">
        <f ca="1">OFFSET('Rate Zone Allocation Factors'!$B$13,$O24-1,P$13)*$L24+OFFSET('Rate Zone Allocation Factors'!$B$13,$K24-1,P$13)*$H24</f>
        <v>4608.4533240707096</v>
      </c>
      <c r="Q24" s="20">
        <f ca="1">OFFSET('Rate Zone Allocation Factors'!$B$13,$O24-1,Q$13)*$L24+OFFSET('Rate Zone Allocation Factors'!$B$13,$K24-1,Q$13)*$H24</f>
        <v>58618.76109476346</v>
      </c>
      <c r="R24" s="20">
        <f ca="1">OFFSET('Rate Zone Allocation Factors'!$B$13,$O24-1,R$13)*$L24+OFFSET('Rate Zone Allocation Factors'!$B$13,$K24-1,R$13)*$H24</f>
        <v>32777.010914830542</v>
      </c>
      <c r="S24" s="20">
        <f ca="1">OFFSET('Rate Zone Allocation Factors'!$B$13,$O24-1,S$13)*$L24+OFFSET('Rate Zone Allocation Factors'!$B$13,$K24-1,S$13)*$H24</f>
        <v>0</v>
      </c>
    </row>
    <row r="25" spans="1:19" x14ac:dyDescent="0.25">
      <c r="A25" s="2">
        <f>A24+1</f>
        <v>9</v>
      </c>
      <c r="B25" s="31" t="s">
        <v>364</v>
      </c>
      <c r="D25" s="20">
        <f ca="1">'Total Allocation by Rate Zone'!D25-'Rate Zone Allocation - Gas Cost'!D25</f>
        <v>64332.828920156935</v>
      </c>
      <c r="E25" s="76"/>
      <c r="F25" s="20">
        <f ca="1">'Total Allocation by Rate Zone'!F25-'Rate Zone Allocation - Gas Cost'!F25</f>
        <v>64332.828920156935</v>
      </c>
      <c r="H25" s="76">
        <f ca="1">'Total Allocation by Rate Zone'!H25-'Rate Zone Allocation - Gas Cost'!H25</f>
        <v>28256.55440729922</v>
      </c>
      <c r="J25" s="2" t="s">
        <v>365</v>
      </c>
      <c r="K25" s="71">
        <f>_xlfn.IFNA(MATCH(J25,'Rate Zone Allocation Factors'!$B$13:$B$68,0),0)</f>
        <v>2</v>
      </c>
      <c r="L25" s="76">
        <f t="shared" ref="L25:L27" ca="1" si="4">F25-H25</f>
        <v>36076.274512857715</v>
      </c>
      <c r="N25" s="2" t="s">
        <v>366</v>
      </c>
      <c r="O25" s="71">
        <f>MATCH(N25,'Rate Zone Allocation Factors'!$B$13:$B$91,0)</f>
        <v>41</v>
      </c>
      <c r="P25" s="20">
        <f ca="1">OFFSET('Rate Zone Allocation Factors'!$B$13,$O25-1,P$13)*$L25+OFFSET('Rate Zone Allocation Factors'!$B$13,$K25-1,P$13)*$H25</f>
        <v>3682.5012553241613</v>
      </c>
      <c r="Q25" s="20">
        <f ca="1">OFFSET('Rate Zone Allocation Factors'!$B$13,$O25-1,Q$13)*$L25+OFFSET('Rate Zone Allocation Factors'!$B$13,$K25-1,Q$13)*$H25</f>
        <v>39941.907843002278</v>
      </c>
      <c r="R25" s="20">
        <f ca="1">OFFSET('Rate Zone Allocation Factors'!$B$13,$O25-1,R$13)*$L25+OFFSET('Rate Zone Allocation Factors'!$B$13,$K25-1,R$13)*$H25</f>
        <v>20708.419821830495</v>
      </c>
      <c r="S25" s="20">
        <f ca="1">OFFSET('Rate Zone Allocation Factors'!$B$13,$O25-1,S$13)*$L25+OFFSET('Rate Zone Allocation Factors'!$B$13,$K25-1,S$13)*$H25</f>
        <v>0</v>
      </c>
    </row>
    <row r="26" spans="1:19" x14ac:dyDescent="0.25">
      <c r="A26" s="2">
        <f t="shared" ref="A26:A28" si="5">A25+1</f>
        <v>10</v>
      </c>
      <c r="B26" s="31" t="s">
        <v>367</v>
      </c>
      <c r="D26" s="20">
        <f ca="1">'Total Allocation by Rate Zone'!D26-'Rate Zone Allocation - Gas Cost'!D26</f>
        <v>5768.9625818688937</v>
      </c>
      <c r="E26" s="76"/>
      <c r="F26" s="20">
        <f ca="1">'Total Allocation by Rate Zone'!F26-'Rate Zone Allocation - Gas Cost'!F26</f>
        <v>5768.9625818688937</v>
      </c>
      <c r="H26" s="76">
        <f>'Total Allocation by Rate Zone'!H26-'Rate Zone Allocation - Gas Cost'!H26</f>
        <v>0</v>
      </c>
      <c r="K26" s="71">
        <f>_xlfn.IFNA(MATCH(J26,'Rate Zone Allocation Factors'!$B$13:$B$68,0),0)</f>
        <v>0</v>
      </c>
      <c r="L26" s="76">
        <f t="shared" ca="1" si="4"/>
        <v>5768.9625818688937</v>
      </c>
      <c r="N26" s="2" t="s">
        <v>368</v>
      </c>
      <c r="O26" s="71">
        <f>MATCH(N26,'Rate Zone Allocation Factors'!$B$13:$B$91,0)</f>
        <v>32</v>
      </c>
      <c r="P26" s="9">
        <f ca="1">OFFSET('Rate Zone Allocation Factors'!$B$13,$O26-1,P$13)*$L26+OFFSET('Rate Zone Allocation Factors'!$B$13,$K26-1,P$13)*$H26</f>
        <v>290.91065568303998</v>
      </c>
      <c r="Q26" s="9">
        <f ca="1">OFFSET('Rate Zone Allocation Factors'!$B$13,$O26-1,Q$13)*$L26+OFFSET('Rate Zone Allocation Factors'!$B$13,$K26-1,Q$13)*$H26</f>
        <v>3465.2664142229587</v>
      </c>
      <c r="R26" s="9">
        <f ca="1">OFFSET('Rate Zone Allocation Factors'!$B$13,$O26-1,R$13)*$L26+OFFSET('Rate Zone Allocation Factors'!$B$13,$K26-1,R$13)*$H26</f>
        <v>1552.727668972055</v>
      </c>
      <c r="S26" s="9">
        <f ca="1">OFFSET('Rate Zone Allocation Factors'!$B$13,$O26-1,S$13)*$L26+OFFSET('Rate Zone Allocation Factors'!$B$13,$K26-1,S$13)*$H26</f>
        <v>460.05784299084002</v>
      </c>
    </row>
    <row r="27" spans="1:19" x14ac:dyDescent="0.25">
      <c r="A27" s="2">
        <f t="shared" si="5"/>
        <v>11</v>
      </c>
      <c r="B27" s="31" t="s">
        <v>369</v>
      </c>
      <c r="D27" s="20">
        <f ca="1">'Total Allocation by Rate Zone'!D27-'Rate Zone Allocation - Gas Cost'!D27</f>
        <v>0</v>
      </c>
      <c r="E27" s="76"/>
      <c r="F27" s="20">
        <f ca="1">'Total Allocation by Rate Zone'!F27-'Rate Zone Allocation - Gas Cost'!F27</f>
        <v>0</v>
      </c>
      <c r="H27" s="76">
        <f>'Total Allocation by Rate Zone'!H27-'Rate Zone Allocation - Gas Cost'!H27</f>
        <v>0</v>
      </c>
      <c r="K27" s="71">
        <f>_xlfn.IFNA(MATCH(J27,'Rate Zone Allocation Factors'!$B$13:$B$68,0),0)</f>
        <v>0</v>
      </c>
      <c r="L27" s="76">
        <f t="shared" ca="1" si="4"/>
        <v>0</v>
      </c>
      <c r="N27" s="2" t="s">
        <v>370</v>
      </c>
      <c r="O27" s="71">
        <f>MATCH(N27,'Rate Zone Allocation Factors'!$B$13:$B$91,0)</f>
        <v>44</v>
      </c>
      <c r="P27" s="9">
        <f ca="1">OFFSET('Rate Zone Allocation Factors'!$B$13,$O27-1,P$13)*$L27+OFFSET('Rate Zone Allocation Factors'!$B$13,$K27-1,P$13)*$H27</f>
        <v>0</v>
      </c>
      <c r="Q27" s="9">
        <f ca="1">OFFSET('Rate Zone Allocation Factors'!$B$13,$O27-1,Q$13)*$L27+OFFSET('Rate Zone Allocation Factors'!$B$13,$K27-1,Q$13)*$H27</f>
        <v>0</v>
      </c>
      <c r="R27" s="9">
        <f ca="1">OFFSET('Rate Zone Allocation Factors'!$B$13,$O27-1,R$13)*$L27+OFFSET('Rate Zone Allocation Factors'!$B$13,$K27-1,R$13)*$H27</f>
        <v>0</v>
      </c>
      <c r="S27" s="9">
        <f ca="1">OFFSET('Rate Zone Allocation Factors'!$B$13,$O27-1,S$13)*$L27+OFFSET('Rate Zone Allocation Factors'!$B$13,$K27-1,S$13)*$H27</f>
        <v>0</v>
      </c>
    </row>
    <row r="28" spans="1:19" x14ac:dyDescent="0.25">
      <c r="A28" s="2">
        <f t="shared" si="5"/>
        <v>12</v>
      </c>
      <c r="B28" s="31" t="s">
        <v>371</v>
      </c>
      <c r="D28" s="40">
        <f ca="1">SUM(D24:D27)</f>
        <v>166106.01683569053</v>
      </c>
      <c r="F28" s="40">
        <f ca="1">SUM(F24:F27)</f>
        <v>166106.01683569053</v>
      </c>
      <c r="H28" s="40">
        <f ca="1">SUM(H24:H27)</f>
        <v>28256.55440729922</v>
      </c>
      <c r="J28" s="115"/>
      <c r="L28" s="40">
        <f ca="1">SUM(L24:L27)</f>
        <v>137849.46242839133</v>
      </c>
      <c r="P28" s="40">
        <f t="shared" ref="P28:S28" ca="1" si="6">SUM(P24:P27)</f>
        <v>8581.8652350779103</v>
      </c>
      <c r="Q28" s="40">
        <f t="shared" ca="1" si="6"/>
        <v>102025.93535198869</v>
      </c>
      <c r="R28" s="40">
        <f t="shared" ca="1" si="6"/>
        <v>55038.15840563309</v>
      </c>
      <c r="S28" s="40">
        <f t="shared" ca="1" si="6"/>
        <v>460.05784299084002</v>
      </c>
    </row>
    <row r="29" spans="1:19" x14ac:dyDescent="0.25">
      <c r="D29" s="48"/>
      <c r="P29" s="76"/>
      <c r="Q29" s="76"/>
      <c r="R29" s="76"/>
      <c r="S29" s="48">
        <f t="shared" si="3"/>
        <v>0</v>
      </c>
    </row>
    <row r="30" spans="1:19" x14ac:dyDescent="0.25">
      <c r="B30" s="74" t="s">
        <v>372</v>
      </c>
      <c r="P30" s="76"/>
      <c r="Q30" s="76"/>
      <c r="R30" s="76"/>
      <c r="S30" s="48">
        <f t="shared" si="3"/>
        <v>0</v>
      </c>
    </row>
    <row r="31" spans="1:19" x14ac:dyDescent="0.25">
      <c r="A31" s="2">
        <f>A28+1</f>
        <v>13</v>
      </c>
      <c r="B31" s="31" t="s">
        <v>373</v>
      </c>
      <c r="D31" s="20">
        <f ca="1">'Total Allocation by Rate Zone'!D31-'Rate Zone Allocation - Gas Cost'!D31</f>
        <v>12889.72691135346</v>
      </c>
      <c r="E31" s="76"/>
      <c r="F31" s="20">
        <f ca="1">'Total Allocation by Rate Zone'!F31-'Rate Zone Allocation - Gas Cost'!F31</f>
        <v>12889.72691135346</v>
      </c>
      <c r="H31" s="76">
        <f>'Total Allocation by Rate Zone'!H31-'Rate Zone Allocation - Gas Cost'!H31</f>
        <v>0</v>
      </c>
      <c r="K31" s="71">
        <f>_xlfn.IFNA(MATCH(J31,'Rate Zone Allocation Factors'!$B$13:$B$68,0),0)</f>
        <v>0</v>
      </c>
      <c r="L31" s="76">
        <f ca="1">F31-H31</f>
        <v>12889.72691135346</v>
      </c>
      <c r="N31" s="2" t="s">
        <v>374</v>
      </c>
      <c r="O31" s="71">
        <f>MATCH(N31,'Rate Zone Allocation Factors'!$B$13:$B$91,0)</f>
        <v>17</v>
      </c>
      <c r="P31" s="9">
        <f ca="1">OFFSET('Rate Zone Allocation Factors'!$B$13,$O31-1,P$13)*$L31+OFFSET('Rate Zone Allocation Factors'!$B$13,$K31-1,P$13)*$H31</f>
        <v>346.55278235722216</v>
      </c>
      <c r="Q31" s="9">
        <f ca="1">OFFSET('Rate Zone Allocation Factors'!$B$13,$O31-1,Q$13)*$L31+OFFSET('Rate Zone Allocation Factors'!$B$13,$K31-1,Q$13)*$H31</f>
        <v>5058.8991334695847</v>
      </c>
      <c r="R31" s="9">
        <f ca="1">OFFSET('Rate Zone Allocation Factors'!$B$13,$O31-1,R$13)*$L31+OFFSET('Rate Zone Allocation Factors'!$B$13,$K31-1,R$13)*$H31</f>
        <v>2801.1189187088398</v>
      </c>
      <c r="S31" s="9">
        <f ca="1">OFFSET('Rate Zone Allocation Factors'!$B$13,$O31-1,S$13)*$L31+OFFSET('Rate Zone Allocation Factors'!$B$13,$K31-1,S$13)*$H31</f>
        <v>4683.1560768178124</v>
      </c>
    </row>
    <row r="32" spans="1:19" x14ac:dyDescent="0.25">
      <c r="A32" s="2">
        <f>A31+1</f>
        <v>14</v>
      </c>
      <c r="B32" s="31" t="s">
        <v>375</v>
      </c>
      <c r="D32" s="20">
        <f ca="1">'Total Allocation by Rate Zone'!D32-'Rate Zone Allocation - Gas Cost'!D32</f>
        <v>1418.3718363261082</v>
      </c>
      <c r="E32" s="76"/>
      <c r="F32" s="20">
        <f ca="1">'Total Allocation by Rate Zone'!F32-'Rate Zone Allocation - Gas Cost'!F32</f>
        <v>1418.3718363261082</v>
      </c>
      <c r="H32" s="76">
        <f>'Total Allocation by Rate Zone'!H32-'Rate Zone Allocation - Gas Cost'!H32</f>
        <v>0</v>
      </c>
      <c r="K32" s="71">
        <f>_xlfn.IFNA(MATCH(J32,'Rate Zone Allocation Factors'!$B$13:$B$68,0),0)</f>
        <v>0</v>
      </c>
      <c r="L32" s="76">
        <f t="shared" ref="L32:L38" ca="1" si="7">F32-H32</f>
        <v>1418.3718363261082</v>
      </c>
      <c r="N32" s="2" t="s">
        <v>376</v>
      </c>
      <c r="O32" s="71">
        <f>MATCH(N32,'Rate Zone Allocation Factors'!$B$13:$B$91,0)</f>
        <v>23</v>
      </c>
      <c r="P32" s="9">
        <f ca="1">OFFSET('Rate Zone Allocation Factors'!$B$13,$O32-1,P$13)*$L32+OFFSET('Rate Zone Allocation Factors'!$B$13,$K32-1,P$13)*$H32</f>
        <v>0</v>
      </c>
      <c r="Q32" s="9">
        <f ca="1">OFFSET('Rate Zone Allocation Factors'!$B$13,$O32-1,Q$13)*$L32+OFFSET('Rate Zone Allocation Factors'!$B$13,$K32-1,Q$13)*$H32</f>
        <v>135.75366221986272</v>
      </c>
      <c r="R32" s="9">
        <f ca="1">OFFSET('Rate Zone Allocation Factors'!$B$13,$O32-1,R$13)*$L32+OFFSET('Rate Zone Allocation Factors'!$B$13,$K32-1,R$13)*$H32</f>
        <v>286.05282800224467</v>
      </c>
      <c r="S32" s="9">
        <f ca="1">OFFSET('Rate Zone Allocation Factors'!$B$13,$O32-1,S$13)*$L32+OFFSET('Rate Zone Allocation Factors'!$B$13,$K32-1,S$13)*$H32</f>
        <v>996.5653461040007</v>
      </c>
    </row>
    <row r="33" spans="1:19 16383:16383" x14ac:dyDescent="0.25">
      <c r="A33" s="2">
        <f t="shared" ref="A33:A39" si="8">A32+1</f>
        <v>15</v>
      </c>
      <c r="B33" s="31" t="s">
        <v>377</v>
      </c>
      <c r="D33" s="20">
        <f ca="1">'Total Allocation by Rate Zone'!D33-'Rate Zone Allocation - Gas Cost'!D33</f>
        <v>46033.650718814592</v>
      </c>
      <c r="E33" s="76"/>
      <c r="F33" s="20">
        <f ca="1">'Total Allocation by Rate Zone'!F33-'Rate Zone Allocation - Gas Cost'!F33</f>
        <v>46033.650718814592</v>
      </c>
      <c r="H33" s="76">
        <f>'Total Allocation by Rate Zone'!H33-'Rate Zone Allocation - Gas Cost'!H33</f>
        <v>0</v>
      </c>
      <c r="K33" s="71">
        <f>_xlfn.IFNA(MATCH(J33,'Rate Zone Allocation Factors'!$B$13:$B$68,0),0)</f>
        <v>0</v>
      </c>
      <c r="L33" s="76">
        <f t="shared" ca="1" si="7"/>
        <v>46033.650718814592</v>
      </c>
      <c r="N33" s="2" t="s">
        <v>378</v>
      </c>
      <c r="O33" s="71">
        <f>MATCH(N33,'Rate Zone Allocation Factors'!$B$13:$B$91,0)</f>
        <v>38</v>
      </c>
      <c r="P33" s="9">
        <f ca="1">OFFSET('Rate Zone Allocation Factors'!$B$13,$O33-1,P$13)*$L33+OFFSET('Rate Zone Allocation Factors'!$B$13,$K33-1,P$13)*$H33</f>
        <v>2246.0811933588025</v>
      </c>
      <c r="Q33" s="9">
        <f ca="1">OFFSET('Rate Zone Allocation Factors'!$B$13,$O33-1,Q$13)*$L33+OFFSET('Rate Zone Allocation Factors'!$B$13,$K33-1,Q$13)*$H33</f>
        <v>20136.013668639356</v>
      </c>
      <c r="R33" s="9">
        <f ca="1">OFFSET('Rate Zone Allocation Factors'!$B$13,$O33-1,R$13)*$L33+OFFSET('Rate Zone Allocation Factors'!$B$13,$K33-1,R$13)*$H33</f>
        <v>0</v>
      </c>
      <c r="S33" s="9">
        <f ca="1">OFFSET('Rate Zone Allocation Factors'!$B$13,$O33-1,S$13)*$L33+OFFSET('Rate Zone Allocation Factors'!$B$13,$K33-1,S$13)*$H33</f>
        <v>23651.555856816427</v>
      </c>
    </row>
    <row r="34" spans="1:19 16383:16383" x14ac:dyDescent="0.25">
      <c r="A34" s="2">
        <f t="shared" si="8"/>
        <v>16</v>
      </c>
      <c r="B34" s="31" t="s">
        <v>379</v>
      </c>
      <c r="D34" s="20">
        <f ca="1">'Total Allocation by Rate Zone'!D34-'Rate Zone Allocation - Gas Cost'!D34</f>
        <v>229743.82612937456</v>
      </c>
      <c r="E34" s="76"/>
      <c r="F34" s="20">
        <f ca="1">'Total Allocation by Rate Zone'!F34-'Rate Zone Allocation - Gas Cost'!F34</f>
        <v>229743.82612937456</v>
      </c>
      <c r="H34" s="76">
        <f>'Total Allocation by Rate Zone'!H34-'Rate Zone Allocation - Gas Cost'!H34</f>
        <v>0</v>
      </c>
      <c r="K34" s="71">
        <f>_xlfn.IFNA(MATCH(J34,'Rate Zone Allocation Factors'!$B$13:$B$68,0),0)</f>
        <v>0</v>
      </c>
      <c r="L34" s="76">
        <f t="shared" ca="1" si="7"/>
        <v>229743.82612937456</v>
      </c>
      <c r="N34" s="2" t="s">
        <v>380</v>
      </c>
      <c r="O34" s="71">
        <f>MATCH(N34,'Rate Zone Allocation Factors'!$B$13:$B$91,0)</f>
        <v>20</v>
      </c>
      <c r="P34" s="9">
        <f ca="1">OFFSET('Rate Zone Allocation Factors'!$B$13,$O34-1,P$13)*$L34+OFFSET('Rate Zone Allocation Factors'!$B$13,$K34-1,P$13)*$H34</f>
        <v>7589.6466546897955</v>
      </c>
      <c r="Q34" s="9">
        <f ca="1">OFFSET('Rate Zone Allocation Factors'!$B$13,$O34-1,Q$13)*$L34+OFFSET('Rate Zone Allocation Factors'!$B$13,$K34-1,Q$13)*$H34</f>
        <v>110385.58057496099</v>
      </c>
      <c r="R34" s="9">
        <f ca="1">OFFSET('Rate Zone Allocation Factors'!$B$13,$O34-1,R$13)*$L34+OFFSET('Rate Zone Allocation Factors'!$B$13,$K34-1,R$13)*$H34</f>
        <v>45205.240456075633</v>
      </c>
      <c r="S34" s="9">
        <f ca="1">OFFSET('Rate Zone Allocation Factors'!$B$13,$O34-1,S$13)*$L34+OFFSET('Rate Zone Allocation Factors'!$B$13,$K34-1,S$13)*$H34</f>
        <v>66563.358443648132</v>
      </c>
    </row>
    <row r="35" spans="1:19 16383:16383" x14ac:dyDescent="0.25">
      <c r="A35" s="2">
        <f t="shared" si="8"/>
        <v>17</v>
      </c>
      <c r="B35" s="31" t="s">
        <v>381</v>
      </c>
      <c r="D35" s="20">
        <f ca="1">'Total Allocation by Rate Zone'!D35-'Rate Zone Allocation - Gas Cost'!D35</f>
        <v>30569.722628306641</v>
      </c>
      <c r="E35" s="76"/>
      <c r="F35" s="20">
        <f ca="1">'Total Allocation by Rate Zone'!F35-'Rate Zone Allocation - Gas Cost'!F35</f>
        <v>30569.722628306641</v>
      </c>
      <c r="H35" s="76">
        <f>'Total Allocation by Rate Zone'!H35-'Rate Zone Allocation - Gas Cost'!H35</f>
        <v>0</v>
      </c>
      <c r="K35" s="71">
        <f>_xlfn.IFNA(MATCH(J35,'Rate Zone Allocation Factors'!$B$13:$B$68,0),0)</f>
        <v>0</v>
      </c>
      <c r="L35" s="76">
        <f t="shared" ca="1" si="7"/>
        <v>30569.722628306641</v>
      </c>
      <c r="N35" s="2" t="s">
        <v>382</v>
      </c>
      <c r="O35" s="71">
        <f>MATCH(N35,'Rate Zone Allocation Factors'!$B$13:$B$91,0)</f>
        <v>14</v>
      </c>
      <c r="P35" s="9">
        <f ca="1">OFFSET('Rate Zone Allocation Factors'!$B$13,$O35-1,P$13)*$L35+OFFSET('Rate Zone Allocation Factors'!$B$13,$K35-1,P$13)*$H35</f>
        <v>0</v>
      </c>
      <c r="Q35" s="9">
        <f ca="1">OFFSET('Rate Zone Allocation Factors'!$B$13,$O35-1,Q$13)*$L35+OFFSET('Rate Zone Allocation Factors'!$B$13,$K35-1,Q$13)*$H35</f>
        <v>12227.889051322658</v>
      </c>
      <c r="R35" s="9">
        <f ca="1">OFFSET('Rate Zone Allocation Factors'!$B$13,$O35-1,R$13)*$L35+OFFSET('Rate Zone Allocation Factors'!$B$13,$K35-1,R$13)*$H35</f>
        <v>0</v>
      </c>
      <c r="S35" s="9">
        <f ca="1">OFFSET('Rate Zone Allocation Factors'!$B$13,$O35-1,S$13)*$L35+OFFSET('Rate Zone Allocation Factors'!$B$13,$K35-1,S$13)*$H35</f>
        <v>18341.833576983983</v>
      </c>
    </row>
    <row r="36" spans="1:19 16383:16383" x14ac:dyDescent="0.25">
      <c r="A36" s="2">
        <f t="shared" si="8"/>
        <v>18</v>
      </c>
      <c r="B36" s="31" t="s">
        <v>383</v>
      </c>
      <c r="D36" s="20">
        <f ca="1">'Total Allocation by Rate Zone'!D36-'Rate Zone Allocation - Gas Cost'!D36</f>
        <v>51106.232348853373</v>
      </c>
      <c r="E36" s="76"/>
      <c r="F36" s="20">
        <f ca="1">'Total Allocation by Rate Zone'!F36-'Rate Zone Allocation - Gas Cost'!F36</f>
        <v>51106.232348853373</v>
      </c>
      <c r="H36" s="76">
        <f>'Total Allocation by Rate Zone'!H36-'Rate Zone Allocation - Gas Cost'!H36</f>
        <v>0</v>
      </c>
      <c r="K36" s="71">
        <f>_xlfn.IFNA(MATCH(J36,'Rate Zone Allocation Factors'!$B$13:$B$68,0),0)</f>
        <v>0</v>
      </c>
      <c r="L36" s="76">
        <f t="shared" ca="1" si="7"/>
        <v>51106.232348853373</v>
      </c>
      <c r="N36" s="2" t="s">
        <v>384</v>
      </c>
      <c r="O36" s="71">
        <f>MATCH(N36,'Rate Zone Allocation Factors'!$B$13:$B$91,0)</f>
        <v>35</v>
      </c>
      <c r="P36" s="20">
        <f ca="1">OFFSET('Rate Zone Allocation Factors'!$B$13,$O36-1,P$13)*$L36+OFFSET('Rate Zone Allocation Factors'!$B$13,$K36-1,P$13)*$H36</f>
        <v>0</v>
      </c>
      <c r="Q36" s="20">
        <f ca="1">OFFSET('Rate Zone Allocation Factors'!$B$13,$O36-1,Q$13)*$L36+OFFSET('Rate Zone Allocation Factors'!$B$13,$K36-1,Q$13)*$H36</f>
        <v>0</v>
      </c>
      <c r="R36" s="20">
        <f ca="1">OFFSET('Rate Zone Allocation Factors'!$B$13,$O36-1,R$13)*$L36+OFFSET('Rate Zone Allocation Factors'!$B$13,$K36-1,R$13)*$H36</f>
        <v>51106.232348853373</v>
      </c>
      <c r="S36" s="20">
        <f ca="1">OFFSET('Rate Zone Allocation Factors'!$B$13,$O36-1,S$13)*$L36+OFFSET('Rate Zone Allocation Factors'!$B$13,$K36-1,S$13)*$H36</f>
        <v>0</v>
      </c>
    </row>
    <row r="37" spans="1:19 16383:16383" x14ac:dyDescent="0.25">
      <c r="A37" s="2">
        <f t="shared" si="8"/>
        <v>19</v>
      </c>
      <c r="B37" s="31" t="s">
        <v>385</v>
      </c>
      <c r="D37" s="20">
        <f ca="1">'Total Allocation by Rate Zone'!D37-'Rate Zone Allocation - Gas Cost'!D37</f>
        <v>747.55531378907335</v>
      </c>
      <c r="E37" s="76"/>
      <c r="F37" s="20">
        <f ca="1">'Total Allocation by Rate Zone'!F37-'Rate Zone Allocation - Gas Cost'!F37</f>
        <v>747.55531378907335</v>
      </c>
      <c r="H37" s="76">
        <f>'Total Allocation by Rate Zone'!H37-'Rate Zone Allocation - Gas Cost'!H37</f>
        <v>0</v>
      </c>
      <c r="K37" s="71">
        <f>_xlfn.IFNA(MATCH(J37,'Rate Zone Allocation Factors'!$B$13:$B$68,0),0)</f>
        <v>0</v>
      </c>
      <c r="L37" s="76">
        <f t="shared" ca="1" si="7"/>
        <v>747.55531378907335</v>
      </c>
      <c r="N37" s="2" t="s">
        <v>384</v>
      </c>
      <c r="O37" s="71">
        <f>MATCH(N37,'Rate Zone Allocation Factors'!$B$13:$B$91,0)</f>
        <v>35</v>
      </c>
      <c r="P37" s="20">
        <f ca="1">OFFSET('Rate Zone Allocation Factors'!$B$13,$O37-1,P$13)*$L37+OFFSET('Rate Zone Allocation Factors'!$B$13,$K37-1,P$13)*$H37</f>
        <v>0</v>
      </c>
      <c r="Q37" s="20">
        <f ca="1">OFFSET('Rate Zone Allocation Factors'!$B$13,$O37-1,Q$13)*$L37+OFFSET('Rate Zone Allocation Factors'!$B$13,$K37-1,Q$13)*$H37</f>
        <v>0</v>
      </c>
      <c r="R37" s="20">
        <f ca="1">OFFSET('Rate Zone Allocation Factors'!$B$13,$O37-1,R$13)*$L37+OFFSET('Rate Zone Allocation Factors'!$B$13,$K37-1,R$13)*$H37</f>
        <v>747.55531378907335</v>
      </c>
      <c r="S37" s="20">
        <f ca="1">OFFSET('Rate Zone Allocation Factors'!$B$13,$O37-1,S$13)*$L37+OFFSET('Rate Zone Allocation Factors'!$B$13,$K37-1,S$13)*$H37</f>
        <v>0</v>
      </c>
    </row>
    <row r="38" spans="1:19 16383:16383" x14ac:dyDescent="0.25">
      <c r="A38" s="2">
        <f t="shared" si="8"/>
        <v>20</v>
      </c>
      <c r="B38" s="31" t="s">
        <v>386</v>
      </c>
      <c r="D38" s="20">
        <f ca="1">'Total Allocation by Rate Zone'!D38-'Rate Zone Allocation - Gas Cost'!D38</f>
        <v>0</v>
      </c>
      <c r="E38" s="76"/>
      <c r="F38" s="20">
        <f ca="1">'Total Allocation by Rate Zone'!F38-'Rate Zone Allocation - Gas Cost'!F38</f>
        <v>0</v>
      </c>
      <c r="H38" s="76">
        <f ca="1">'Total Allocation by Rate Zone'!H38-'Rate Zone Allocation - Gas Cost'!H38</f>
        <v>0</v>
      </c>
      <c r="J38" s="2" t="s">
        <v>387</v>
      </c>
      <c r="K38" s="71">
        <f>_xlfn.IFNA(MATCH(J38,'Rate Zone Allocation Factors'!$B$13:$B$68,0),0)</f>
        <v>5</v>
      </c>
      <c r="L38" s="76">
        <f t="shared" ca="1" si="7"/>
        <v>0</v>
      </c>
      <c r="N38" s="2" t="s">
        <v>388</v>
      </c>
      <c r="O38" s="71">
        <f>MATCH(N38,'Rate Zone Allocation Factors'!$B$13:$B$91,0)</f>
        <v>56</v>
      </c>
      <c r="P38" s="9">
        <f ca="1">OFFSET('Rate Zone Allocation Factors'!$B$13,$O38-1,P$13)*$L38+OFFSET('Rate Zone Allocation Factors'!$B$13,$K38-1,P$13)*$H38</f>
        <v>0</v>
      </c>
      <c r="Q38" s="9">
        <f ca="1">OFFSET('Rate Zone Allocation Factors'!$B$13,$O38-1,Q$13)*$L38+OFFSET('Rate Zone Allocation Factors'!$B$13,$K38-1,Q$13)*$H38</f>
        <v>0</v>
      </c>
      <c r="R38" s="9">
        <f ca="1">OFFSET('Rate Zone Allocation Factors'!$B$13,$O38-1,R$13)*$L38+OFFSET('Rate Zone Allocation Factors'!$B$13,$K38-1,R$13)*$H38</f>
        <v>0</v>
      </c>
      <c r="S38" s="9">
        <f ca="1">OFFSET('Rate Zone Allocation Factors'!$B$13,$O38-1,S$13)*$L38+OFFSET('Rate Zone Allocation Factors'!$B$13,$K38-1,S$13)*$H38</f>
        <v>0</v>
      </c>
    </row>
    <row r="39" spans="1:19 16383:16383" x14ac:dyDescent="0.25">
      <c r="A39" s="2">
        <f t="shared" si="8"/>
        <v>21</v>
      </c>
      <c r="B39" s="31" t="s">
        <v>389</v>
      </c>
      <c r="D39" s="40">
        <f ca="1">SUM(D31:D38)</f>
        <v>372509.08588681783</v>
      </c>
      <c r="F39" s="40">
        <f ca="1">SUM(F31:F38)</f>
        <v>372509.08588681783</v>
      </c>
      <c r="H39" s="40">
        <f ca="1">SUM(H31:H38)</f>
        <v>0</v>
      </c>
      <c r="L39" s="40">
        <f ca="1">SUM(L31:L38)</f>
        <v>372509.08588681783</v>
      </c>
      <c r="P39" s="40">
        <f t="shared" ref="P39:S39" ca="1" si="9">SUM(P31:P38)</f>
        <v>10182.280630405819</v>
      </c>
      <c r="Q39" s="40">
        <f t="shared" ca="1" si="9"/>
        <v>147944.13609061245</v>
      </c>
      <c r="R39" s="40">
        <f t="shared" ca="1" si="9"/>
        <v>100146.19986542915</v>
      </c>
      <c r="S39" s="40">
        <f t="shared" ca="1" si="9"/>
        <v>114236.46930037034</v>
      </c>
      <c r="XFC39" s="40"/>
    </row>
    <row r="40" spans="1:19 16383:16383" x14ac:dyDescent="0.25">
      <c r="D40" s="48"/>
      <c r="P40" s="76"/>
      <c r="Q40" s="76"/>
      <c r="R40" s="76"/>
      <c r="S40" s="48"/>
    </row>
    <row r="41" spans="1:19 16383:16383" x14ac:dyDescent="0.25">
      <c r="B41" s="74" t="s">
        <v>390</v>
      </c>
      <c r="P41" s="76"/>
      <c r="Q41" s="76"/>
      <c r="R41" s="76"/>
      <c r="S41" s="48"/>
    </row>
    <row r="42" spans="1:19 16383:16383" x14ac:dyDescent="0.25">
      <c r="A42" s="2">
        <f>A39+1</f>
        <v>22</v>
      </c>
      <c r="B42" s="31" t="s">
        <v>391</v>
      </c>
      <c r="D42" s="20">
        <f ca="1">'Total Allocation by Rate Zone'!D42-'Rate Zone Allocation - Gas Cost'!D42</f>
        <v>297327.75627410697</v>
      </c>
      <c r="E42" s="76"/>
      <c r="F42" s="20">
        <f ca="1">'Total Allocation by Rate Zone'!F42-'Rate Zone Allocation - Gas Cost'!F42</f>
        <v>297327.75627410697</v>
      </c>
      <c r="G42" s="76"/>
      <c r="H42" s="76">
        <f>'Total Allocation by Rate Zone'!H42-'Rate Zone Allocation - Gas Cost'!H42</f>
        <v>0</v>
      </c>
      <c r="I42" s="76"/>
      <c r="J42" s="116"/>
      <c r="K42" s="71">
        <f>_xlfn.IFNA(MATCH(J42,'Rate Zone Allocation Factors'!$B$58:$B$68,0),0)</f>
        <v>0</v>
      </c>
      <c r="L42" s="76">
        <f t="shared" ref="L42:L56" ca="1" si="10">F42-H42</f>
        <v>297327.75627410697</v>
      </c>
      <c r="N42" s="2" t="s">
        <v>392</v>
      </c>
      <c r="P42" s="13"/>
      <c r="Q42" s="13"/>
      <c r="R42" s="13"/>
      <c r="S42" s="48"/>
    </row>
    <row r="43" spans="1:19 16383:16383" x14ac:dyDescent="0.25">
      <c r="A43" s="2">
        <f>A42+1</f>
        <v>23</v>
      </c>
      <c r="B43" s="31" t="s">
        <v>393</v>
      </c>
      <c r="D43" s="20">
        <f ca="1">'Total Allocation by Rate Zone'!D43-'Rate Zone Allocation - Gas Cost'!D43</f>
        <v>56868.262593660387</v>
      </c>
      <c r="E43" s="76"/>
      <c r="F43" s="20">
        <f ca="1">'Total Allocation by Rate Zone'!F43-'Rate Zone Allocation - Gas Cost'!F43</f>
        <v>56868.262593660387</v>
      </c>
      <c r="G43" s="76"/>
      <c r="H43" s="76">
        <f>'Total Allocation by Rate Zone'!H43-'Rate Zone Allocation - Gas Cost'!H43</f>
        <v>0</v>
      </c>
      <c r="I43" s="76"/>
      <c r="J43" s="116"/>
      <c r="K43" s="71">
        <f>_xlfn.IFNA(MATCH(J43,'Rate Zone Allocation Factors'!$B$58:$B$68,0),0)</f>
        <v>0</v>
      </c>
      <c r="L43" s="76">
        <f t="shared" ca="1" si="10"/>
        <v>56868.262593660387</v>
      </c>
      <c r="N43" s="2" t="s">
        <v>394</v>
      </c>
      <c r="P43" s="13"/>
      <c r="Q43" s="13"/>
      <c r="R43" s="13"/>
      <c r="S43" s="48"/>
    </row>
    <row r="44" spans="1:19 16383:16383" x14ac:dyDescent="0.25">
      <c r="A44" s="2">
        <f t="shared" ref="A44:A57" si="11">A43+1</f>
        <v>24</v>
      </c>
      <c r="B44" s="31" t="s">
        <v>395</v>
      </c>
      <c r="D44" s="20">
        <f ca="1">'Total Allocation by Rate Zone'!D44-'Rate Zone Allocation - Gas Cost'!D44</f>
        <v>344372.00780846307</v>
      </c>
      <c r="E44" s="76"/>
      <c r="F44" s="20">
        <f ca="1">'Total Allocation by Rate Zone'!F44-'Rate Zone Allocation - Gas Cost'!F44</f>
        <v>343743.97514135833</v>
      </c>
      <c r="G44" s="76"/>
      <c r="H44" s="76">
        <f>'Total Allocation by Rate Zone'!H44-'Rate Zone Allocation - Gas Cost'!H44</f>
        <v>0</v>
      </c>
      <c r="I44" s="76"/>
      <c r="J44" s="116"/>
      <c r="K44" s="71">
        <f>_xlfn.IFNA(MATCH(J44,'Rate Zone Allocation Factors'!$B$58:$B$68,0),0)</f>
        <v>0</v>
      </c>
      <c r="L44" s="76">
        <f t="shared" ca="1" si="10"/>
        <v>343743.97514135833</v>
      </c>
      <c r="N44" s="2" t="s">
        <v>396</v>
      </c>
      <c r="P44" s="13"/>
      <c r="Q44" s="13"/>
      <c r="R44" s="13"/>
      <c r="S44" s="48"/>
    </row>
    <row r="45" spans="1:19 16383:16383" x14ac:dyDescent="0.25">
      <c r="B45" s="31" t="s">
        <v>397</v>
      </c>
      <c r="D45" s="76"/>
      <c r="E45" s="76"/>
      <c r="F45" s="76">
        <f t="shared" ref="F45" si="12">D45</f>
        <v>0</v>
      </c>
      <c r="G45" s="76"/>
      <c r="H45" s="76"/>
      <c r="I45" s="76"/>
      <c r="J45" s="116"/>
      <c r="L45" s="76"/>
      <c r="P45" s="13"/>
      <c r="Q45" s="13"/>
      <c r="R45" s="13"/>
      <c r="S45" s="48"/>
    </row>
    <row r="46" spans="1:19 16383:16383" x14ac:dyDescent="0.25">
      <c r="A46" s="2">
        <f>A44+1</f>
        <v>25</v>
      </c>
      <c r="B46" s="79" t="s">
        <v>398</v>
      </c>
      <c r="D46" s="20">
        <f ca="1">'Total Allocation by Rate Zone'!D46-'Rate Zone Allocation - Gas Cost'!D46</f>
        <v>150927.52203758305</v>
      </c>
      <c r="E46" s="76"/>
      <c r="F46" s="20">
        <f ca="1">'Total Allocation by Rate Zone'!F46-'Rate Zone Allocation - Gas Cost'!F46</f>
        <v>150927.52203758305</v>
      </c>
      <c r="G46" s="76"/>
      <c r="H46" s="76">
        <f>'Total Allocation by Rate Zone'!H46-'Rate Zone Allocation - Gas Cost'!H46</f>
        <v>0</v>
      </c>
      <c r="I46" s="76"/>
      <c r="J46" s="116"/>
      <c r="K46" s="71">
        <f>_xlfn.IFNA(MATCH(J46,'Rate Zone Allocation Factors'!$B$58:$B$68,0),0)</f>
        <v>0</v>
      </c>
      <c r="L46" s="76">
        <f t="shared" ca="1" si="10"/>
        <v>150927.52203758305</v>
      </c>
      <c r="N46" s="2" t="s">
        <v>399</v>
      </c>
      <c r="P46" s="13"/>
      <c r="Q46" s="13"/>
      <c r="R46" s="13"/>
      <c r="S46" s="48"/>
    </row>
    <row r="47" spans="1:19 16383:16383" x14ac:dyDescent="0.25">
      <c r="A47" s="2">
        <f t="shared" si="11"/>
        <v>26</v>
      </c>
      <c r="B47" s="79" t="s">
        <v>400</v>
      </c>
      <c r="D47" s="20">
        <f ca="1">'Total Allocation by Rate Zone'!D47-'Rate Zone Allocation - Gas Cost'!D47</f>
        <v>65848.377147061197</v>
      </c>
      <c r="E47" s="76"/>
      <c r="F47" s="20">
        <f ca="1">'Total Allocation by Rate Zone'!F47-'Rate Zone Allocation - Gas Cost'!F47</f>
        <v>65848.377147061197</v>
      </c>
      <c r="G47" s="76"/>
      <c r="H47" s="76">
        <f>'Total Allocation by Rate Zone'!H47-'Rate Zone Allocation - Gas Cost'!H47</f>
        <v>0</v>
      </c>
      <c r="I47" s="76"/>
      <c r="J47" s="116"/>
      <c r="K47" s="71">
        <f>_xlfn.IFNA(MATCH(J47,'Rate Zone Allocation Factors'!$B$58:$B$68,0),0)</f>
        <v>0</v>
      </c>
      <c r="L47" s="76">
        <f t="shared" ca="1" si="10"/>
        <v>65848.377147061197</v>
      </c>
      <c r="N47" s="2" t="s">
        <v>401</v>
      </c>
      <c r="P47" s="13"/>
      <c r="Q47" s="13"/>
      <c r="R47" s="13"/>
      <c r="S47" s="48"/>
    </row>
    <row r="48" spans="1:19 16383:16383" x14ac:dyDescent="0.25">
      <c r="A48" s="2">
        <f t="shared" si="11"/>
        <v>27</v>
      </c>
      <c r="B48" s="31" t="s">
        <v>402</v>
      </c>
      <c r="D48" s="20">
        <f ca="1">'Total Allocation by Rate Zone'!D48-'Rate Zone Allocation - Gas Cost'!D48</f>
        <v>373864.90964815381</v>
      </c>
      <c r="E48" s="76"/>
      <c r="F48" s="20">
        <f ca="1">'Total Allocation by Rate Zone'!F48-'Rate Zone Allocation - Gas Cost'!F48</f>
        <v>373183.09065294155</v>
      </c>
      <c r="G48" s="76"/>
      <c r="H48" s="76">
        <f>'Total Allocation by Rate Zone'!H48-'Rate Zone Allocation - Gas Cost'!H48</f>
        <v>0</v>
      </c>
      <c r="I48" s="76"/>
      <c r="J48" s="116"/>
      <c r="K48" s="71">
        <f>_xlfn.IFNA(MATCH(J48,'Rate Zone Allocation Factors'!$B$58:$B$68,0),0)</f>
        <v>0</v>
      </c>
      <c r="L48" s="76">
        <f t="shared" ca="1" si="10"/>
        <v>373183.09065294155</v>
      </c>
      <c r="N48" s="2" t="s">
        <v>403</v>
      </c>
      <c r="P48" s="13"/>
      <c r="Q48" s="13"/>
      <c r="R48" s="13"/>
      <c r="S48" s="48"/>
    </row>
    <row r="49" spans="1:19" x14ac:dyDescent="0.25">
      <c r="A49" s="2">
        <f t="shared" si="11"/>
        <v>28</v>
      </c>
      <c r="B49" s="31" t="s">
        <v>404</v>
      </c>
      <c r="D49" s="20">
        <f ca="1">'Total Allocation by Rate Zone'!D49-'Rate Zone Allocation - Gas Cost'!D49</f>
        <v>583743.7291515196</v>
      </c>
      <c r="E49" s="76"/>
      <c r="F49" s="20">
        <f ca="1">'Total Allocation by Rate Zone'!F49-'Rate Zone Allocation - Gas Cost'!F49</f>
        <v>582679.15327772032</v>
      </c>
      <c r="G49" s="76"/>
      <c r="H49" s="76">
        <f>'Total Allocation by Rate Zone'!H49-'Rate Zone Allocation - Gas Cost'!H49</f>
        <v>0</v>
      </c>
      <c r="I49" s="76"/>
      <c r="J49" s="116"/>
      <c r="K49" s="71">
        <f>_xlfn.IFNA(MATCH(J49,'Rate Zone Allocation Factors'!$B$58:$B$68,0),0)</f>
        <v>0</v>
      </c>
      <c r="L49" s="76">
        <f t="shared" ca="1" si="10"/>
        <v>582679.15327772032</v>
      </c>
      <c r="N49" s="2" t="s">
        <v>405</v>
      </c>
      <c r="P49" s="13"/>
      <c r="Q49" s="13"/>
      <c r="R49" s="13"/>
      <c r="S49" s="48"/>
    </row>
    <row r="50" spans="1:19" x14ac:dyDescent="0.25">
      <c r="A50" s="2">
        <f t="shared" si="11"/>
        <v>29</v>
      </c>
      <c r="B50" s="31" t="s">
        <v>406</v>
      </c>
      <c r="D50" s="20">
        <f ca="1">'Total Allocation by Rate Zone'!D50-'Rate Zone Allocation - Gas Cost'!D50</f>
        <v>293237.9955716416</v>
      </c>
      <c r="E50" s="76"/>
      <c r="F50" s="20">
        <f ca="1">'Total Allocation by Rate Zone'!F50-'Rate Zone Allocation - Gas Cost'!F50</f>
        <v>292703.2162159463</v>
      </c>
      <c r="G50" s="76"/>
      <c r="H50" s="76">
        <f>'Total Allocation by Rate Zone'!H50-'Rate Zone Allocation - Gas Cost'!H50</f>
        <v>0</v>
      </c>
      <c r="I50" s="76"/>
      <c r="J50" s="116"/>
      <c r="K50" s="71">
        <f>_xlfn.IFNA(MATCH(J50,'Rate Zone Allocation Factors'!$B$58:$B$68,0),0)</f>
        <v>0</v>
      </c>
      <c r="L50" s="76">
        <f t="shared" ca="1" si="10"/>
        <v>292703.2162159463</v>
      </c>
      <c r="N50" s="2" t="s">
        <v>407</v>
      </c>
      <c r="P50" s="13"/>
      <c r="Q50" s="13"/>
      <c r="R50" s="13"/>
      <c r="S50" s="48"/>
    </row>
    <row r="51" spans="1:19" x14ac:dyDescent="0.25">
      <c r="A51" s="2">
        <f t="shared" si="11"/>
        <v>30</v>
      </c>
      <c r="B51" s="31" t="s">
        <v>408</v>
      </c>
      <c r="D51" s="20">
        <f ca="1">'Total Allocation by Rate Zone'!D51-'Rate Zone Allocation - Gas Cost'!D51</f>
        <v>48458.119684596852</v>
      </c>
      <c r="E51" s="76"/>
      <c r="F51" s="20">
        <f ca="1">'Total Allocation by Rate Zone'!F51-'Rate Zone Allocation - Gas Cost'!F51</f>
        <v>45350.157242930072</v>
      </c>
      <c r="G51" s="76"/>
      <c r="H51" s="76">
        <f>'Total Allocation by Rate Zone'!H51-'Rate Zone Allocation - Gas Cost'!H51</f>
        <v>0</v>
      </c>
      <c r="I51" s="76"/>
      <c r="J51" s="116"/>
      <c r="K51" s="71">
        <f>_xlfn.IFNA(MATCH(J51,'Rate Zone Allocation Factors'!$B$58:$B$68,0),0)</f>
        <v>0</v>
      </c>
      <c r="L51" s="76">
        <f t="shared" ca="1" si="10"/>
        <v>45350.157242930072</v>
      </c>
      <c r="N51" s="2" t="s">
        <v>409</v>
      </c>
      <c r="P51" s="13"/>
      <c r="Q51" s="13"/>
      <c r="R51" s="13"/>
      <c r="S51" s="48"/>
    </row>
    <row r="52" spans="1:19" x14ac:dyDescent="0.25">
      <c r="B52" s="31" t="s">
        <v>410</v>
      </c>
      <c r="D52" s="20"/>
      <c r="E52" s="76"/>
      <c r="F52" s="20"/>
      <c r="G52" s="76"/>
      <c r="H52" s="76"/>
      <c r="I52" s="76"/>
      <c r="J52" s="116"/>
      <c r="L52" s="76"/>
      <c r="N52" s="1"/>
      <c r="P52" s="13"/>
      <c r="Q52" s="13"/>
      <c r="R52" s="13"/>
      <c r="S52" s="48"/>
    </row>
    <row r="53" spans="1:19" x14ac:dyDescent="0.25">
      <c r="A53" s="2">
        <f>A51+1</f>
        <v>31</v>
      </c>
      <c r="B53" s="79" t="s">
        <v>141</v>
      </c>
      <c r="D53" s="20">
        <f ca="1">'Total Allocation by Rate Zone'!D53-'Rate Zone Allocation - Gas Cost'!D53</f>
        <v>12619.21223901281</v>
      </c>
      <c r="F53" s="20">
        <f ca="1">'Total Allocation by Rate Zone'!F53-'Rate Zone Allocation - Gas Cost'!F53</f>
        <v>12619.21223901281</v>
      </c>
      <c r="H53" s="76">
        <f>'Total Allocation by Rate Zone'!H53-'Rate Zone Allocation - Gas Cost'!H53</f>
        <v>0</v>
      </c>
      <c r="K53" s="71">
        <f>_xlfn.IFNA(MATCH(J53,'Rate Zone Allocation Factors'!$B$58:$B$68,0),0)</f>
        <v>0</v>
      </c>
      <c r="L53" s="76">
        <f t="shared" ca="1" si="10"/>
        <v>12619.21223901281</v>
      </c>
      <c r="N53" s="2" t="s">
        <v>411</v>
      </c>
      <c r="P53" s="13"/>
      <c r="Q53" s="13"/>
      <c r="R53" s="13"/>
      <c r="S53" s="48"/>
    </row>
    <row r="54" spans="1:19" x14ac:dyDescent="0.25">
      <c r="A54" s="2">
        <f t="shared" si="11"/>
        <v>32</v>
      </c>
      <c r="B54" s="79" t="s">
        <v>134</v>
      </c>
      <c r="D54" s="20">
        <f ca="1">'Total Allocation by Rate Zone'!D54-'Rate Zone Allocation - Gas Cost'!D54</f>
        <v>191117.96744973466</v>
      </c>
      <c r="F54" s="20">
        <f ca="1">'Total Allocation by Rate Zone'!F54-'Rate Zone Allocation - Gas Cost'!F54</f>
        <v>132202.55170421681</v>
      </c>
      <c r="H54" s="76">
        <f>'Total Allocation by Rate Zone'!H54-'Rate Zone Allocation - Gas Cost'!H54</f>
        <v>11615.535133857918</v>
      </c>
      <c r="J54" s="2" t="s">
        <v>412</v>
      </c>
      <c r="K54" s="71">
        <f>_xlfn.IFNA(MATCH(J54,'Rate Zone Allocation Factors'!$B$58:$B$68,0),0)</f>
        <v>0</v>
      </c>
      <c r="L54" s="76">
        <f t="shared" ca="1" si="10"/>
        <v>120587.01657035889</v>
      </c>
      <c r="N54" s="2" t="s">
        <v>413</v>
      </c>
      <c r="P54" s="13"/>
      <c r="Q54" s="13"/>
      <c r="R54" s="13"/>
      <c r="S54" s="48"/>
    </row>
    <row r="55" spans="1:19" x14ac:dyDescent="0.25">
      <c r="A55" s="2">
        <f t="shared" si="11"/>
        <v>33</v>
      </c>
      <c r="B55" s="79" t="s">
        <v>139</v>
      </c>
      <c r="D55" s="20">
        <f ca="1">'Total Allocation by Rate Zone'!D55-'Rate Zone Allocation - Gas Cost'!D55</f>
        <v>16855.932785702535</v>
      </c>
      <c r="F55" s="20">
        <f ca="1">'Total Allocation by Rate Zone'!F55-'Rate Zone Allocation - Gas Cost'!F55</f>
        <v>16855.932785702535</v>
      </c>
      <c r="H55" s="76">
        <f>'Total Allocation by Rate Zone'!H55-'Rate Zone Allocation - Gas Cost'!H55</f>
        <v>0</v>
      </c>
      <c r="K55" s="71">
        <f>_xlfn.IFNA(MATCH(J55,'Rate Zone Allocation Factors'!$B$58:$B$68,0),0)</f>
        <v>0</v>
      </c>
      <c r="L55" s="76">
        <f t="shared" ca="1" si="10"/>
        <v>16855.932785702535</v>
      </c>
      <c r="N55" s="2" t="s">
        <v>414</v>
      </c>
      <c r="P55" s="13"/>
      <c r="Q55" s="13"/>
      <c r="R55" s="13"/>
      <c r="S55" s="48"/>
    </row>
    <row r="56" spans="1:19" x14ac:dyDescent="0.25">
      <c r="A56" s="2">
        <f t="shared" si="11"/>
        <v>34</v>
      </c>
      <c r="B56" s="31" t="s">
        <v>415</v>
      </c>
      <c r="D56" s="20">
        <f ca="1">'Total Allocation by Rate Zone'!D56-'Rate Zone Allocation - Gas Cost'!D56</f>
        <v>0</v>
      </c>
      <c r="F56" s="20">
        <f ca="1">'Total Allocation by Rate Zone'!F56-'Rate Zone Allocation - Gas Cost'!F56</f>
        <v>0</v>
      </c>
      <c r="H56" s="76"/>
      <c r="K56" s="71">
        <f>_xlfn.IFNA(MATCH(J56,'Rate Zone Allocation Factors'!$B$58:$B$68,0),0)</f>
        <v>0</v>
      </c>
      <c r="L56" s="76">
        <f t="shared" ca="1" si="10"/>
        <v>0</v>
      </c>
      <c r="N56" s="2" t="s">
        <v>416</v>
      </c>
      <c r="P56" s="13"/>
      <c r="Q56" s="13"/>
      <c r="R56" s="13"/>
      <c r="S56" s="48"/>
    </row>
    <row r="57" spans="1:19" x14ac:dyDescent="0.25">
      <c r="A57" s="2">
        <f t="shared" si="11"/>
        <v>35</v>
      </c>
      <c r="B57" s="31" t="s">
        <v>417</v>
      </c>
      <c r="D57" s="40">
        <f ca="1">SUM(D42:D56)</f>
        <v>2435241.7923912359</v>
      </c>
      <c r="F57" s="40">
        <f ca="1">SUM(F42:F56)</f>
        <v>2370309.2073122398</v>
      </c>
      <c r="H57" s="40">
        <f>SUM(H42:H56)</f>
        <v>11615.535133857918</v>
      </c>
      <c r="L57" s="40">
        <f ca="1">SUM(L42:L56)</f>
        <v>2358693.6721783821</v>
      </c>
      <c r="P57" s="48"/>
      <c r="Q57" s="48"/>
      <c r="R57" s="48"/>
      <c r="S57" s="48"/>
    </row>
    <row r="58" spans="1:19" x14ac:dyDescent="0.25">
      <c r="D58" s="48"/>
      <c r="F58" s="48"/>
      <c r="S58" s="48"/>
    </row>
    <row r="59" spans="1:19" ht="13" thickBot="1" x14ac:dyDescent="0.3">
      <c r="A59" s="2">
        <f>A57+1</f>
        <v>36</v>
      </c>
      <c r="B59" s="31" t="s">
        <v>418</v>
      </c>
      <c r="D59" s="80">
        <f ca="1">D21+D28+D39+D57</f>
        <v>2994712.8183570961</v>
      </c>
      <c r="F59" s="80">
        <f ca="1">F21+F28+F39+F57</f>
        <v>2909079.3907174626</v>
      </c>
      <c r="H59" s="80">
        <f ca="1">H21+H28+H39+H57</f>
        <v>32422.674420939402</v>
      </c>
      <c r="L59" s="80">
        <f ca="1">L21+L28+L39+L57</f>
        <v>2876656.7162965233</v>
      </c>
      <c r="P59" s="48"/>
      <c r="Q59" s="48"/>
      <c r="R59" s="48"/>
      <c r="S59" s="48"/>
    </row>
    <row r="60" spans="1:19" ht="13" thickTop="1" x14ac:dyDescent="0.25">
      <c r="D60" s="48"/>
      <c r="F60" s="48"/>
      <c r="P60" s="48"/>
      <c r="Q60" s="48"/>
      <c r="R60" s="48"/>
    </row>
    <row r="61" spans="1:19" x14ac:dyDescent="0.25">
      <c r="D61" s="48"/>
      <c r="E61" s="48"/>
      <c r="F61" s="48"/>
      <c r="G61" s="48"/>
      <c r="H61" s="48"/>
      <c r="I61" s="48"/>
      <c r="J61" s="48"/>
      <c r="K61" s="123"/>
      <c r="L61" s="48"/>
      <c r="M61" s="124"/>
      <c r="N61" s="48"/>
      <c r="O61" s="123"/>
      <c r="P61" s="48"/>
      <c r="Q61" s="48"/>
      <c r="R61" s="48"/>
    </row>
    <row r="62" spans="1:19" x14ac:dyDescent="0.25">
      <c r="J62" s="31"/>
      <c r="N62" s="31"/>
    </row>
    <row r="63" spans="1:19" x14ac:dyDescent="0.25">
      <c r="D63" s="76"/>
      <c r="E63" s="76"/>
      <c r="F63" s="76"/>
      <c r="G63" s="76"/>
      <c r="H63" s="76"/>
      <c r="I63" s="76"/>
      <c r="J63" s="76"/>
      <c r="K63" s="122"/>
      <c r="L63" s="76"/>
      <c r="M63" s="121"/>
      <c r="N63" s="76"/>
      <c r="O63" s="122"/>
      <c r="P63" s="76"/>
      <c r="Q63" s="76"/>
      <c r="R63" s="76"/>
    </row>
    <row r="65" spans="8:8" x14ac:dyDescent="0.25">
      <c r="H65" s="48"/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6B03-1C70-4FD4-BC60-760F786019D2}">
  <sheetPr>
    <tabColor theme="0" tint="-0.249977111117893"/>
  </sheetPr>
  <dimension ref="A6:W65"/>
  <sheetViews>
    <sheetView zoomScale="80" zoomScaleNormal="80" workbookViewId="0">
      <selection activeCell="N37" sqref="N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20.1796875" style="31" customWidth="1"/>
    <col min="7" max="7" width="1.7265625" style="31" customWidth="1"/>
    <col min="8" max="8" width="17.1796875" style="31" customWidth="1"/>
    <col min="9" max="9" width="1.7265625" style="31" customWidth="1"/>
    <col min="10" max="10" width="27.26953125" style="2" bestFit="1" customWidth="1"/>
    <col min="11" max="11" width="1.7265625" style="71" customWidth="1"/>
    <col min="12" max="12" width="17.1796875" style="31" customWidth="1"/>
    <col min="13" max="13" width="1.7265625" style="39" customWidth="1"/>
    <col min="14" max="14" width="22.453125" style="2" customWidth="1"/>
    <col min="15" max="15" width="2" style="71" customWidth="1"/>
    <col min="16" max="19" width="10.81640625" style="31" customWidth="1"/>
    <col min="20" max="16384" width="9.1796875" style="31"/>
  </cols>
  <sheetData>
    <row r="6" spans="1:23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23" x14ac:dyDescent="0.25">
      <c r="B7" s="158" t="s">
        <v>420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9" spans="1:23" x14ac:dyDescent="0.25">
      <c r="F9" s="2" t="s">
        <v>337</v>
      </c>
    </row>
    <row r="10" spans="1:23" x14ac:dyDescent="0.25">
      <c r="A10" s="2" t="s">
        <v>6</v>
      </c>
      <c r="D10" s="2" t="s">
        <v>337</v>
      </c>
      <c r="F10" s="2" t="s">
        <v>13</v>
      </c>
      <c r="H10" s="2" t="s">
        <v>338</v>
      </c>
      <c r="J10" s="2" t="s">
        <v>339</v>
      </c>
      <c r="K10" s="70"/>
      <c r="L10" s="2" t="s">
        <v>340</v>
      </c>
      <c r="N10" s="2" t="s">
        <v>10</v>
      </c>
      <c r="P10" s="2"/>
      <c r="Q10" s="2"/>
      <c r="R10" s="2"/>
    </row>
    <row r="11" spans="1:23" x14ac:dyDescent="0.25">
      <c r="A11" s="33" t="s">
        <v>11</v>
      </c>
      <c r="B11" s="77" t="s">
        <v>12</v>
      </c>
      <c r="D11" s="33" t="s">
        <v>341</v>
      </c>
      <c r="F11" s="33" t="s">
        <v>342</v>
      </c>
      <c r="H11" s="33" t="s">
        <v>8</v>
      </c>
      <c r="J11" s="33" t="s">
        <v>14</v>
      </c>
      <c r="K11" s="70"/>
      <c r="L11" s="33" t="s">
        <v>343</v>
      </c>
      <c r="N11" s="33" t="s">
        <v>14</v>
      </c>
      <c r="P11" s="4" t="s">
        <v>344</v>
      </c>
      <c r="Q11" s="4" t="s">
        <v>345</v>
      </c>
      <c r="R11" s="4" t="s">
        <v>346</v>
      </c>
      <c r="S11" s="4" t="s">
        <v>347</v>
      </c>
      <c r="T11" s="3"/>
      <c r="U11" s="18"/>
      <c r="V11" s="1"/>
      <c r="W11" s="18"/>
    </row>
    <row r="12" spans="1:23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P12" s="81" t="s">
        <v>28</v>
      </c>
      <c r="Q12" s="81" t="s">
        <v>29</v>
      </c>
      <c r="R12" s="81" t="s">
        <v>30</v>
      </c>
      <c r="S12" s="81" t="s">
        <v>180</v>
      </c>
    </row>
    <row r="13" spans="1:23" x14ac:dyDescent="0.25">
      <c r="D13" s="81"/>
      <c r="F13" s="81"/>
      <c r="H13" s="81"/>
      <c r="J13" s="81"/>
      <c r="L13" s="81"/>
      <c r="N13" s="81"/>
      <c r="P13" s="114">
        <v>4</v>
      </c>
      <c r="Q13" s="114">
        <v>6</v>
      </c>
      <c r="R13" s="114">
        <v>8</v>
      </c>
      <c r="S13" s="114">
        <v>10</v>
      </c>
    </row>
    <row r="14" spans="1:23" x14ac:dyDescent="0.25">
      <c r="B14" s="74" t="s">
        <v>348</v>
      </c>
      <c r="P14" s="39"/>
      <c r="Q14" s="39"/>
      <c r="R14" s="39"/>
    </row>
    <row r="15" spans="1:23" x14ac:dyDescent="0.25">
      <c r="A15" s="2">
        <v>1</v>
      </c>
      <c r="B15" s="31" t="s">
        <v>349</v>
      </c>
      <c r="D15" s="20">
        <f ca="1">SUM('Gas Supply Class'!P$116:P$120,'Gas Supply Class'!P$122)</f>
        <v>1878311.1040714213</v>
      </c>
      <c r="E15" s="76"/>
      <c r="F15" s="76">
        <f ca="1">D15</f>
        <v>1878311.1040714213</v>
      </c>
      <c r="H15" s="76"/>
      <c r="K15" s="71">
        <f>_xlfn.IFNA(MATCH(J15,'Rate Zone Allocation Factors'!$B$13:$B$68,0),0)</f>
        <v>0</v>
      </c>
      <c r="L15" s="76">
        <f ca="1">F15-H15</f>
        <v>1878311.1040714213</v>
      </c>
      <c r="N15" s="2" t="s">
        <v>350</v>
      </c>
      <c r="O15" s="71">
        <f>MATCH(N15,'Rate Zone Allocation Factors'!$B$13:$B$68,0)</f>
        <v>47</v>
      </c>
      <c r="P15" s="9">
        <f ca="1">OFFSET('Rate Zone Allocation Factors'!$B$13,$O15-1,P$13)*$L15+OFFSET('Rate Zone Allocation Factors'!$B$13,$K15-1,P$13)*$H15</f>
        <v>104134.65440462345</v>
      </c>
      <c r="Q15" s="9">
        <f ca="1">OFFSET('Rate Zone Allocation Factors'!$B$13,$O15-1,Q$13)*$L15+OFFSET('Rate Zone Allocation Factors'!$B$13,$K15-1,Q$13)*$H15</f>
        <v>1171021.2005978464</v>
      </c>
      <c r="R15" s="9">
        <f ca="1">OFFSET('Rate Zone Allocation Factors'!$B$13,$O15-1,R$13)*$L15+OFFSET('Rate Zone Allocation Factors'!$B$13,$K15-1,R$13)*$H15</f>
        <v>603155.24906895147</v>
      </c>
      <c r="S15" s="9">
        <f ca="1">OFFSET('Rate Zone Allocation Factors'!$B$13,$O15-1,S$13)*$L15+OFFSET('Rate Zone Allocation Factors'!$B$13,$K15-1,S$13)*$H15</f>
        <v>0</v>
      </c>
    </row>
    <row r="16" spans="1:23" x14ac:dyDescent="0.25">
      <c r="A16" s="2">
        <f>A15+1</f>
        <v>2</v>
      </c>
      <c r="B16" s="31" t="s">
        <v>351</v>
      </c>
      <c r="D16" s="20">
        <f ca="1">SUM('Gas Supply Class'!R$116:R$120,'Gas Supply Class'!R$122)</f>
        <v>161486.41315728414</v>
      </c>
      <c r="E16" s="122"/>
      <c r="F16" s="76">
        <f t="shared" ref="F16:F20" ca="1" si="0">D16</f>
        <v>161486.41315728414</v>
      </c>
      <c r="G16" s="71"/>
      <c r="H16" s="76"/>
      <c r="K16" s="71">
        <f>_xlfn.IFNA(MATCH(J16,'Rate Zone Allocation Factors'!$B$13:$B$68,0),0)</f>
        <v>0</v>
      </c>
      <c r="L16" s="76">
        <f ca="1">F16-H16</f>
        <v>161486.41315728414</v>
      </c>
      <c r="N16" s="2" t="s">
        <v>352</v>
      </c>
      <c r="O16" s="71">
        <f>MATCH(N16,'Rate Zone Allocation Factors'!$B$13:$B$68,0)</f>
        <v>26</v>
      </c>
      <c r="P16" s="9">
        <f ca="1">OFFSET('Rate Zone Allocation Factors'!$B$13,$O16-1,P$13)*$L16+OFFSET('Rate Zone Allocation Factors'!$B$13,$K16-1,P$13)*$H16</f>
        <v>27530.517387322485</v>
      </c>
      <c r="Q16" s="9">
        <f ca="1">OFFSET('Rate Zone Allocation Factors'!$B$13,$O16-1,Q$13)*$L16+OFFSET('Rate Zone Allocation Factors'!$B$13,$K16-1,Q$13)*$H16</f>
        <v>133955.89576996167</v>
      </c>
      <c r="R16" s="9">
        <f ca="1">OFFSET('Rate Zone Allocation Factors'!$B$13,$O16-1,R$13)*$L16+OFFSET('Rate Zone Allocation Factors'!$B$13,$K16-1,R$13)*$H16</f>
        <v>0</v>
      </c>
      <c r="S16" s="9">
        <f ca="1">OFFSET('Rate Zone Allocation Factors'!$B$13,$O16-1,S$13)*$L16+OFFSET('Rate Zone Allocation Factors'!$B$13,$K16-1,S$13)*$H16</f>
        <v>0</v>
      </c>
    </row>
    <row r="17" spans="1:19" x14ac:dyDescent="0.25">
      <c r="A17" s="2">
        <f t="shared" ref="A17:A21" si="1">A16+1</f>
        <v>3</v>
      </c>
      <c r="B17" s="31" t="s">
        <v>353</v>
      </c>
      <c r="D17" s="20">
        <f ca="1">SUM('Gas Supply Class'!T$116:T$120,'Gas Supply Class'!T$122)</f>
        <v>40328.527901042762</v>
      </c>
      <c r="E17" s="76"/>
      <c r="F17" s="76">
        <f t="shared" ca="1" si="0"/>
        <v>40328.527901042762</v>
      </c>
      <c r="H17" s="76"/>
      <c r="K17" s="71">
        <f>_xlfn.IFNA(MATCH(J17,'Rate Zone Allocation Factors'!$B$13:$B$68,0),0)</f>
        <v>0</v>
      </c>
      <c r="L17" s="76">
        <f t="shared" ref="L17:L20" ca="1" si="2">F17-H17</f>
        <v>40328.527901042762</v>
      </c>
      <c r="N17" s="2" t="s">
        <v>354</v>
      </c>
      <c r="O17" s="71">
        <f>MATCH(N17,'Rate Zone Allocation Factors'!$B$13:$B$68,0)</f>
        <v>29</v>
      </c>
      <c r="P17" s="20">
        <f ca="1">OFFSET('Rate Zone Allocation Factors'!$B$13,$O17-1,P$13)*$L17+OFFSET('Rate Zone Allocation Factors'!$B$13,$K17-1,P$13)*$H17</f>
        <v>1935.8745702546512</v>
      </c>
      <c r="Q17" s="20">
        <f ca="1">OFFSET('Rate Zone Allocation Factors'!$B$13,$O17-1,Q$13)*$L17+OFFSET('Rate Zone Allocation Factors'!$B$13,$K17-1,Q$13)*$H17</f>
        <v>24624.003101098595</v>
      </c>
      <c r="R17" s="20">
        <f ca="1">OFFSET('Rate Zone Allocation Factors'!$B$13,$O17-1,R$13)*$L17+OFFSET('Rate Zone Allocation Factors'!$B$13,$K17-1,R$13)*$H17</f>
        <v>13768.650229689516</v>
      </c>
      <c r="S17" s="20">
        <f ca="1">OFFSET('Rate Zone Allocation Factors'!$B$13,$O17-1,S$13)*$L17+OFFSET('Rate Zone Allocation Factors'!$B$13,$K17-1,S$13)*$H17</f>
        <v>0</v>
      </c>
    </row>
    <row r="18" spans="1:19" x14ac:dyDescent="0.25">
      <c r="A18" s="2">
        <f t="shared" si="1"/>
        <v>4</v>
      </c>
      <c r="B18" s="31" t="s">
        <v>355</v>
      </c>
      <c r="D18" s="20">
        <f ca="1">SUM('Gas Supply Class'!V$116:V$120,'Gas Supply Class'!V$122)</f>
        <v>152523.42553920622</v>
      </c>
      <c r="E18" s="76"/>
      <c r="F18" s="76">
        <f ca="1">D18</f>
        <v>152523.42553920622</v>
      </c>
      <c r="H18" s="76"/>
      <c r="J18" s="2" t="s">
        <v>356</v>
      </c>
      <c r="K18" s="71">
        <f>_xlfn.IFNA(MATCH(J18,'Rate Zone Allocation Factors'!$B$13:$B$68,0),0)</f>
        <v>8</v>
      </c>
      <c r="L18" s="76">
        <f t="shared" ca="1" si="2"/>
        <v>152523.42553920622</v>
      </c>
      <c r="N18" s="2" t="s">
        <v>357</v>
      </c>
      <c r="O18" s="71">
        <f>MATCH(N18,'Rate Zone Allocation Factors'!$B$13:$B$68,0)</f>
        <v>50</v>
      </c>
      <c r="P18" s="9">
        <f ca="1">OFFSET('Rate Zone Allocation Factors'!$B$13,$O18-1,P$13)*$L18+OFFSET('Rate Zone Allocation Factors'!$B$13,$K18-1,P$13)*$H18</f>
        <v>16638.490695454806</v>
      </c>
      <c r="Q18" s="9">
        <f ca="1">OFFSET('Rate Zone Allocation Factors'!$B$13,$O18-1,Q$13)*$L18+OFFSET('Rate Zone Allocation Factors'!$B$13,$K18-1,Q$13)*$H18</f>
        <v>134741.34843719404</v>
      </c>
      <c r="R18" s="9">
        <f ca="1">OFFSET('Rate Zone Allocation Factors'!$B$13,$O18-1,R$13)*$L18+OFFSET('Rate Zone Allocation Factors'!$B$13,$K18-1,R$13)*$H18</f>
        <v>1143.5864065573767</v>
      </c>
      <c r="S18" s="9">
        <f ca="1">OFFSET('Rate Zone Allocation Factors'!$B$13,$O18-1,S$13)*$L18+OFFSET('Rate Zone Allocation Factors'!$B$13,$K18-1,S$13)*$H18</f>
        <v>0</v>
      </c>
    </row>
    <row r="19" spans="1:19" x14ac:dyDescent="0.25">
      <c r="A19" s="2">
        <f t="shared" si="1"/>
        <v>5</v>
      </c>
      <c r="B19" s="31" t="s">
        <v>358</v>
      </c>
      <c r="D19" s="20">
        <f ca="1">SUM('Gas Supply Class'!X$116:X$120,'Gas Supply Class'!X$122)</f>
        <v>14888.543237034275</v>
      </c>
      <c r="E19" s="76"/>
      <c r="F19" s="76">
        <f t="shared" ca="1" si="0"/>
        <v>14888.543237034275</v>
      </c>
      <c r="H19" s="76"/>
      <c r="K19" s="71">
        <f>_xlfn.IFNA(MATCH(J19,'Rate Zone Allocation Factors'!$B$13:$B$68,0),0)</f>
        <v>0</v>
      </c>
      <c r="L19" s="76">
        <f t="shared" ca="1" si="2"/>
        <v>14888.543237034275</v>
      </c>
      <c r="N19" s="2" t="s">
        <v>359</v>
      </c>
      <c r="O19" s="71">
        <f>MATCH(N19,'Rate Zone Allocation Factors'!$B$13:$B$68,0)</f>
        <v>53</v>
      </c>
      <c r="P19" s="9">
        <f ca="1">OFFSET('Rate Zone Allocation Factors'!$B$13,$O19-1,P$13)*$L19+OFFSET('Rate Zone Allocation Factors'!$B$13,$K19-1,P$13)*$H19</f>
        <v>2349.3688172958259</v>
      </c>
      <c r="Q19" s="9">
        <f ca="1">OFFSET('Rate Zone Allocation Factors'!$B$13,$O19-1,Q$13)*$L19+OFFSET('Rate Zone Allocation Factors'!$B$13,$K19-1,Q$13)*$H19</f>
        <v>12417.343062049933</v>
      </c>
      <c r="R19" s="9">
        <f ca="1">OFFSET('Rate Zone Allocation Factors'!$B$13,$O19-1,R$13)*$L19+OFFSET('Rate Zone Allocation Factors'!$B$13,$K19-1,R$13)*$H19</f>
        <v>121.83135768851581</v>
      </c>
      <c r="S19" s="9">
        <f ca="1">OFFSET('Rate Zone Allocation Factors'!$B$13,$O19-1,S$13)*$L19+OFFSET('Rate Zone Allocation Factors'!$B$13,$K19-1,S$13)*$H19</f>
        <v>0</v>
      </c>
    </row>
    <row r="20" spans="1:19" x14ac:dyDescent="0.25">
      <c r="A20" s="2">
        <f t="shared" si="1"/>
        <v>6</v>
      </c>
      <c r="B20" s="31" t="s">
        <v>178</v>
      </c>
      <c r="D20" s="20">
        <f ca="1">SUM('Gas Supply Class'!Z$116:Z$120,'Gas Supply Class'!Z$122)</f>
        <v>0</v>
      </c>
      <c r="E20" s="76"/>
      <c r="F20" s="76">
        <f t="shared" ca="1" si="0"/>
        <v>0</v>
      </c>
      <c r="H20" s="76"/>
      <c r="K20" s="71">
        <f>_xlfn.IFNA(MATCH(J20,'Rate Zone Allocation Factors'!$B$13:$B$68,0),0)</f>
        <v>0</v>
      </c>
      <c r="L20" s="76">
        <f t="shared" ca="1" si="2"/>
        <v>0</v>
      </c>
      <c r="N20" s="2" t="s">
        <v>360</v>
      </c>
      <c r="O20" s="71">
        <f>MATCH(N20,'Rate Zone Allocation Factors'!$B$13:$B$68,0)</f>
        <v>11</v>
      </c>
      <c r="P20" s="9">
        <f ca="1">OFFSET('Rate Zone Allocation Factors'!$B$13,$O20-1,P$13)*$L20+OFFSET('Rate Zone Allocation Factors'!$B$13,$K20-1,P$13)*$H20</f>
        <v>0</v>
      </c>
      <c r="Q20" s="9">
        <f ca="1">OFFSET('Rate Zone Allocation Factors'!$B$13,$O20-1,Q$13)*$L20+OFFSET('Rate Zone Allocation Factors'!$B$13,$K20-1,Q$13)*$H20</f>
        <v>0</v>
      </c>
      <c r="R20" s="9">
        <f ca="1">OFFSET('Rate Zone Allocation Factors'!$B$13,$O20-1,R$13)*$L20+OFFSET('Rate Zone Allocation Factors'!$B$13,$K20-1,R$13)*$H20</f>
        <v>0</v>
      </c>
      <c r="S20" s="9">
        <f ca="1">OFFSET('Rate Zone Allocation Factors'!$B$13,$O20-1,S$13)*$L20+OFFSET('Rate Zone Allocation Factors'!$B$13,$K20-1,S$13)*$H20</f>
        <v>0</v>
      </c>
    </row>
    <row r="21" spans="1:19" x14ac:dyDescent="0.25">
      <c r="A21" s="2">
        <f t="shared" si="1"/>
        <v>7</v>
      </c>
      <c r="B21" s="31" t="s">
        <v>361</v>
      </c>
      <c r="D21" s="78">
        <f ca="1">SUM(D15:D20)</f>
        <v>2247538.0139059885</v>
      </c>
      <c r="E21" s="76"/>
      <c r="F21" s="78">
        <f ca="1">SUM(F15:F20)</f>
        <v>2247538.0139059885</v>
      </c>
      <c r="H21" s="78">
        <f>SUM(H15:H20)</f>
        <v>0</v>
      </c>
      <c r="L21" s="40">
        <f ca="1">SUM(L15:L20)</f>
        <v>2247538.0139059885</v>
      </c>
      <c r="P21" s="40">
        <f t="shared" ref="P21:S21" ca="1" si="3">SUM(P15:P20)</f>
        <v>152588.90587495122</v>
      </c>
      <c r="Q21" s="40">
        <f t="shared" ca="1" si="3"/>
        <v>1476759.7909681506</v>
      </c>
      <c r="R21" s="40">
        <f t="shared" ca="1" si="3"/>
        <v>618189.3170628869</v>
      </c>
      <c r="S21" s="40">
        <f t="shared" ca="1" si="3"/>
        <v>0</v>
      </c>
    </row>
    <row r="22" spans="1:19" x14ac:dyDescent="0.25">
      <c r="D22" s="76"/>
      <c r="E22" s="76"/>
      <c r="F22" s="76"/>
      <c r="P22" s="76" t="s">
        <v>185</v>
      </c>
      <c r="Q22" s="76"/>
      <c r="R22" s="76"/>
      <c r="S22" s="48">
        <f t="shared" ref="S22:S30" si="4">F22-SUM(P22:R22)</f>
        <v>0</v>
      </c>
    </row>
    <row r="23" spans="1:19" x14ac:dyDescent="0.25">
      <c r="B23" s="74" t="s">
        <v>362</v>
      </c>
      <c r="D23" s="76"/>
      <c r="E23" s="76"/>
      <c r="F23" s="76"/>
      <c r="P23" s="76"/>
      <c r="Q23" s="76"/>
      <c r="R23" s="76"/>
      <c r="S23" s="48">
        <f t="shared" si="4"/>
        <v>0</v>
      </c>
    </row>
    <row r="24" spans="1:19" x14ac:dyDescent="0.25">
      <c r="A24" s="2">
        <f>A21+1</f>
        <v>8</v>
      </c>
      <c r="B24" s="31" t="s">
        <v>363</v>
      </c>
      <c r="D24" s="20">
        <f ca="1">SUM('Storage Class'!P$116:P$120,'Storage Class'!P$122)</f>
        <v>10261.28838620118</v>
      </c>
      <c r="E24" s="76"/>
      <c r="F24" s="76">
        <f t="shared" ref="F24:F27" ca="1" si="5">D24</f>
        <v>10261.28838620118</v>
      </c>
      <c r="H24" s="76"/>
      <c r="K24" s="71">
        <f>_xlfn.IFNA(MATCH(J24,'Rate Zone Allocation Factors'!$B$13:$B$68,0),0)</f>
        <v>0</v>
      </c>
      <c r="L24" s="76">
        <f ca="1">F24-H24</f>
        <v>10261.28838620118</v>
      </c>
      <c r="N24" s="2" t="s">
        <v>354</v>
      </c>
      <c r="O24" s="71">
        <f>MATCH(N24,'Rate Zone Allocation Factors'!$B$13:$B$68,0)</f>
        <v>29</v>
      </c>
      <c r="P24" s="20">
        <f ca="1">OFFSET('Rate Zone Allocation Factors'!$B$13,$O24-1,P$13)*$L24+OFFSET('Rate Zone Allocation Factors'!$B$13,$K24-1,P$13)*$H24</f>
        <v>492.5686177695224</v>
      </c>
      <c r="Q24" s="20">
        <f ca="1">OFFSET('Rate Zone Allocation Factors'!$B$13,$O24-1,Q$13)*$L24+OFFSET('Rate Zone Allocation Factors'!$B$13,$K24-1,Q$13)*$H24</f>
        <v>6265.3910319536253</v>
      </c>
      <c r="R24" s="20">
        <f ca="1">OFFSET('Rate Zone Allocation Factors'!$B$13,$O24-1,R$13)*$L24+OFFSET('Rate Zone Allocation Factors'!$B$13,$K24-1,R$13)*$H24</f>
        <v>3503.3287364780331</v>
      </c>
      <c r="S24" s="20">
        <f ca="1">OFFSET('Rate Zone Allocation Factors'!$B$13,$O24-1,S$13)*$L24+OFFSET('Rate Zone Allocation Factors'!$B$13,$K24-1,S$13)*$H24</f>
        <v>0</v>
      </c>
    </row>
    <row r="25" spans="1:19" x14ac:dyDescent="0.25">
      <c r="A25" s="2">
        <f>A24+1</f>
        <v>9</v>
      </c>
      <c r="B25" s="31" t="s">
        <v>364</v>
      </c>
      <c r="D25" s="20">
        <f ca="1">SUM('Storage Class'!R$116:R$120,'Storage Class'!R$122)</f>
        <v>2984.6043876559602</v>
      </c>
      <c r="E25" s="76"/>
      <c r="F25" s="76">
        <f t="shared" ca="1" si="5"/>
        <v>2984.6043876559602</v>
      </c>
      <c r="H25" s="76"/>
      <c r="J25" s="2" t="s">
        <v>365</v>
      </c>
      <c r="K25" s="71">
        <f>_xlfn.IFNA(MATCH(J25,'Rate Zone Allocation Factors'!$B$13:$B$68,0),0)</f>
        <v>2</v>
      </c>
      <c r="L25" s="76">
        <f t="shared" ref="L25:L27" ca="1" si="6">F25-H25</f>
        <v>2984.6043876559602</v>
      </c>
      <c r="N25" s="2" t="s">
        <v>366</v>
      </c>
      <c r="O25" s="71">
        <f>MATCH(N25,'Rate Zone Allocation Factors'!$B$13:$B$68,0)</f>
        <v>41</v>
      </c>
      <c r="P25" s="20">
        <f ca="1">OFFSET('Rate Zone Allocation Factors'!$B$13,$O25-1,P$13)*$L25+OFFSET('Rate Zone Allocation Factors'!$B$13,$K25-1,P$13)*$H25</f>
        <v>171.62936006219579</v>
      </c>
      <c r="Q25" s="20">
        <f ca="1">OFFSET('Rate Zone Allocation Factors'!$B$13,$O25-1,Q$13)*$L25+OFFSET('Rate Zone Allocation Factors'!$B$13,$K25-1,Q$13)*$H25</f>
        <v>1794.1448025215277</v>
      </c>
      <c r="R25" s="20">
        <f ca="1">OFFSET('Rate Zone Allocation Factors'!$B$13,$O25-1,R$13)*$L25+OFFSET('Rate Zone Allocation Factors'!$B$13,$K25-1,R$13)*$H25</f>
        <v>1018.8302250722368</v>
      </c>
      <c r="S25" s="20">
        <f ca="1">OFFSET('Rate Zone Allocation Factors'!$B$13,$O25-1,S$13)*$L25+OFFSET('Rate Zone Allocation Factors'!$B$13,$K25-1,S$13)*$H25</f>
        <v>0</v>
      </c>
    </row>
    <row r="26" spans="1:19" x14ac:dyDescent="0.25">
      <c r="A26" s="2">
        <f t="shared" ref="A26:A28" si="7">A25+1</f>
        <v>10</v>
      </c>
      <c r="B26" s="31" t="s">
        <v>367</v>
      </c>
      <c r="D26" s="20">
        <f ca="1">SUM('Storage Class'!T$116:T$120,'Storage Class'!T$122)</f>
        <v>0</v>
      </c>
      <c r="E26" s="76"/>
      <c r="F26" s="76">
        <f t="shared" ca="1" si="5"/>
        <v>0</v>
      </c>
      <c r="H26" s="76"/>
      <c r="K26" s="71">
        <f>_xlfn.IFNA(MATCH(J26,'Rate Zone Allocation Factors'!$B$13:$B$68,0),0)</f>
        <v>0</v>
      </c>
      <c r="L26" s="76">
        <f t="shared" ca="1" si="6"/>
        <v>0</v>
      </c>
      <c r="N26" s="2" t="s">
        <v>368</v>
      </c>
      <c r="O26" s="71">
        <f>MATCH(N26,'Rate Zone Allocation Factors'!$B$13:$B$68,0)</f>
        <v>32</v>
      </c>
      <c r="P26" s="9">
        <f ca="1">OFFSET('Rate Zone Allocation Factors'!$B$13,$O26-1,P$13)*$L26+OFFSET('Rate Zone Allocation Factors'!$B$13,$K26-1,P$13)*$H26</f>
        <v>0</v>
      </c>
      <c r="Q26" s="9">
        <f ca="1">OFFSET('Rate Zone Allocation Factors'!$B$13,$O26-1,Q$13)*$L26+OFFSET('Rate Zone Allocation Factors'!$B$13,$K26-1,Q$13)*$H26</f>
        <v>0</v>
      </c>
      <c r="R26" s="9">
        <f ca="1">OFFSET('Rate Zone Allocation Factors'!$B$13,$O26-1,R$13)*$L26+OFFSET('Rate Zone Allocation Factors'!$B$13,$K26-1,R$13)*$H26</f>
        <v>0</v>
      </c>
      <c r="S26" s="9">
        <f ca="1">OFFSET('Rate Zone Allocation Factors'!$B$13,$O26-1,S$13)*$L26+OFFSET('Rate Zone Allocation Factors'!$B$13,$K26-1,S$13)*$H26</f>
        <v>0</v>
      </c>
    </row>
    <row r="27" spans="1:19" x14ac:dyDescent="0.25">
      <c r="A27" s="2">
        <f t="shared" si="7"/>
        <v>11</v>
      </c>
      <c r="B27" s="31" t="s">
        <v>369</v>
      </c>
      <c r="D27" s="20">
        <f ca="1">SUM('Storage Class'!V$116:V$120,'Storage Class'!V$122)</f>
        <v>14135.587472300971</v>
      </c>
      <c r="E27" s="76"/>
      <c r="F27" s="76">
        <f t="shared" ca="1" si="5"/>
        <v>14135.587472300971</v>
      </c>
      <c r="H27" s="76"/>
      <c r="K27" s="71">
        <f>_xlfn.IFNA(MATCH(J27,'Rate Zone Allocation Factors'!$B$13:$B$68,0),0)</f>
        <v>0</v>
      </c>
      <c r="L27" s="76">
        <f t="shared" ca="1" si="6"/>
        <v>14135.587472300971</v>
      </c>
      <c r="N27" s="2" t="s">
        <v>370</v>
      </c>
      <c r="O27" s="71">
        <f>MATCH(N27,'Rate Zone Allocation Factors'!$B$13:$B$68,0)</f>
        <v>44</v>
      </c>
      <c r="P27" s="9">
        <f ca="1">OFFSET('Rate Zone Allocation Factors'!$B$13,$O27-1,P$13)*$L27+OFFSET('Rate Zone Allocation Factors'!$B$13,$K27-1,P$13)*$H27</f>
        <v>656.84290940717995</v>
      </c>
      <c r="Q27" s="9">
        <f ca="1">OFFSET('Rate Zone Allocation Factors'!$B$13,$O27-1,Q$13)*$L27+OFFSET('Rate Zone Allocation Factors'!$B$13,$K27-1,Q$13)*$H27</f>
        <v>8224.957206916366</v>
      </c>
      <c r="R27" s="9">
        <f ca="1">OFFSET('Rate Zone Allocation Factors'!$B$13,$O27-1,R$13)*$L27+OFFSET('Rate Zone Allocation Factors'!$B$13,$K27-1,R$13)*$H27</f>
        <v>5253.7873559774252</v>
      </c>
      <c r="S27" s="9">
        <f ca="1">OFFSET('Rate Zone Allocation Factors'!$B$13,$O27-1,S$13)*$L27+OFFSET('Rate Zone Allocation Factors'!$B$13,$K27-1,S$13)*$H27</f>
        <v>0</v>
      </c>
    </row>
    <row r="28" spans="1:19" x14ac:dyDescent="0.25">
      <c r="A28" s="2">
        <f t="shared" si="7"/>
        <v>12</v>
      </c>
      <c r="B28" s="31" t="s">
        <v>371</v>
      </c>
      <c r="D28" s="40">
        <f ca="1">SUM(D24:D27)</f>
        <v>27381.480246158113</v>
      </c>
      <c r="F28" s="40">
        <f ca="1">SUM(F24:F27)</f>
        <v>27381.480246158113</v>
      </c>
      <c r="H28" s="40">
        <f>SUM(H24:H27)</f>
        <v>0</v>
      </c>
      <c r="J28" s="115"/>
      <c r="L28" s="40">
        <f ca="1">SUM(L24:L27)</f>
        <v>27381.480246158113</v>
      </c>
      <c r="P28" s="40">
        <f t="shared" ref="P28:S28" ca="1" si="8">SUM(P24:P27)</f>
        <v>1321.040887238898</v>
      </c>
      <c r="Q28" s="40">
        <f t="shared" ca="1" si="8"/>
        <v>16284.493041391519</v>
      </c>
      <c r="R28" s="40">
        <f t="shared" ca="1" si="8"/>
        <v>9775.9463175276942</v>
      </c>
      <c r="S28" s="40">
        <f t="shared" ca="1" si="8"/>
        <v>0</v>
      </c>
    </row>
    <row r="29" spans="1:19" x14ac:dyDescent="0.25">
      <c r="D29" s="48"/>
      <c r="P29" s="76"/>
      <c r="Q29" s="76"/>
      <c r="R29" s="76"/>
      <c r="S29" s="48">
        <f t="shared" si="4"/>
        <v>0</v>
      </c>
    </row>
    <row r="30" spans="1:19" x14ac:dyDescent="0.25">
      <c r="B30" s="74" t="s">
        <v>372</v>
      </c>
      <c r="P30" s="76"/>
      <c r="Q30" s="76"/>
      <c r="R30" s="76"/>
      <c r="S30" s="48">
        <f t="shared" si="4"/>
        <v>0</v>
      </c>
    </row>
    <row r="31" spans="1:19" x14ac:dyDescent="0.25">
      <c r="A31" s="2">
        <f>A28+1</f>
        <v>13</v>
      </c>
      <c r="B31" s="31" t="s">
        <v>373</v>
      </c>
      <c r="D31" s="20">
        <f ca="1">SUM('Transmission Class'!P$116:P$120,'Transmission Class'!P$122)</f>
        <v>0</v>
      </c>
      <c r="E31" s="76"/>
      <c r="F31" s="76">
        <f t="shared" ref="F31:F38" ca="1" si="9">D31</f>
        <v>0</v>
      </c>
      <c r="H31" s="76"/>
      <c r="K31" s="71">
        <f>_xlfn.IFNA(MATCH(J31,'Rate Zone Allocation Factors'!$B$13:$B$68,0),0)</f>
        <v>0</v>
      </c>
      <c r="L31" s="76">
        <f ca="1">F31-H31</f>
        <v>0</v>
      </c>
      <c r="N31" s="2" t="s">
        <v>374</v>
      </c>
      <c r="O31" s="71">
        <f>MATCH(N31,'Rate Zone Allocation Factors'!$B$13:$B$68,0)</f>
        <v>17</v>
      </c>
      <c r="P31" s="9">
        <f ca="1">OFFSET('Rate Zone Allocation Factors'!$B$13,$O31-1,P$13)*$L31+OFFSET('Rate Zone Allocation Factors'!$B$13,$K31-1,P$13)*$H31</f>
        <v>0</v>
      </c>
      <c r="Q31" s="9">
        <f ca="1">OFFSET('Rate Zone Allocation Factors'!$B$13,$O31-1,Q$13)*$L31+OFFSET('Rate Zone Allocation Factors'!$B$13,$K31-1,Q$13)*$H31</f>
        <v>0</v>
      </c>
      <c r="R31" s="9">
        <f ca="1">OFFSET('Rate Zone Allocation Factors'!$B$13,$O31-1,R$13)*$L31+OFFSET('Rate Zone Allocation Factors'!$B$13,$K31-1,R$13)*$H31</f>
        <v>0</v>
      </c>
      <c r="S31" s="9">
        <f ca="1">OFFSET('Rate Zone Allocation Factors'!$B$13,$O31-1,S$13)*$L31+OFFSET('Rate Zone Allocation Factors'!$B$13,$K31-1,S$13)*$H31</f>
        <v>0</v>
      </c>
    </row>
    <row r="32" spans="1:19" x14ac:dyDescent="0.25">
      <c r="A32" s="2">
        <f>A31+1</f>
        <v>14</v>
      </c>
      <c r="B32" s="31" t="s">
        <v>375</v>
      </c>
      <c r="D32" s="20">
        <f ca="1">SUM('Transmission Class'!R$116:R$120,'Transmission Class'!R$122)</f>
        <v>0</v>
      </c>
      <c r="E32" s="76"/>
      <c r="F32" s="76">
        <f t="shared" ca="1" si="9"/>
        <v>0</v>
      </c>
      <c r="H32" s="76"/>
      <c r="K32" s="71">
        <f>_xlfn.IFNA(MATCH(J32,'Rate Zone Allocation Factors'!$B$13:$B$68,0),0)</f>
        <v>0</v>
      </c>
      <c r="L32" s="76">
        <f t="shared" ref="L32:L38" ca="1" si="10">F32-H32</f>
        <v>0</v>
      </c>
      <c r="N32" s="2" t="s">
        <v>376</v>
      </c>
      <c r="O32" s="71">
        <f>MATCH(N32,'Rate Zone Allocation Factors'!$B$13:$B$68,0)</f>
        <v>23</v>
      </c>
      <c r="P32" s="9">
        <f ca="1">OFFSET('Rate Zone Allocation Factors'!$B$13,$O32-1,P$13)*$L32+OFFSET('Rate Zone Allocation Factors'!$B$13,$K32-1,P$13)*$H32</f>
        <v>0</v>
      </c>
      <c r="Q32" s="9">
        <f ca="1">OFFSET('Rate Zone Allocation Factors'!$B$13,$O32-1,Q$13)*$L32+OFFSET('Rate Zone Allocation Factors'!$B$13,$K32-1,Q$13)*$H32</f>
        <v>0</v>
      </c>
      <c r="R32" s="9">
        <f ca="1">OFFSET('Rate Zone Allocation Factors'!$B$13,$O32-1,R$13)*$L32+OFFSET('Rate Zone Allocation Factors'!$B$13,$K32-1,R$13)*$H32</f>
        <v>0</v>
      </c>
      <c r="S32" s="9">
        <f ca="1">OFFSET('Rate Zone Allocation Factors'!$B$13,$O32-1,S$13)*$L32+OFFSET('Rate Zone Allocation Factors'!$B$13,$K32-1,S$13)*$H32</f>
        <v>0</v>
      </c>
    </row>
    <row r="33" spans="1:19" x14ac:dyDescent="0.25">
      <c r="A33" s="2">
        <f t="shared" ref="A33:A39" si="11">A32+1</f>
        <v>15</v>
      </c>
      <c r="B33" s="31" t="s">
        <v>377</v>
      </c>
      <c r="D33" s="20">
        <f ca="1">SUM('Transmission Class'!T$116:T$120,'Transmission Class'!T$122)</f>
        <v>0</v>
      </c>
      <c r="E33" s="76"/>
      <c r="F33" s="76">
        <f t="shared" ca="1" si="9"/>
        <v>0</v>
      </c>
      <c r="H33" s="76"/>
      <c r="K33" s="71">
        <f>_xlfn.IFNA(MATCH(J33,'Rate Zone Allocation Factors'!$B$13:$B$68,0),0)</f>
        <v>0</v>
      </c>
      <c r="L33" s="76">
        <f t="shared" ca="1" si="10"/>
        <v>0</v>
      </c>
      <c r="N33" s="2" t="s">
        <v>378</v>
      </c>
      <c r="O33" s="71">
        <f>MATCH(N33,'Rate Zone Allocation Factors'!$B$13:$B$68,0)</f>
        <v>38</v>
      </c>
      <c r="P33" s="9">
        <f ca="1">OFFSET('Rate Zone Allocation Factors'!$B$13,$O33-1,P$13)*$L33+OFFSET('Rate Zone Allocation Factors'!$B$13,$K33-1,P$13)*$H33</f>
        <v>0</v>
      </c>
      <c r="Q33" s="9">
        <f ca="1">OFFSET('Rate Zone Allocation Factors'!$B$13,$O33-1,Q$13)*$L33+OFFSET('Rate Zone Allocation Factors'!$B$13,$K33-1,Q$13)*$H33</f>
        <v>0</v>
      </c>
      <c r="R33" s="9">
        <f ca="1">OFFSET('Rate Zone Allocation Factors'!$B$13,$O33-1,R$13)*$L33+OFFSET('Rate Zone Allocation Factors'!$B$13,$K33-1,R$13)*$H33</f>
        <v>0</v>
      </c>
      <c r="S33" s="9">
        <f ca="1">OFFSET('Rate Zone Allocation Factors'!$B$13,$O33-1,S$13)*$L33+OFFSET('Rate Zone Allocation Factors'!$B$13,$K33-1,S$13)*$H33</f>
        <v>0</v>
      </c>
    </row>
    <row r="34" spans="1:19" x14ac:dyDescent="0.25">
      <c r="A34" s="2">
        <f t="shared" si="11"/>
        <v>16</v>
      </c>
      <c r="B34" s="31" t="s">
        <v>379</v>
      </c>
      <c r="D34" s="20">
        <f ca="1">SUM('Transmission Class'!V$116:V$120,'Transmission Class'!V$122)</f>
        <v>0</v>
      </c>
      <c r="E34" s="76"/>
      <c r="F34" s="76">
        <f t="shared" ca="1" si="9"/>
        <v>0</v>
      </c>
      <c r="H34" s="76"/>
      <c r="K34" s="71">
        <f>_xlfn.IFNA(MATCH(J34,'Rate Zone Allocation Factors'!$B$13:$B$68,0),0)</f>
        <v>0</v>
      </c>
      <c r="L34" s="76">
        <f t="shared" ca="1" si="10"/>
        <v>0</v>
      </c>
      <c r="N34" s="2" t="s">
        <v>380</v>
      </c>
      <c r="O34" s="71">
        <f>MATCH(N34,'Rate Zone Allocation Factors'!$B$13:$B$68,0)</f>
        <v>20</v>
      </c>
      <c r="P34" s="9">
        <f ca="1">OFFSET('Rate Zone Allocation Factors'!$B$13,$O34-1,P$13)*$L34+OFFSET('Rate Zone Allocation Factors'!$B$13,$K34-1,P$13)*$H34</f>
        <v>0</v>
      </c>
      <c r="Q34" s="9">
        <f ca="1">OFFSET('Rate Zone Allocation Factors'!$B$13,$O34-1,Q$13)*$L34+OFFSET('Rate Zone Allocation Factors'!$B$13,$K34-1,Q$13)*$H34</f>
        <v>0</v>
      </c>
      <c r="R34" s="9">
        <f ca="1">OFFSET('Rate Zone Allocation Factors'!$B$13,$O34-1,R$13)*$L34+OFFSET('Rate Zone Allocation Factors'!$B$13,$K34-1,R$13)*$H34</f>
        <v>0</v>
      </c>
      <c r="S34" s="9">
        <f ca="1">OFFSET('Rate Zone Allocation Factors'!$B$13,$O34-1,S$13)*$L34+OFFSET('Rate Zone Allocation Factors'!$B$13,$K34-1,S$13)*$H34</f>
        <v>0</v>
      </c>
    </row>
    <row r="35" spans="1:19" x14ac:dyDescent="0.25">
      <c r="A35" s="2">
        <f t="shared" si="11"/>
        <v>17</v>
      </c>
      <c r="B35" s="31" t="s">
        <v>381</v>
      </c>
      <c r="D35" s="20">
        <f ca="1">SUM('Transmission Class'!X$116:X$120,'Transmission Class'!X$122)</f>
        <v>0</v>
      </c>
      <c r="E35" s="76"/>
      <c r="F35" s="76">
        <f t="shared" ca="1" si="9"/>
        <v>0</v>
      </c>
      <c r="H35" s="76"/>
      <c r="K35" s="71">
        <f>_xlfn.IFNA(MATCH(J35,'Rate Zone Allocation Factors'!$B$13:$B$68,0),0)</f>
        <v>0</v>
      </c>
      <c r="L35" s="76">
        <f t="shared" ca="1" si="10"/>
        <v>0</v>
      </c>
      <c r="N35" s="2" t="s">
        <v>382</v>
      </c>
      <c r="O35" s="71">
        <f>MATCH(N35,'Rate Zone Allocation Factors'!$B$13:$B$68,0)</f>
        <v>14</v>
      </c>
      <c r="P35" s="9">
        <f ca="1">OFFSET('Rate Zone Allocation Factors'!$B$13,$O35-1,P$13)*$L35+OFFSET('Rate Zone Allocation Factors'!$B$13,$K35-1,P$13)*$H35</f>
        <v>0</v>
      </c>
      <c r="Q35" s="9">
        <f ca="1">OFFSET('Rate Zone Allocation Factors'!$B$13,$O35-1,Q$13)*$L35+OFFSET('Rate Zone Allocation Factors'!$B$13,$K35-1,Q$13)*$H35</f>
        <v>0</v>
      </c>
      <c r="R35" s="9">
        <f ca="1">OFFSET('Rate Zone Allocation Factors'!$B$13,$O35-1,R$13)*$L35+OFFSET('Rate Zone Allocation Factors'!$B$13,$K35-1,R$13)*$H35</f>
        <v>0</v>
      </c>
      <c r="S35" s="9">
        <f ca="1">OFFSET('Rate Zone Allocation Factors'!$B$13,$O35-1,S$13)*$L35+OFFSET('Rate Zone Allocation Factors'!$B$13,$K35-1,S$13)*$H35</f>
        <v>0</v>
      </c>
    </row>
    <row r="36" spans="1:19" x14ac:dyDescent="0.25">
      <c r="A36" s="2">
        <f t="shared" si="11"/>
        <v>18</v>
      </c>
      <c r="B36" s="31" t="s">
        <v>383</v>
      </c>
      <c r="D36" s="20">
        <f ca="1">SUM('Transmission Class'!Z$116:Z$120,'Transmission Class'!Z$122)</f>
        <v>0</v>
      </c>
      <c r="E36" s="76"/>
      <c r="F36" s="76">
        <f t="shared" ca="1" si="9"/>
        <v>0</v>
      </c>
      <c r="H36" s="76"/>
      <c r="K36" s="71">
        <f>_xlfn.IFNA(MATCH(J36,'Rate Zone Allocation Factors'!$B$13:$B$68,0),0)</f>
        <v>0</v>
      </c>
      <c r="L36" s="76">
        <f t="shared" ca="1" si="10"/>
        <v>0</v>
      </c>
      <c r="N36" s="2" t="s">
        <v>384</v>
      </c>
      <c r="O36" s="71">
        <f>MATCH(N36,'Rate Zone Allocation Factors'!$B$13:$B$68,0)</f>
        <v>35</v>
      </c>
      <c r="P36" s="20">
        <f ca="1">OFFSET('Rate Zone Allocation Factors'!$B$13,$O36-1,P$13)*$L36+OFFSET('Rate Zone Allocation Factors'!$B$13,$K36-1,P$13)*$H36</f>
        <v>0</v>
      </c>
      <c r="Q36" s="20">
        <f ca="1">OFFSET('Rate Zone Allocation Factors'!$B$13,$O36-1,Q$13)*$L36+OFFSET('Rate Zone Allocation Factors'!$B$13,$K36-1,Q$13)*$H36</f>
        <v>0</v>
      </c>
      <c r="R36" s="20">
        <f ca="1">OFFSET('Rate Zone Allocation Factors'!$B$13,$O36-1,R$13)*$L36+OFFSET('Rate Zone Allocation Factors'!$B$13,$K36-1,R$13)*$H36</f>
        <v>0</v>
      </c>
      <c r="S36" s="20">
        <f ca="1">OFFSET('Rate Zone Allocation Factors'!$B$13,$O36-1,S$13)*$L36+OFFSET('Rate Zone Allocation Factors'!$B$13,$K36-1,S$13)*$H36</f>
        <v>0</v>
      </c>
    </row>
    <row r="37" spans="1:19" x14ac:dyDescent="0.25">
      <c r="A37" s="2">
        <f t="shared" si="11"/>
        <v>19</v>
      </c>
      <c r="B37" s="31" t="s">
        <v>385</v>
      </c>
      <c r="D37" s="20">
        <f ca="1">SUM('Transmission Class'!AB$116:AB$120,'Transmission Class'!AB$122)</f>
        <v>1294.5219427863499</v>
      </c>
      <c r="E37" s="76"/>
      <c r="F37" s="76">
        <f t="shared" ca="1" si="9"/>
        <v>1294.5219427863499</v>
      </c>
      <c r="H37" s="76"/>
      <c r="K37" s="71">
        <f>_xlfn.IFNA(MATCH(J37,'Rate Zone Allocation Factors'!$B$13:$B$68,0),0)</f>
        <v>0</v>
      </c>
      <c r="L37" s="76">
        <f t="shared" ca="1" si="10"/>
        <v>1294.5219427863499</v>
      </c>
      <c r="N37" s="2" t="s">
        <v>384</v>
      </c>
      <c r="O37" s="71">
        <f>MATCH(N37,'Rate Zone Allocation Factors'!$B$13:$B$68,0)</f>
        <v>35</v>
      </c>
      <c r="P37" s="20">
        <f ca="1">OFFSET('Rate Zone Allocation Factors'!$B$13,$O37-1,P$13)*$L37+OFFSET('Rate Zone Allocation Factors'!$B$13,$K37-1,P$13)*$H37</f>
        <v>0</v>
      </c>
      <c r="Q37" s="20">
        <f ca="1">OFFSET('Rate Zone Allocation Factors'!$B$13,$O37-1,Q$13)*$L37+OFFSET('Rate Zone Allocation Factors'!$B$13,$K37-1,Q$13)*$H37</f>
        <v>0</v>
      </c>
      <c r="R37" s="20">
        <f ca="1">OFFSET('Rate Zone Allocation Factors'!$B$13,$O37-1,R$13)*$L37+OFFSET('Rate Zone Allocation Factors'!$B$13,$K37-1,R$13)*$H37</f>
        <v>1294.5219427863499</v>
      </c>
      <c r="S37" s="20">
        <f ca="1">OFFSET('Rate Zone Allocation Factors'!$B$13,$O37-1,S$13)*$L37+OFFSET('Rate Zone Allocation Factors'!$B$13,$K37-1,S$13)*$H37</f>
        <v>0</v>
      </c>
    </row>
    <row r="38" spans="1:19" x14ac:dyDescent="0.25">
      <c r="A38" s="2">
        <f t="shared" si="11"/>
        <v>20</v>
      </c>
      <c r="B38" s="31" t="s">
        <v>386</v>
      </c>
      <c r="D38" s="20">
        <f ca="1">SUM('Transmission Class'!AD$116:AD$120,'Transmission Class'!AD$122)</f>
        <v>29913.696260682678</v>
      </c>
      <c r="E38" s="76"/>
      <c r="F38" s="76">
        <f t="shared" ca="1" si="9"/>
        <v>29913.696260682678</v>
      </c>
      <c r="H38" s="76">
        <f ca="1">'Transmission Class'!AD117</f>
        <v>18533.95038585359</v>
      </c>
      <c r="J38" s="2" t="s">
        <v>387</v>
      </c>
      <c r="K38" s="71">
        <f>_xlfn.IFNA(MATCH(J38,'Rate Zone Allocation Factors'!$B$13:$B$68,0),0)</f>
        <v>5</v>
      </c>
      <c r="L38" s="76">
        <f t="shared" ca="1" si="10"/>
        <v>11379.745874829088</v>
      </c>
      <c r="N38" s="2" t="s">
        <v>388</v>
      </c>
      <c r="O38" s="71">
        <f>MATCH(N38,'Rate Zone Allocation Factors'!$B$13:$B$68,0)</f>
        <v>56</v>
      </c>
      <c r="P38" s="9">
        <f ca="1">OFFSET('Rate Zone Allocation Factors'!$B$13,$O38-1,P$13)*$L38+OFFSET('Rate Zone Allocation Factors'!$B$13,$K38-1,P$13)*$H38</f>
        <v>664.44573542758917</v>
      </c>
      <c r="Q38" s="9">
        <f ca="1">OFFSET('Rate Zone Allocation Factors'!$B$13,$O38-1,Q$13)*$L38+OFFSET('Rate Zone Allocation Factors'!$B$13,$K38-1,Q$13)*$H38</f>
        <v>3912.8666997724104</v>
      </c>
      <c r="R38" s="9">
        <f ca="1">OFFSET('Rate Zone Allocation Factors'!$B$13,$O38-1,R$13)*$L38+OFFSET('Rate Zone Allocation Factors'!$B$13,$K38-1,R$13)*$H38</f>
        <v>4680.2587595675122</v>
      </c>
      <c r="S38" s="9">
        <f ca="1">OFFSET('Rate Zone Allocation Factors'!$B$13,$O38-1,S$13)*$L38+OFFSET('Rate Zone Allocation Factors'!$B$13,$K38-1,S$13)*$H38</f>
        <v>20656.12506591517</v>
      </c>
    </row>
    <row r="39" spans="1:19" x14ac:dyDescent="0.25">
      <c r="A39" s="2">
        <f t="shared" si="11"/>
        <v>21</v>
      </c>
      <c r="B39" s="31" t="s">
        <v>389</v>
      </c>
      <c r="D39" s="40">
        <f ca="1">SUM(D31:D38)</f>
        <v>31208.218203469027</v>
      </c>
      <c r="F39" s="40">
        <f ca="1">SUM(F31:F38)</f>
        <v>31208.218203469027</v>
      </c>
      <c r="H39" s="40">
        <f ca="1">SUM(H31:H38)</f>
        <v>18533.95038585359</v>
      </c>
      <c r="L39" s="40">
        <f ca="1">SUM(L31:L38)</f>
        <v>12674.267817615439</v>
      </c>
      <c r="P39" s="40">
        <f t="shared" ref="P39:S39" ca="1" si="12">SUM(P31:P38)</f>
        <v>664.44573542758917</v>
      </c>
      <c r="Q39" s="40">
        <f t="shared" ca="1" si="12"/>
        <v>3912.8666997724104</v>
      </c>
      <c r="R39" s="40">
        <f t="shared" ca="1" si="12"/>
        <v>5974.7807023538626</v>
      </c>
      <c r="S39" s="40">
        <f t="shared" ca="1" si="12"/>
        <v>20656.12506591517</v>
      </c>
    </row>
    <row r="40" spans="1:19" x14ac:dyDescent="0.25">
      <c r="D40" s="48"/>
      <c r="P40" s="76"/>
      <c r="Q40" s="76"/>
      <c r="R40" s="76"/>
      <c r="S40" s="48"/>
    </row>
    <row r="41" spans="1:19" x14ac:dyDescent="0.25">
      <c r="B41" s="74" t="s">
        <v>390</v>
      </c>
      <c r="P41" s="76"/>
      <c r="Q41" s="76"/>
      <c r="R41" s="76"/>
      <c r="S41" s="48"/>
    </row>
    <row r="42" spans="1:19" x14ac:dyDescent="0.25">
      <c r="A42" s="2">
        <f>A39+1</f>
        <v>22</v>
      </c>
      <c r="B42" s="31" t="s">
        <v>391</v>
      </c>
      <c r="D42" s="20">
        <f ca="1">SUM('Distribution Class'!P116:P120,'Distribution Class'!P122)</f>
        <v>10709.990086266376</v>
      </c>
      <c r="E42" s="76"/>
      <c r="F42" s="76">
        <f t="shared" ref="F42:F56" ca="1" si="13">D42</f>
        <v>10709.990086266376</v>
      </c>
      <c r="G42" s="76"/>
      <c r="H42" s="76"/>
      <c r="I42" s="76"/>
      <c r="J42" s="116"/>
      <c r="K42" s="71">
        <f>_xlfn.IFNA(MATCH(J42,'Rate Zone Allocation Factors'!$B$58:$B$68,0),0)</f>
        <v>0</v>
      </c>
      <c r="L42" s="76">
        <f t="shared" ref="L42:L56" ca="1" si="14">F42-H42</f>
        <v>10709.990086266376</v>
      </c>
      <c r="N42" s="2" t="s">
        <v>392</v>
      </c>
      <c r="P42" s="13"/>
      <c r="Q42" s="13"/>
      <c r="R42" s="13"/>
      <c r="S42" s="48"/>
    </row>
    <row r="43" spans="1:19" x14ac:dyDescent="0.25">
      <c r="A43" s="2">
        <f>A42+1</f>
        <v>23</v>
      </c>
      <c r="B43" s="31" t="s">
        <v>393</v>
      </c>
      <c r="D43" s="20">
        <f ca="1">SUM('Distribution Class'!R$113:R$120,'Distribution Class'!R$122)</f>
        <v>0</v>
      </c>
      <c r="E43" s="76"/>
      <c r="F43" s="76">
        <f t="shared" ca="1" si="13"/>
        <v>0</v>
      </c>
      <c r="G43" s="76"/>
      <c r="H43" s="76"/>
      <c r="I43" s="76"/>
      <c r="J43" s="116"/>
      <c r="K43" s="71">
        <f>_xlfn.IFNA(MATCH(J43,'Rate Zone Allocation Factors'!$B$58:$B$68,0),0)</f>
        <v>0</v>
      </c>
      <c r="L43" s="76">
        <f t="shared" ca="1" si="14"/>
        <v>0</v>
      </c>
      <c r="N43" s="2" t="s">
        <v>394</v>
      </c>
      <c r="P43" s="13"/>
      <c r="Q43" s="13"/>
      <c r="R43" s="13"/>
      <c r="S43" s="48"/>
    </row>
    <row r="44" spans="1:19" x14ac:dyDescent="0.25">
      <c r="A44" s="2">
        <f t="shared" ref="A44:A57" si="15">A43+1</f>
        <v>24</v>
      </c>
      <c r="B44" s="31" t="s">
        <v>395</v>
      </c>
      <c r="D44" s="20">
        <f ca="1">SUM('Distribution Class'!T$113:T$120,'Distribution Class'!T$122)</f>
        <v>0</v>
      </c>
      <c r="E44" s="76"/>
      <c r="F44" s="76">
        <f t="shared" ca="1" si="13"/>
        <v>0</v>
      </c>
      <c r="G44" s="76"/>
      <c r="H44" s="76"/>
      <c r="I44" s="76"/>
      <c r="J44" s="116"/>
      <c r="K44" s="71">
        <f>_xlfn.IFNA(MATCH(J44,'Rate Zone Allocation Factors'!$B$58:$B$68,0),0)</f>
        <v>0</v>
      </c>
      <c r="L44" s="76">
        <f t="shared" ca="1" si="14"/>
        <v>0</v>
      </c>
      <c r="N44" s="2" t="s">
        <v>396</v>
      </c>
      <c r="P44" s="13"/>
      <c r="Q44" s="13"/>
      <c r="R44" s="13"/>
      <c r="S44" s="48"/>
    </row>
    <row r="45" spans="1:19" x14ac:dyDescent="0.25">
      <c r="B45" s="31" t="s">
        <v>397</v>
      </c>
      <c r="D45" s="76"/>
      <c r="E45" s="76"/>
      <c r="F45" s="76">
        <f t="shared" si="13"/>
        <v>0</v>
      </c>
      <c r="G45" s="76"/>
      <c r="H45" s="76"/>
      <c r="I45" s="76"/>
      <c r="J45" s="116"/>
      <c r="K45" s="71">
        <f>_xlfn.IFNA(MATCH(J45,'Rate Zone Allocation Factors'!$B$58:$B$68,0),0)</f>
        <v>0</v>
      </c>
      <c r="L45" s="76"/>
      <c r="P45" s="13"/>
      <c r="Q45" s="13"/>
      <c r="R45" s="13"/>
      <c r="S45" s="48"/>
    </row>
    <row r="46" spans="1:19" x14ac:dyDescent="0.25">
      <c r="A46" s="2">
        <f>A44+1</f>
        <v>25</v>
      </c>
      <c r="B46" s="79" t="s">
        <v>398</v>
      </c>
      <c r="D46" s="20">
        <f ca="1">SUM('Distribution Class'!V$113:V$120,'Distribution Class'!V$122)</f>
        <v>0</v>
      </c>
      <c r="E46" s="76"/>
      <c r="F46" s="76">
        <f t="shared" ca="1" si="13"/>
        <v>0</v>
      </c>
      <c r="G46" s="76"/>
      <c r="H46" s="76"/>
      <c r="I46" s="76"/>
      <c r="J46" s="116"/>
      <c r="K46" s="71">
        <f>_xlfn.IFNA(MATCH(J46,'Rate Zone Allocation Factors'!$B$58:$B$68,0),0)</f>
        <v>0</v>
      </c>
      <c r="L46" s="76">
        <f t="shared" ca="1" si="14"/>
        <v>0</v>
      </c>
      <c r="N46" s="2" t="s">
        <v>399</v>
      </c>
      <c r="P46" s="13"/>
      <c r="Q46" s="13"/>
      <c r="R46" s="13"/>
      <c r="S46" s="48"/>
    </row>
    <row r="47" spans="1:19" x14ac:dyDescent="0.25">
      <c r="A47" s="2">
        <f t="shared" si="15"/>
        <v>26</v>
      </c>
      <c r="B47" s="79" t="s">
        <v>400</v>
      </c>
      <c r="D47" s="20">
        <f ca="1">SUM('Distribution Class'!X$113:X$120,'Distribution Class'!X$122)</f>
        <v>0</v>
      </c>
      <c r="E47" s="76"/>
      <c r="F47" s="76">
        <f t="shared" ca="1" si="13"/>
        <v>0</v>
      </c>
      <c r="G47" s="76"/>
      <c r="H47" s="76"/>
      <c r="I47" s="76"/>
      <c r="J47" s="116"/>
      <c r="K47" s="71">
        <f>_xlfn.IFNA(MATCH(J47,'Rate Zone Allocation Factors'!$B$58:$B$68,0),0)</f>
        <v>0</v>
      </c>
      <c r="L47" s="76">
        <f t="shared" ca="1" si="14"/>
        <v>0</v>
      </c>
      <c r="N47" s="2" t="s">
        <v>401</v>
      </c>
      <c r="P47" s="13"/>
      <c r="Q47" s="13"/>
      <c r="R47" s="13"/>
      <c r="S47" s="48"/>
    </row>
    <row r="48" spans="1:19" x14ac:dyDescent="0.25">
      <c r="A48" s="2">
        <f t="shared" si="15"/>
        <v>27</v>
      </c>
      <c r="B48" s="31" t="s">
        <v>402</v>
      </c>
      <c r="D48" s="20">
        <f ca="1">SUM('Distribution Class'!X$113:X$120,'Distribution Class'!X$122)</f>
        <v>0</v>
      </c>
      <c r="E48" s="76"/>
      <c r="F48" s="76">
        <f t="shared" ca="1" si="13"/>
        <v>0</v>
      </c>
      <c r="G48" s="76"/>
      <c r="H48" s="76"/>
      <c r="I48" s="76"/>
      <c r="J48" s="116"/>
      <c r="K48" s="71">
        <f>_xlfn.IFNA(MATCH(J48,'Rate Zone Allocation Factors'!$B$58:$B$68,0),0)</f>
        <v>0</v>
      </c>
      <c r="L48" s="76">
        <f t="shared" ca="1" si="14"/>
        <v>0</v>
      </c>
      <c r="N48" s="2" t="s">
        <v>403</v>
      </c>
      <c r="P48" s="13"/>
      <c r="Q48" s="13"/>
      <c r="R48" s="13"/>
      <c r="S48" s="48"/>
    </row>
    <row r="49" spans="1:19" x14ac:dyDescent="0.25">
      <c r="A49" s="2">
        <f t="shared" si="15"/>
        <v>28</v>
      </c>
      <c r="B49" s="31" t="s">
        <v>404</v>
      </c>
      <c r="D49" s="20">
        <f ca="1">SUM('Distribution Class'!Z$113:Z$120,'Distribution Class'!Z$122)</f>
        <v>0</v>
      </c>
      <c r="E49" s="76"/>
      <c r="F49" s="76">
        <f t="shared" ca="1" si="13"/>
        <v>0</v>
      </c>
      <c r="G49" s="76"/>
      <c r="H49" s="76"/>
      <c r="I49" s="76"/>
      <c r="J49" s="116"/>
      <c r="K49" s="71">
        <f>_xlfn.IFNA(MATCH(J49,'Rate Zone Allocation Factors'!$B$58:$B$68,0),0)</f>
        <v>0</v>
      </c>
      <c r="L49" s="76">
        <f t="shared" ca="1" si="14"/>
        <v>0</v>
      </c>
      <c r="N49" s="2" t="s">
        <v>405</v>
      </c>
      <c r="P49" s="13"/>
      <c r="Q49" s="13"/>
      <c r="R49" s="13"/>
      <c r="S49" s="48"/>
    </row>
    <row r="50" spans="1:19" x14ac:dyDescent="0.25">
      <c r="A50" s="2">
        <f t="shared" si="15"/>
        <v>29</v>
      </c>
      <c r="B50" s="31" t="s">
        <v>406</v>
      </c>
      <c r="D50" s="20">
        <f ca="1">SUM('Distribution Class'!AB$113:AB$120,'Distribution Class'!AB$122)</f>
        <v>0</v>
      </c>
      <c r="E50" s="76"/>
      <c r="F50" s="76">
        <f t="shared" ca="1" si="13"/>
        <v>0</v>
      </c>
      <c r="G50" s="76"/>
      <c r="H50" s="76"/>
      <c r="I50" s="76"/>
      <c r="J50" s="116"/>
      <c r="K50" s="71">
        <f>_xlfn.IFNA(MATCH(J50,'Rate Zone Allocation Factors'!$B$58:$B$68,0),0)</f>
        <v>0</v>
      </c>
      <c r="L50" s="76">
        <f t="shared" ca="1" si="14"/>
        <v>0</v>
      </c>
      <c r="N50" s="2" t="s">
        <v>407</v>
      </c>
      <c r="P50" s="13"/>
      <c r="Q50" s="13"/>
      <c r="R50" s="13"/>
      <c r="S50" s="48"/>
    </row>
    <row r="51" spans="1:19" x14ac:dyDescent="0.25">
      <c r="A51" s="2">
        <f t="shared" si="15"/>
        <v>30</v>
      </c>
      <c r="B51" s="31" t="s">
        <v>408</v>
      </c>
      <c r="D51" s="20">
        <f ca="1">SUM('Distribution Class'!AD$113:AD$120,'Distribution Class'!AD$122)</f>
        <v>0</v>
      </c>
      <c r="E51" s="76"/>
      <c r="F51" s="76">
        <f t="shared" ca="1" si="13"/>
        <v>0</v>
      </c>
      <c r="G51" s="76"/>
      <c r="H51" s="76"/>
      <c r="I51" s="76"/>
      <c r="J51" s="116"/>
      <c r="K51" s="71">
        <f>_xlfn.IFNA(MATCH(J51,'Rate Zone Allocation Factors'!$B$58:$B$68,0),0)</f>
        <v>0</v>
      </c>
      <c r="L51" s="76">
        <f t="shared" ca="1" si="14"/>
        <v>0</v>
      </c>
      <c r="N51" s="2" t="s">
        <v>409</v>
      </c>
      <c r="P51" s="13"/>
      <c r="Q51" s="13"/>
      <c r="R51" s="13"/>
      <c r="S51" s="48"/>
    </row>
    <row r="52" spans="1:19" x14ac:dyDescent="0.25">
      <c r="B52" s="31" t="s">
        <v>410</v>
      </c>
      <c r="D52" s="76"/>
      <c r="E52" s="76"/>
      <c r="F52" s="76">
        <f t="shared" si="13"/>
        <v>0</v>
      </c>
      <c r="G52" s="76"/>
      <c r="H52" s="76"/>
      <c r="I52" s="76"/>
      <c r="J52" s="116"/>
      <c r="K52" s="71">
        <f>_xlfn.IFNA(MATCH(J52,'Rate Zone Allocation Factors'!$B$58:$B$68,0),0)</f>
        <v>0</v>
      </c>
      <c r="L52" s="76"/>
      <c r="N52" s="1"/>
      <c r="P52" s="13"/>
      <c r="Q52" s="13"/>
      <c r="R52" s="13"/>
      <c r="S52" s="48"/>
    </row>
    <row r="53" spans="1:19" x14ac:dyDescent="0.25">
      <c r="A53" s="2">
        <f>A51+1</f>
        <v>31</v>
      </c>
      <c r="B53" s="79" t="s">
        <v>141</v>
      </c>
      <c r="D53" s="20">
        <f ca="1">SUM('Dist Cust Class'!P$116:P$120,'Dist Cust Class'!P$122)</f>
        <v>0</v>
      </c>
      <c r="F53" s="76">
        <f t="shared" ca="1" si="13"/>
        <v>0</v>
      </c>
      <c r="K53" s="71">
        <f>_xlfn.IFNA(MATCH(J53,'Rate Zone Allocation Factors'!$B$58:$B$68,0),0)</f>
        <v>0</v>
      </c>
      <c r="L53" s="76">
        <f t="shared" ca="1" si="14"/>
        <v>0</v>
      </c>
      <c r="N53" s="2" t="s">
        <v>411</v>
      </c>
      <c r="P53" s="13"/>
      <c r="Q53" s="13"/>
      <c r="R53" s="13"/>
      <c r="S53" s="48"/>
    </row>
    <row r="54" spans="1:19" x14ac:dyDescent="0.25">
      <c r="A54" s="2">
        <f t="shared" si="15"/>
        <v>32</v>
      </c>
      <c r="B54" s="79" t="s">
        <v>134</v>
      </c>
      <c r="D54" s="20">
        <f ca="1">SUM('Dist Cust Class'!R$116:R$120,'Dist Cust Class'!R$122)</f>
        <v>0</v>
      </c>
      <c r="F54" s="76">
        <f t="shared" ca="1" si="13"/>
        <v>0</v>
      </c>
      <c r="H54" s="76"/>
      <c r="J54" s="2" t="s">
        <v>412</v>
      </c>
      <c r="K54" s="71">
        <f>_xlfn.IFNA(MATCH(J54,'Rate Zone Allocation Factors'!$B$58:$B$68,0),0)</f>
        <v>0</v>
      </c>
      <c r="L54" s="76">
        <f t="shared" ca="1" si="14"/>
        <v>0</v>
      </c>
      <c r="N54" s="2" t="s">
        <v>413</v>
      </c>
      <c r="P54" s="13"/>
      <c r="Q54" s="13"/>
      <c r="R54" s="13"/>
      <c r="S54" s="48"/>
    </row>
    <row r="55" spans="1:19" x14ac:dyDescent="0.25">
      <c r="A55" s="2">
        <f t="shared" si="15"/>
        <v>33</v>
      </c>
      <c r="B55" s="79" t="s">
        <v>139</v>
      </c>
      <c r="D55" s="20">
        <f ca="1">SUM('Dist Cust Class'!T$116:T$120,'Dist Cust Class'!T$122)</f>
        <v>0</v>
      </c>
      <c r="F55" s="76">
        <f t="shared" ca="1" si="13"/>
        <v>0</v>
      </c>
      <c r="K55" s="71">
        <f>_xlfn.IFNA(MATCH(J55,'Rate Zone Allocation Factors'!$B$58:$B$68,0),0)</f>
        <v>0</v>
      </c>
      <c r="L55" s="76">
        <f t="shared" ca="1" si="14"/>
        <v>0</v>
      </c>
      <c r="N55" s="2" t="s">
        <v>414</v>
      </c>
      <c r="P55" s="13"/>
      <c r="Q55" s="13"/>
      <c r="R55" s="13"/>
      <c r="S55" s="48"/>
    </row>
    <row r="56" spans="1:19" x14ac:dyDescent="0.25">
      <c r="A56" s="2">
        <f t="shared" si="15"/>
        <v>34</v>
      </c>
      <c r="B56" s="31" t="s">
        <v>415</v>
      </c>
      <c r="D56" s="20">
        <f ca="1">SUM('Distribution Class'!AH$113:AH$120,'Distribution Class'!AH$122)</f>
        <v>18339.883386175716</v>
      </c>
      <c r="F56" s="76">
        <f t="shared" ca="1" si="13"/>
        <v>18339.883386175716</v>
      </c>
      <c r="H56" s="76"/>
      <c r="K56" s="71">
        <f>_xlfn.IFNA(MATCH(J56,'Rate Zone Allocation Factors'!$B$58:$B$68,0),0)</f>
        <v>0</v>
      </c>
      <c r="L56" s="76">
        <f t="shared" ca="1" si="14"/>
        <v>18339.883386175716</v>
      </c>
      <c r="N56" s="2" t="s">
        <v>416</v>
      </c>
      <c r="P56" s="13"/>
      <c r="Q56" s="13"/>
      <c r="R56" s="13"/>
      <c r="S56" s="48"/>
    </row>
    <row r="57" spans="1:19" x14ac:dyDescent="0.25">
      <c r="A57" s="2">
        <f t="shared" si="15"/>
        <v>35</v>
      </c>
      <c r="B57" s="31" t="s">
        <v>417</v>
      </c>
      <c r="D57" s="40">
        <f ca="1">SUM(D42:D56)</f>
        <v>29049.873472442094</v>
      </c>
      <c r="F57" s="40">
        <f ca="1">SUM(F42:F56)</f>
        <v>29049.873472442094</v>
      </c>
      <c r="H57" s="40">
        <f>SUM(H42:H56)</f>
        <v>0</v>
      </c>
      <c r="L57" s="40">
        <f ca="1">SUM(L42:L56)</f>
        <v>29049.873472442094</v>
      </c>
      <c r="P57" s="48"/>
      <c r="Q57" s="48"/>
      <c r="R57" s="48"/>
      <c r="S57" s="48"/>
    </row>
    <row r="58" spans="1:19" x14ac:dyDescent="0.25">
      <c r="D58" s="48"/>
      <c r="F58" s="48"/>
      <c r="S58" s="48"/>
    </row>
    <row r="59" spans="1:19" ht="13" thickBot="1" x14ac:dyDescent="0.3">
      <c r="A59" s="2">
        <f>A57+1</f>
        <v>36</v>
      </c>
      <c r="B59" s="31" t="s">
        <v>418</v>
      </c>
      <c r="D59" s="80">
        <f ca="1">D21+D28+D39+D57</f>
        <v>2335177.585828058</v>
      </c>
      <c r="F59" s="80">
        <f ca="1">F21+F28+F39+F57</f>
        <v>2335177.585828058</v>
      </c>
      <c r="H59" s="80">
        <f ca="1">H21+H28+H39+H57</f>
        <v>18533.95038585359</v>
      </c>
      <c r="L59" s="80">
        <f ca="1">L21+L28+L39+L57</f>
        <v>2316643.6354422043</v>
      </c>
      <c r="P59" s="48"/>
      <c r="Q59" s="48"/>
      <c r="R59" s="48"/>
      <c r="S59" s="48"/>
    </row>
    <row r="60" spans="1:19" ht="13" thickTop="1" x14ac:dyDescent="0.25">
      <c r="D60" s="48"/>
      <c r="F60" s="48"/>
      <c r="P60" s="48"/>
      <c r="Q60" s="48"/>
      <c r="R60" s="48"/>
    </row>
    <row r="61" spans="1:19" x14ac:dyDescent="0.25">
      <c r="D61" s="48"/>
      <c r="E61" s="48"/>
      <c r="F61" s="48"/>
      <c r="G61" s="48"/>
      <c r="H61" s="48"/>
      <c r="I61" s="48"/>
      <c r="J61" s="48"/>
      <c r="K61" s="123"/>
      <c r="L61" s="48"/>
      <c r="M61" s="124"/>
      <c r="N61" s="48"/>
      <c r="O61" s="123"/>
      <c r="P61" s="48"/>
      <c r="Q61" s="48"/>
      <c r="R61" s="48"/>
    </row>
    <row r="62" spans="1:19" x14ac:dyDescent="0.25">
      <c r="J62" s="31"/>
      <c r="N62" s="31"/>
    </row>
    <row r="63" spans="1:19" x14ac:dyDescent="0.25">
      <c r="D63" s="76"/>
      <c r="E63" s="76"/>
      <c r="F63" s="76"/>
      <c r="G63" s="76"/>
      <c r="H63" s="76"/>
      <c r="I63" s="76"/>
      <c r="J63" s="76"/>
      <c r="K63" s="122"/>
      <c r="L63" s="76"/>
      <c r="M63" s="121"/>
      <c r="N63" s="76"/>
      <c r="O63" s="122"/>
      <c r="P63" s="76"/>
      <c r="Q63" s="76"/>
      <c r="R63" s="76"/>
    </row>
    <row r="65" spans="8:8" x14ac:dyDescent="0.25">
      <c r="H65" s="48"/>
    </row>
  </sheetData>
  <mergeCells count="2">
    <mergeCell ref="B6:N6"/>
    <mergeCell ref="B7:N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AFB1-F584-4787-8406-D2116CFC263C}">
  <dimension ref="A6:T69"/>
  <sheetViews>
    <sheetView topLeftCell="A22" zoomScale="80" zoomScaleNormal="80" workbookViewId="0">
      <selection activeCell="B47" sqref="B47"/>
    </sheetView>
  </sheetViews>
  <sheetFormatPr defaultColWidth="9.1796875" defaultRowHeight="12.5" x14ac:dyDescent="0.25"/>
  <cols>
    <col min="1" max="1" width="7" style="31" customWidth="1"/>
    <col min="2" max="2" width="29.26953125" style="1" customWidth="1"/>
    <col min="3" max="3" width="5" style="1" customWidth="1"/>
    <col min="4" max="4" width="14.26953125" style="1" customWidth="1"/>
    <col min="5" max="5" width="1.81640625" style="1" customWidth="1"/>
    <col min="6" max="6" width="14.54296875" style="1" bestFit="1" customWidth="1"/>
    <col min="7" max="7" width="1.81640625" style="1" customWidth="1"/>
    <col min="8" max="8" width="12.1796875" style="1" customWidth="1"/>
    <col min="9" max="9" width="1.81640625" style="1" customWidth="1"/>
    <col min="10" max="10" width="12.1796875" style="1" customWidth="1"/>
    <col min="11" max="11" width="1.81640625" style="1" customWidth="1"/>
    <col min="12" max="12" width="12.54296875" style="1" customWidth="1"/>
    <col min="13" max="13" width="1.7265625" style="1" customWidth="1"/>
    <col min="14" max="14" width="10.7265625" style="1" customWidth="1"/>
    <col min="15" max="15" width="1.7265625" style="1" customWidth="1"/>
    <col min="16" max="16" width="10.7265625" style="1" customWidth="1"/>
    <col min="17" max="17" width="1.7265625" style="1" customWidth="1"/>
    <col min="18" max="18" width="10.7265625" style="1" customWidth="1"/>
    <col min="19" max="19" width="1.7265625" style="1" customWidth="1"/>
    <col min="20" max="20" width="10.7265625" style="1" customWidth="1"/>
    <col min="21" max="21" width="1.7265625" style="1" customWidth="1"/>
    <col min="22" max="22" width="10.7265625" style="1" customWidth="1"/>
    <col min="23" max="23" width="1.7265625" style="1" customWidth="1"/>
    <col min="24" max="24" width="10.7265625" style="1" customWidth="1"/>
    <col min="25" max="25" width="1.7265625" style="1" customWidth="1"/>
    <col min="26" max="26" width="10.7265625" style="1" customWidth="1"/>
    <col min="27" max="27" width="9.1796875" style="1"/>
    <col min="28" max="28" width="12.1796875" style="1" bestFit="1" customWidth="1"/>
    <col min="29" max="16384" width="9.1796875" style="1"/>
  </cols>
  <sheetData>
    <row r="6" spans="1:12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1:12" x14ac:dyDescent="0.25">
      <c r="B7" s="155" t="s">
        <v>421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x14ac:dyDescent="0.25">
      <c r="A8" s="18"/>
      <c r="B8" s="18"/>
      <c r="F8" s="18"/>
      <c r="G8" s="18"/>
      <c r="H8" s="18"/>
      <c r="I8" s="18"/>
      <c r="K8" s="18"/>
    </row>
    <row r="9" spans="1:12" x14ac:dyDescent="0.25">
      <c r="A9" s="18" t="s">
        <v>6</v>
      </c>
      <c r="D9" s="31"/>
      <c r="F9" s="156" t="s">
        <v>422</v>
      </c>
      <c r="G9" s="156"/>
      <c r="H9" s="156"/>
      <c r="I9" s="156"/>
      <c r="J9" s="156"/>
      <c r="K9" s="156"/>
      <c r="L9" s="156"/>
    </row>
    <row r="10" spans="1:12" x14ac:dyDescent="0.25">
      <c r="A10" s="4" t="s">
        <v>11</v>
      </c>
      <c r="B10" s="4" t="s">
        <v>423</v>
      </c>
      <c r="C10" s="5"/>
      <c r="D10" s="33" t="s">
        <v>2</v>
      </c>
      <c r="E10" s="5"/>
      <c r="F10" s="4" t="s">
        <v>344</v>
      </c>
      <c r="G10" s="4"/>
      <c r="H10" s="4" t="s">
        <v>345</v>
      </c>
      <c r="I10" s="4"/>
      <c r="J10" s="4" t="s">
        <v>346</v>
      </c>
      <c r="K10" s="4"/>
      <c r="L10" s="4" t="s">
        <v>424</v>
      </c>
    </row>
    <row r="11" spans="1:12" x14ac:dyDescent="0.25">
      <c r="A11" s="18"/>
      <c r="C11" s="18"/>
      <c r="D11" s="18" t="s">
        <v>22</v>
      </c>
      <c r="E11" s="18"/>
      <c r="F11" s="18" t="s">
        <v>23</v>
      </c>
      <c r="G11" s="18"/>
      <c r="H11" s="81" t="s">
        <v>24</v>
      </c>
      <c r="I11" s="18"/>
      <c r="J11" s="81" t="s">
        <v>165</v>
      </c>
      <c r="K11" s="18"/>
      <c r="L11" s="81" t="s">
        <v>26</v>
      </c>
    </row>
    <row r="12" spans="1:12" x14ac:dyDescent="0.25">
      <c r="A12" s="1"/>
      <c r="C12" s="18"/>
      <c r="D12" s="18"/>
      <c r="E12" s="18"/>
      <c r="F12" s="55"/>
      <c r="G12" s="55"/>
      <c r="H12" s="55"/>
      <c r="I12" s="55"/>
      <c r="J12" s="55"/>
      <c r="K12" s="55"/>
    </row>
    <row r="13" spans="1:12" x14ac:dyDescent="0.25">
      <c r="A13" s="18">
        <v>1</v>
      </c>
      <c r="B13" s="18"/>
      <c r="C13" s="2" t="s">
        <v>166</v>
      </c>
      <c r="D13" s="20">
        <f>SUM(F13:L13)</f>
        <v>28256.55440729922</v>
      </c>
      <c r="F13" s="20">
        <v>1607.9389000323333</v>
      </c>
      <c r="G13" s="20"/>
      <c r="H13" s="20">
        <v>18255.261304759439</v>
      </c>
      <c r="I13" s="20"/>
      <c r="J13" s="20">
        <v>8393.3542025074494</v>
      </c>
      <c r="K13" s="20"/>
      <c r="L13" s="20">
        <v>0</v>
      </c>
    </row>
    <row r="14" spans="1:12" x14ac:dyDescent="0.25">
      <c r="A14" s="18">
        <f>A13+1</f>
        <v>2</v>
      </c>
      <c r="B14" s="18" t="s">
        <v>365</v>
      </c>
      <c r="C14" s="2"/>
      <c r="D14" s="24">
        <f>SUM(F14:L14)</f>
        <v>1</v>
      </c>
      <c r="E14" s="24"/>
      <c r="F14" s="24">
        <f>IFERROR(F13/$D13,0)</f>
        <v>5.690498837384686E-2</v>
      </c>
      <c r="G14" s="24"/>
      <c r="H14" s="24">
        <f>IFERROR(H13/$D13,0)</f>
        <v>0.64605404613818551</v>
      </c>
      <c r="I14" s="24"/>
      <c r="J14" s="24">
        <f>IFERROR(J13/$D13,0)</f>
        <v>0.29704096548796771</v>
      </c>
      <c r="K14" s="24"/>
      <c r="L14" s="24">
        <f>IFERROR(L13/$D13,0)</f>
        <v>0</v>
      </c>
    </row>
    <row r="15" spans="1:12" x14ac:dyDescent="0.25">
      <c r="A15" s="18"/>
      <c r="B15" s="18"/>
      <c r="C15" s="2"/>
      <c r="D15" s="24"/>
      <c r="F15" s="24"/>
      <c r="G15" s="24"/>
      <c r="H15" s="24"/>
      <c r="I15" s="24"/>
      <c r="J15" s="24"/>
      <c r="K15" s="24"/>
    </row>
    <row r="16" spans="1:12" x14ac:dyDescent="0.25">
      <c r="A16" s="18">
        <f>A14+1</f>
        <v>3</v>
      </c>
      <c r="C16" s="2" t="s">
        <v>166</v>
      </c>
      <c r="D16" s="20">
        <f>SUM(F16:L16)</f>
        <v>18533.950357628506</v>
      </c>
      <c r="E16" s="20"/>
      <c r="F16" s="20">
        <v>647.23650896029574</v>
      </c>
      <c r="G16" s="20"/>
      <c r="H16" s="20">
        <v>3695.2725161225453</v>
      </c>
      <c r="I16" s="20"/>
      <c r="J16" s="20">
        <v>4472.5161039693839</v>
      </c>
      <c r="K16" s="20"/>
      <c r="L16" s="20">
        <v>9718.9252285762832</v>
      </c>
    </row>
    <row r="17" spans="1:12" x14ac:dyDescent="0.25">
      <c r="A17" s="18">
        <f>A16+1</f>
        <v>4</v>
      </c>
      <c r="B17" s="2" t="s">
        <v>387</v>
      </c>
      <c r="C17" s="2"/>
      <c r="D17" s="24">
        <f>SUM(F17:L17)</f>
        <v>1</v>
      </c>
      <c r="E17" s="24"/>
      <c r="F17" s="24">
        <f>IFERROR(F16/$D16,0)</f>
        <v>3.4921670581355341E-2</v>
      </c>
      <c r="G17" s="24"/>
      <c r="H17" s="24">
        <f>IFERROR(H16/$D16,0)</f>
        <v>0.19937856985796795</v>
      </c>
      <c r="I17" s="24"/>
      <c r="J17" s="24">
        <f>IFERROR(J16/$D16,0)</f>
        <v>0.24131477735012455</v>
      </c>
      <c r="K17" s="24"/>
      <c r="L17" s="24">
        <f>IFERROR(L16/$D16,0)</f>
        <v>0.5243849822105523</v>
      </c>
    </row>
    <row r="18" spans="1:12" x14ac:dyDescent="0.25">
      <c r="A18" s="18"/>
      <c r="C18" s="2"/>
      <c r="D18" s="24"/>
      <c r="F18" s="24"/>
      <c r="G18" s="24"/>
      <c r="H18" s="24"/>
      <c r="I18" s="24"/>
      <c r="J18" s="24"/>
      <c r="K18" s="24"/>
    </row>
    <row r="19" spans="1:12" x14ac:dyDescent="0.25">
      <c r="A19" s="18">
        <f>A17+1</f>
        <v>5</v>
      </c>
      <c r="B19" s="18"/>
      <c r="C19" s="2" t="s">
        <v>166</v>
      </c>
      <c r="D19" s="20">
        <f>SUM(F19:L19)</f>
        <v>-7449.4151202177381</v>
      </c>
      <c r="E19" s="20"/>
      <c r="F19" s="20">
        <v>-1498.8754307544818</v>
      </c>
      <c r="G19" s="20"/>
      <c r="H19" s="20">
        <v>-5950.5396894632559</v>
      </c>
      <c r="I19" s="20"/>
      <c r="J19" s="20">
        <v>0</v>
      </c>
      <c r="K19" s="20"/>
      <c r="L19" s="59">
        <v>0</v>
      </c>
    </row>
    <row r="20" spans="1:12" x14ac:dyDescent="0.25">
      <c r="A20" s="18">
        <f>A19+1</f>
        <v>6</v>
      </c>
      <c r="B20" s="18" t="s">
        <v>356</v>
      </c>
      <c r="C20" s="2"/>
      <c r="D20" s="24">
        <f>SUM(F20:L20)</f>
        <v>0.99999999999999989</v>
      </c>
      <c r="E20" s="24"/>
      <c r="F20" s="24">
        <f>IFERROR(F19/$D19,0)</f>
        <v>0.20120712922636419</v>
      </c>
      <c r="G20" s="24"/>
      <c r="H20" s="24">
        <f>IFERROR(H19/$D19,0)</f>
        <v>0.7987928707736357</v>
      </c>
      <c r="I20" s="24"/>
      <c r="J20" s="24">
        <f>IFERROR(J19/$D19,0)</f>
        <v>0</v>
      </c>
      <c r="K20" s="24"/>
      <c r="L20" s="24">
        <f>IFERROR(L19/$D19,0)</f>
        <v>0</v>
      </c>
    </row>
    <row r="21" spans="1:12" x14ac:dyDescent="0.25">
      <c r="A21" s="18"/>
      <c r="B21" s="18"/>
      <c r="C21" s="2"/>
      <c r="D21" s="24"/>
      <c r="F21" s="24"/>
      <c r="G21" s="24"/>
      <c r="H21" s="24"/>
      <c r="I21" s="24"/>
      <c r="J21" s="24"/>
      <c r="K21" s="24"/>
    </row>
    <row r="22" spans="1:12" x14ac:dyDescent="0.25">
      <c r="A22" s="18">
        <f>A20+1</f>
        <v>7</v>
      </c>
      <c r="B22" s="18"/>
      <c r="C22" s="2" t="s">
        <v>166</v>
      </c>
      <c r="D22" s="20">
        <f>SUM(F22:L22)</f>
        <v>15491.673288166035</v>
      </c>
      <c r="E22" s="20"/>
      <c r="F22" s="20">
        <v>925.77960019655302</v>
      </c>
      <c r="G22" s="20"/>
      <c r="H22" s="20">
        <v>10000.109352543886</v>
      </c>
      <c r="I22" s="20"/>
      <c r="J22" s="20">
        <v>4565.7843354255956</v>
      </c>
      <c r="K22" s="20"/>
      <c r="L22" s="59">
        <v>0</v>
      </c>
    </row>
    <row r="23" spans="1:12" x14ac:dyDescent="0.25">
      <c r="A23" s="18">
        <f>A22+1</f>
        <v>8</v>
      </c>
      <c r="B23" s="18" t="s">
        <v>360</v>
      </c>
      <c r="C23" s="18"/>
      <c r="D23" s="24">
        <f>SUM(F23:L23)</f>
        <v>1</v>
      </c>
      <c r="E23" s="24"/>
      <c r="F23" s="24">
        <f>IFERROR(F22/$D22,0)</f>
        <v>5.9759819547946999E-2</v>
      </c>
      <c r="G23" s="24"/>
      <c r="H23" s="24">
        <f>IFERROR(H22/$D22,0)</f>
        <v>0.64551512070570771</v>
      </c>
      <c r="I23" s="24"/>
      <c r="J23" s="24">
        <f>IFERROR(J22/$D22,0)</f>
        <v>0.29472505974634527</v>
      </c>
      <c r="K23" s="24"/>
      <c r="L23" s="24">
        <f>IFERROR(L22/$D22,0)</f>
        <v>0</v>
      </c>
    </row>
    <row r="24" spans="1:12" x14ac:dyDescent="0.25">
      <c r="A24" s="18"/>
      <c r="D24" s="24"/>
      <c r="F24" s="24"/>
      <c r="G24" s="24"/>
      <c r="H24" s="24"/>
      <c r="I24" s="24"/>
      <c r="J24" s="24"/>
      <c r="K24" s="24"/>
    </row>
    <row r="25" spans="1:12" x14ac:dyDescent="0.25">
      <c r="A25" s="18">
        <f>A23+1</f>
        <v>9</v>
      </c>
      <c r="B25" s="18"/>
      <c r="C25" s="2" t="s">
        <v>166</v>
      </c>
      <c r="D25" s="20">
        <f>SUM(F25:L25)</f>
        <v>100</v>
      </c>
      <c r="E25" s="20"/>
      <c r="F25" s="20">
        <v>0</v>
      </c>
      <c r="G25" s="20"/>
      <c r="H25" s="20">
        <v>40</v>
      </c>
      <c r="I25" s="20"/>
      <c r="J25" s="20">
        <v>0</v>
      </c>
      <c r="K25" s="20"/>
      <c r="L25" s="20">
        <v>60</v>
      </c>
    </row>
    <row r="26" spans="1:12" x14ac:dyDescent="0.25">
      <c r="A26" s="18">
        <f>A25+1</f>
        <v>10</v>
      </c>
      <c r="B26" s="18" t="s">
        <v>382</v>
      </c>
      <c r="C26" s="2"/>
      <c r="D26" s="24">
        <f>SUM(F26:L26)</f>
        <v>1</v>
      </c>
      <c r="E26" s="24"/>
      <c r="F26" s="24">
        <f>IFERROR(F25/$D25,0)</f>
        <v>0</v>
      </c>
      <c r="G26" s="24"/>
      <c r="H26" s="24">
        <f>IFERROR(H25/$D25,0)</f>
        <v>0.4</v>
      </c>
      <c r="I26" s="24"/>
      <c r="J26" s="24">
        <f>IFERROR(J25/$D25,0)</f>
        <v>0</v>
      </c>
      <c r="K26" s="24"/>
      <c r="L26" s="24">
        <f>IFERROR(L25/$D25,0)</f>
        <v>0.6</v>
      </c>
    </row>
    <row r="27" spans="1:12" x14ac:dyDescent="0.25">
      <c r="A27" s="18"/>
      <c r="B27" s="18"/>
      <c r="C27" s="2"/>
      <c r="D27" s="24"/>
      <c r="F27" s="24"/>
      <c r="G27" s="24"/>
      <c r="H27" s="24"/>
      <c r="I27" s="24"/>
      <c r="J27" s="24"/>
      <c r="K27" s="24"/>
    </row>
    <row r="28" spans="1:12" x14ac:dyDescent="0.25">
      <c r="A28" s="18">
        <f>A26+1</f>
        <v>11</v>
      </c>
      <c r="B28" s="18"/>
      <c r="C28" s="2" t="s">
        <v>166</v>
      </c>
      <c r="D28" s="20">
        <f>SUM(F28:L28)</f>
        <v>221666.95320689923</v>
      </c>
      <c r="E28" s="20"/>
      <c r="F28" s="20">
        <v>5959.7305605315451</v>
      </c>
      <c r="G28" s="20"/>
      <c r="H28" s="20">
        <v>86998.798749528825</v>
      </c>
      <c r="I28" s="20"/>
      <c r="J28" s="20">
        <v>48171.346107688369</v>
      </c>
      <c r="K28" s="20"/>
      <c r="L28" s="20">
        <v>80537.077789150469</v>
      </c>
    </row>
    <row r="29" spans="1:12" x14ac:dyDescent="0.25">
      <c r="A29" s="18">
        <f>A28+1</f>
        <v>12</v>
      </c>
      <c r="B29" s="18" t="s">
        <v>374</v>
      </c>
      <c r="C29" s="2"/>
      <c r="D29" s="24">
        <f>SUM(F29:L29)</f>
        <v>0.99999999999999989</v>
      </c>
      <c r="E29" s="24"/>
      <c r="F29" s="24">
        <f>IFERROR(F28/$D28,0)</f>
        <v>2.6885967774225954E-2</v>
      </c>
      <c r="G29" s="24"/>
      <c r="H29" s="24">
        <f>IFERROR(H28/$D28,0)</f>
        <v>0.39247527649430897</v>
      </c>
      <c r="I29" s="24"/>
      <c r="J29" s="24">
        <f>IFERROR(J28/$D28,0)</f>
        <v>0.21731406242917164</v>
      </c>
      <c r="K29" s="24"/>
      <c r="L29" s="24">
        <f>IFERROR(L28/$D28,0)</f>
        <v>0.36332469330229333</v>
      </c>
    </row>
    <row r="30" spans="1:12" x14ac:dyDescent="0.25">
      <c r="A30" s="18"/>
      <c r="B30" s="18"/>
      <c r="C30" s="2"/>
      <c r="D30" s="24"/>
      <c r="F30" s="24"/>
      <c r="G30" s="24"/>
      <c r="H30" s="24"/>
      <c r="I30" s="24"/>
      <c r="J30" s="24"/>
      <c r="K30" s="24"/>
    </row>
    <row r="31" spans="1:12" x14ac:dyDescent="0.25">
      <c r="A31" s="18">
        <f>A29+1</f>
        <v>13</v>
      </c>
      <c r="B31" s="18"/>
      <c r="C31" s="2" t="s">
        <v>166</v>
      </c>
      <c r="D31" s="20">
        <f>SUM(F31:L31)</f>
        <v>41301.953788871215</v>
      </c>
      <c r="E31" s="20"/>
      <c r="F31" s="20">
        <v>1364.4207145280918</v>
      </c>
      <c r="G31" s="20"/>
      <c r="H31" s="20">
        <v>19844.451207569738</v>
      </c>
      <c r="I31" s="20"/>
      <c r="J31" s="20">
        <v>8126.7243772646834</v>
      </c>
      <c r="K31" s="20"/>
      <c r="L31" s="20">
        <v>11966.3574895087</v>
      </c>
    </row>
    <row r="32" spans="1:12" x14ac:dyDescent="0.25">
      <c r="A32" s="18">
        <f>A31+1</f>
        <v>14</v>
      </c>
      <c r="B32" s="18" t="s">
        <v>380</v>
      </c>
      <c r="C32" s="2"/>
      <c r="D32" s="24">
        <f>SUM(F32:L32)</f>
        <v>1</v>
      </c>
      <c r="E32" s="24"/>
      <c r="F32" s="24">
        <f>IFERROR(F31/$D31,0)</f>
        <v>3.3035258368230853E-2</v>
      </c>
      <c r="G32" s="24"/>
      <c r="H32" s="24">
        <f>IFERROR(H31/$D31,0)</f>
        <v>0.48047245679977524</v>
      </c>
      <c r="I32" s="24"/>
      <c r="J32" s="24">
        <f>IFERROR(J31/$D31,0)</f>
        <v>0.19676367899705569</v>
      </c>
      <c r="K32" s="24"/>
      <c r="L32" s="24">
        <f>IFERROR(L31/$D31,0)</f>
        <v>0.2897286058349382</v>
      </c>
    </row>
    <row r="33" spans="1:20" x14ac:dyDescent="0.25">
      <c r="A33" s="18"/>
      <c r="D33" s="24"/>
      <c r="F33" s="24"/>
      <c r="G33" s="24"/>
      <c r="H33" s="24"/>
      <c r="I33" s="24"/>
      <c r="J33" s="24"/>
      <c r="K33" s="24"/>
    </row>
    <row r="34" spans="1:20" x14ac:dyDescent="0.25">
      <c r="A34" s="18">
        <f>A32+1</f>
        <v>15</v>
      </c>
      <c r="C34" s="2" t="s">
        <v>166</v>
      </c>
      <c r="D34" s="20">
        <f>SUM(F34:L34)</f>
        <v>18953.944151269141</v>
      </c>
      <c r="E34" s="20"/>
      <c r="F34" s="20">
        <v>0</v>
      </c>
      <c r="G34" s="20"/>
      <c r="H34" s="20">
        <v>1814.0992835209827</v>
      </c>
      <c r="I34" s="20"/>
      <c r="J34" s="20">
        <v>3822.5726057215443</v>
      </c>
      <c r="K34" s="20"/>
      <c r="L34" s="20">
        <v>13317.272262026612</v>
      </c>
    </row>
    <row r="35" spans="1:20" x14ac:dyDescent="0.25">
      <c r="A35" s="18">
        <f>A34+1</f>
        <v>16</v>
      </c>
      <c r="B35" s="18" t="s">
        <v>376</v>
      </c>
      <c r="C35" s="2"/>
      <c r="D35" s="24">
        <f>SUM(F35:L35)</f>
        <v>0.99999999999999989</v>
      </c>
      <c r="E35" s="24"/>
      <c r="F35" s="24">
        <f>IFERROR(F34/$D34,0)</f>
        <v>0</v>
      </c>
      <c r="G35" s="24"/>
      <c r="H35" s="24">
        <f>IFERROR(H34/$D34,0)</f>
        <v>9.5710912148040284E-2</v>
      </c>
      <c r="I35" s="24"/>
      <c r="J35" s="24">
        <f>IFERROR(J34/$D34,0)</f>
        <v>0.20167689506806888</v>
      </c>
      <c r="K35" s="24"/>
      <c r="L35" s="24">
        <f>IFERROR(L34/$D34,0)</f>
        <v>0.70261219278389075</v>
      </c>
    </row>
    <row r="36" spans="1:20" x14ac:dyDescent="0.25">
      <c r="A36" s="18"/>
      <c r="B36" s="18"/>
      <c r="C36" s="2"/>
      <c r="D36" s="24"/>
      <c r="F36" s="24"/>
      <c r="G36" s="24"/>
      <c r="H36" s="24"/>
      <c r="I36" s="24"/>
      <c r="J36" s="24"/>
      <c r="K36" s="24"/>
    </row>
    <row r="37" spans="1:20" x14ac:dyDescent="0.25">
      <c r="A37" s="18">
        <f>A35+1</f>
        <v>17</v>
      </c>
      <c r="C37" s="2" t="s">
        <v>166</v>
      </c>
      <c r="D37" s="20">
        <f>SUM(F37:L37)</f>
        <v>161486.41315728414</v>
      </c>
      <c r="E37" s="20"/>
      <c r="F37" s="20">
        <v>27530.517387322485</v>
      </c>
      <c r="G37" s="20"/>
      <c r="H37" s="20">
        <v>133955.89576996167</v>
      </c>
      <c r="I37" s="20"/>
      <c r="J37" s="59">
        <v>0</v>
      </c>
      <c r="K37" s="20"/>
      <c r="L37" s="59">
        <v>0</v>
      </c>
    </row>
    <row r="38" spans="1:20" x14ac:dyDescent="0.25">
      <c r="A38" s="18">
        <f>A37+1</f>
        <v>18</v>
      </c>
      <c r="B38" s="18" t="s">
        <v>352</v>
      </c>
      <c r="C38" s="2"/>
      <c r="D38" s="24">
        <f>SUM(F38:L38)</f>
        <v>1.0000000000000002</v>
      </c>
      <c r="E38" s="24"/>
      <c r="F38" s="24">
        <f>IFERROR(F37/$D37,0)</f>
        <v>0.17048194240656259</v>
      </c>
      <c r="G38" s="24"/>
      <c r="H38" s="24">
        <f>IFERROR(H37/$D37,0)</f>
        <v>0.82951805759343755</v>
      </c>
      <c r="I38" s="24"/>
      <c r="J38" s="24">
        <f>IFERROR(J37/$D37,0)</f>
        <v>0</v>
      </c>
      <c r="K38" s="24"/>
      <c r="L38" s="24">
        <f>IFERROR(L37/$D37,0)</f>
        <v>0</v>
      </c>
    </row>
    <row r="39" spans="1:20" x14ac:dyDescent="0.25">
      <c r="A39" s="18"/>
      <c r="B39" s="18"/>
      <c r="C39" s="2"/>
      <c r="D39" s="24"/>
      <c r="F39" s="24"/>
      <c r="G39" s="24"/>
      <c r="H39" s="24"/>
      <c r="I39" s="24"/>
      <c r="J39" s="24"/>
      <c r="K39" s="24"/>
    </row>
    <row r="40" spans="1:20" x14ac:dyDescent="0.25">
      <c r="A40" s="18">
        <f>A38+1</f>
        <v>19</v>
      </c>
      <c r="C40" s="2" t="s">
        <v>166</v>
      </c>
      <c r="D40" s="20">
        <f>SUM(F40:L40)</f>
        <v>40327.021464211422</v>
      </c>
      <c r="E40" s="20"/>
      <c r="F40" s="20">
        <v>1935.8022573559349</v>
      </c>
      <c r="G40" s="20"/>
      <c r="H40" s="20">
        <v>24623.083293033753</v>
      </c>
      <c r="I40" s="20"/>
      <c r="J40" s="20">
        <v>13768.135913821732</v>
      </c>
      <c r="K40" s="20"/>
      <c r="L40" s="20">
        <v>0</v>
      </c>
    </row>
    <row r="41" spans="1:20" x14ac:dyDescent="0.25">
      <c r="A41" s="18">
        <f>A40+1</f>
        <v>20</v>
      </c>
      <c r="B41" s="18" t="s">
        <v>354</v>
      </c>
      <c r="C41" s="2"/>
      <c r="D41" s="24">
        <f>SUM(F41:L41)</f>
        <v>1</v>
      </c>
      <c r="E41" s="24"/>
      <c r="F41" s="24">
        <f>IFERROR(F40/$D40,0)</f>
        <v>4.8002609344056812E-2</v>
      </c>
      <c r="G41" s="24"/>
      <c r="H41" s="24">
        <f>IFERROR(H40/$D40,0)</f>
        <v>0.61058522050495923</v>
      </c>
      <c r="I41" s="24"/>
      <c r="J41" s="24">
        <f>IFERROR(J40/$D40,0)</f>
        <v>0.34141217015098396</v>
      </c>
      <c r="K41" s="24"/>
      <c r="L41" s="24">
        <f>IFERROR(L40/$D40,0)</f>
        <v>0</v>
      </c>
    </row>
    <row r="42" spans="1:20" x14ac:dyDescent="0.25">
      <c r="A42" s="18"/>
      <c r="B42" s="18"/>
      <c r="C42" s="2"/>
      <c r="D42" s="24"/>
      <c r="F42" s="24"/>
      <c r="G42" s="24"/>
      <c r="H42" s="24"/>
      <c r="I42" s="24"/>
      <c r="J42" s="24"/>
      <c r="K42" s="24"/>
    </row>
    <row r="43" spans="1:20" x14ac:dyDescent="0.25">
      <c r="A43" s="18">
        <f>A41+1</f>
        <v>21</v>
      </c>
      <c r="C43" s="2" t="s">
        <v>166</v>
      </c>
      <c r="D43" s="20">
        <f>SUM(F43:L43)</f>
        <v>5768.9625818688937</v>
      </c>
      <c r="E43" s="20"/>
      <c r="F43" s="20">
        <v>290.91065568303998</v>
      </c>
      <c r="G43" s="20"/>
      <c r="H43" s="20">
        <v>3465.2664142229587</v>
      </c>
      <c r="I43" s="20"/>
      <c r="J43" s="20">
        <v>1552.727668972055</v>
      </c>
      <c r="K43" s="20"/>
      <c r="L43" s="20">
        <v>460.05784299084002</v>
      </c>
    </row>
    <row r="44" spans="1:20" x14ac:dyDescent="0.25">
      <c r="A44" s="18">
        <f>A43+1</f>
        <v>22</v>
      </c>
      <c r="B44" s="18" t="s">
        <v>368</v>
      </c>
      <c r="C44" s="2"/>
      <c r="D44" s="24">
        <f>SUM(F44:L44)</f>
        <v>1</v>
      </c>
      <c r="E44" s="24"/>
      <c r="F44" s="24">
        <f>IFERROR(F43/$D43,0)</f>
        <v>5.0426857785026147E-2</v>
      </c>
      <c r="G44" s="24"/>
      <c r="H44" s="24">
        <f>IFERROR(H43/$D43,0)</f>
        <v>0.60067410128709187</v>
      </c>
      <c r="I44" s="24"/>
      <c r="J44" s="24">
        <f>IFERROR(J43/$D43,0)</f>
        <v>0.2691519743692008</v>
      </c>
      <c r="K44" s="24"/>
      <c r="L44" s="24">
        <f>IFERROR(L43/$D43,0)</f>
        <v>7.9747066558681204E-2</v>
      </c>
      <c r="M44" s="18"/>
      <c r="N44" s="18"/>
      <c r="O44" s="18"/>
      <c r="P44" s="18"/>
      <c r="Q44" s="18"/>
      <c r="R44" s="18"/>
      <c r="S44" s="18"/>
      <c r="T44" s="18"/>
    </row>
    <row r="45" spans="1:20" x14ac:dyDescent="0.25">
      <c r="A45" s="18"/>
      <c r="B45" s="18"/>
      <c r="C45" s="2"/>
      <c r="D45" s="24"/>
      <c r="F45" s="24"/>
      <c r="G45" s="24"/>
      <c r="H45" s="24"/>
      <c r="I45" s="24"/>
      <c r="J45" s="24"/>
      <c r="K45" s="24"/>
      <c r="M45" s="18"/>
      <c r="N45" s="18"/>
      <c r="O45" s="18"/>
      <c r="P45" s="18"/>
      <c r="Q45" s="18"/>
      <c r="R45" s="18"/>
      <c r="S45" s="18"/>
      <c r="T45" s="18"/>
    </row>
    <row r="46" spans="1:20" x14ac:dyDescent="0.25">
      <c r="A46" s="18">
        <f>A44+1</f>
        <v>23</v>
      </c>
      <c r="C46" s="2" t="s">
        <v>167</v>
      </c>
      <c r="D46" s="20">
        <f>SUM(F46:L46)</f>
        <v>1</v>
      </c>
      <c r="E46" s="20"/>
      <c r="F46" s="20">
        <v>0</v>
      </c>
      <c r="G46" s="20"/>
      <c r="H46" s="20">
        <v>0</v>
      </c>
      <c r="I46" s="20"/>
      <c r="J46" s="20">
        <v>1</v>
      </c>
      <c r="K46" s="20"/>
      <c r="L46" s="20">
        <v>0</v>
      </c>
    </row>
    <row r="47" spans="1:20" x14ac:dyDescent="0.25">
      <c r="A47" s="18">
        <f>A46+1</f>
        <v>24</v>
      </c>
      <c r="B47" s="18" t="s">
        <v>384</v>
      </c>
      <c r="C47" s="2"/>
      <c r="D47" s="24">
        <f>SUM(F47:L47)</f>
        <v>1</v>
      </c>
      <c r="E47" s="24"/>
      <c r="F47" s="24">
        <f>IFERROR(F46/$D46,0)</f>
        <v>0</v>
      </c>
      <c r="G47" s="24"/>
      <c r="H47" s="24">
        <f>IFERROR(H46/$D46,0)</f>
        <v>0</v>
      </c>
      <c r="I47" s="24"/>
      <c r="J47" s="24">
        <f>IFERROR(J46/$D46,0)</f>
        <v>1</v>
      </c>
      <c r="K47" s="24"/>
      <c r="L47" s="24">
        <f>IFERROR(L46/$D46,0)</f>
        <v>0</v>
      </c>
    </row>
    <row r="48" spans="1:20" x14ac:dyDescent="0.25">
      <c r="B48" s="18"/>
      <c r="C48" s="2"/>
      <c r="D48" s="24"/>
      <c r="F48" s="24"/>
      <c r="G48" s="24"/>
      <c r="H48" s="24"/>
      <c r="I48" s="24"/>
      <c r="J48" s="24"/>
      <c r="K48" s="24"/>
    </row>
    <row r="49" spans="1:20" x14ac:dyDescent="0.25">
      <c r="A49" s="18">
        <f>A47+1</f>
        <v>25</v>
      </c>
      <c r="C49" s="2" t="s">
        <v>166</v>
      </c>
      <c r="D49" s="20">
        <f>SUM(F49:L49)</f>
        <v>100.00127993507181</v>
      </c>
      <c r="E49" s="20"/>
      <c r="F49" s="20">
        <v>4.8792783250226153</v>
      </c>
      <c r="G49" s="20"/>
      <c r="H49" s="20">
        <v>43.74250375999484</v>
      </c>
      <c r="I49" s="20"/>
      <c r="J49" s="20">
        <v>0</v>
      </c>
      <c r="K49" s="20"/>
      <c r="L49" s="20">
        <v>51.379497850054342</v>
      </c>
    </row>
    <row r="50" spans="1:20" x14ac:dyDescent="0.25">
      <c r="A50" s="18">
        <f>A49+1</f>
        <v>26</v>
      </c>
      <c r="B50" s="18" t="s">
        <v>378</v>
      </c>
      <c r="C50" s="2"/>
      <c r="D50" s="24">
        <f>SUM(F50:L50)</f>
        <v>0.99999999999999989</v>
      </c>
      <c r="E50" s="24"/>
      <c r="F50" s="24">
        <f>IFERROR(F49/$D49,0)</f>
        <v>4.8792158742274119E-2</v>
      </c>
      <c r="G50" s="24"/>
      <c r="H50" s="24">
        <f>IFERROR(H49/$D49,0)</f>
        <v>0.43741943891513885</v>
      </c>
      <c r="I50" s="24"/>
      <c r="J50" s="24">
        <f>IFERROR(J49/$D49,0)</f>
        <v>0</v>
      </c>
      <c r="K50" s="24"/>
      <c r="L50" s="24">
        <f>IFERROR(L49/$D49,0)</f>
        <v>0.51378840234258694</v>
      </c>
    </row>
    <row r="51" spans="1:20" x14ac:dyDescent="0.25">
      <c r="A51" s="18"/>
      <c r="B51" s="18"/>
      <c r="C51" s="2"/>
      <c r="D51" s="24"/>
      <c r="F51" s="24"/>
      <c r="G51" s="24"/>
      <c r="H51" s="24"/>
      <c r="I51" s="24"/>
      <c r="J51" s="24"/>
      <c r="K51" s="24"/>
    </row>
    <row r="52" spans="1:20" x14ac:dyDescent="0.25">
      <c r="A52" s="18">
        <f>A50+1</f>
        <v>27</v>
      </c>
      <c r="C52" s="2" t="s">
        <v>166</v>
      </c>
      <c r="D52" s="20">
        <f>SUM(F52:L52)</f>
        <v>39060.878900513679</v>
      </c>
      <c r="E52" s="20"/>
      <c r="F52" s="20">
        <v>2246.1917153540244</v>
      </c>
      <c r="G52" s="20"/>
      <c r="H52" s="20">
        <v>23480.791340764372</v>
      </c>
      <c r="I52" s="20"/>
      <c r="J52" s="20">
        <v>13333.895844395283</v>
      </c>
      <c r="K52" s="20"/>
      <c r="L52" s="20">
        <v>0</v>
      </c>
    </row>
    <row r="53" spans="1:20" x14ac:dyDescent="0.25">
      <c r="A53" s="18">
        <f>A52+1</f>
        <v>28</v>
      </c>
      <c r="B53" s="18" t="s">
        <v>366</v>
      </c>
      <c r="C53" s="2"/>
      <c r="D53" s="24">
        <f>SUM(F53:L53)</f>
        <v>1</v>
      </c>
      <c r="E53" s="24"/>
      <c r="F53" s="24">
        <f>IFERROR(F52/$D52,0)</f>
        <v>5.7504894374624152E-2</v>
      </c>
      <c r="G53" s="24"/>
      <c r="H53" s="24">
        <f>IFERROR(H52/$D52,0)</f>
        <v>0.60113320543987003</v>
      </c>
      <c r="I53" s="24"/>
      <c r="J53" s="24">
        <f>IFERROR(J52/$D52,0)</f>
        <v>0.34136190018550588</v>
      </c>
      <c r="K53" s="24"/>
      <c r="L53" s="24">
        <f>IFERROR(L52/$D52,0)</f>
        <v>0</v>
      </c>
    </row>
    <row r="54" spans="1:20" x14ac:dyDescent="0.25">
      <c r="A54" s="18"/>
      <c r="B54" s="18"/>
      <c r="C54" s="2"/>
      <c r="D54" s="24"/>
      <c r="F54" s="24"/>
      <c r="G54" s="24"/>
      <c r="H54" s="24"/>
      <c r="I54" s="24"/>
      <c r="J54" s="24"/>
      <c r="K54" s="24"/>
    </row>
    <row r="55" spans="1:20" x14ac:dyDescent="0.25">
      <c r="A55" s="18">
        <f>A53+1</f>
        <v>29</v>
      </c>
      <c r="B55" s="18"/>
      <c r="C55" s="2" t="s">
        <v>166</v>
      </c>
      <c r="D55" s="20">
        <f>SUM(F55:L55)</f>
        <v>14135.587472300971</v>
      </c>
      <c r="E55" s="20"/>
      <c r="F55" s="20">
        <v>656.84290940717995</v>
      </c>
      <c r="G55" s="20"/>
      <c r="H55" s="20">
        <v>8224.957206916366</v>
      </c>
      <c r="I55" s="20"/>
      <c r="J55" s="20">
        <v>5253.7873559774252</v>
      </c>
      <c r="K55" s="20"/>
      <c r="L55" s="59">
        <v>0</v>
      </c>
      <c r="M55" s="18"/>
      <c r="N55" s="18"/>
      <c r="O55" s="18"/>
      <c r="P55" s="18"/>
      <c r="Q55" s="18"/>
      <c r="R55" s="18"/>
      <c r="S55" s="18"/>
      <c r="T55" s="18"/>
    </row>
    <row r="56" spans="1:20" x14ac:dyDescent="0.25">
      <c r="A56" s="18">
        <f>A55+1</f>
        <v>30</v>
      </c>
      <c r="B56" s="18" t="s">
        <v>370</v>
      </c>
      <c r="C56" s="2"/>
      <c r="D56" s="24">
        <f>SUM(F56:L56)</f>
        <v>1</v>
      </c>
      <c r="E56" s="24"/>
      <c r="F56" s="24">
        <f>IFERROR(F55/$D55,0)</f>
        <v>4.6467323037990442E-2</v>
      </c>
      <c r="G56" s="24"/>
      <c r="H56" s="24">
        <f>IFERROR(H55/$D55,0)</f>
        <v>0.58186171767062178</v>
      </c>
      <c r="I56" s="24"/>
      <c r="J56" s="24">
        <f>IFERROR(J55/$D55,0)</f>
        <v>0.37167095929138777</v>
      </c>
      <c r="K56" s="24"/>
      <c r="L56" s="24">
        <f>IFERROR(L55/$D55,0)</f>
        <v>0</v>
      </c>
      <c r="M56" s="18"/>
      <c r="N56" s="18"/>
      <c r="O56" s="18"/>
      <c r="P56" s="18"/>
      <c r="Q56" s="18"/>
      <c r="R56" s="18"/>
      <c r="S56" s="18"/>
      <c r="T56" s="18"/>
    </row>
    <row r="57" spans="1:20" x14ac:dyDescent="0.25">
      <c r="A57" s="18"/>
      <c r="B57" s="18"/>
      <c r="C57" s="2"/>
      <c r="D57" s="24"/>
      <c r="F57" s="24"/>
      <c r="G57" s="24"/>
      <c r="H57" s="24"/>
      <c r="I57" s="24"/>
      <c r="J57" s="24"/>
      <c r="K57" s="24"/>
      <c r="M57" s="18"/>
      <c r="N57" s="18"/>
      <c r="O57" s="18"/>
      <c r="P57" s="18"/>
      <c r="Q57" s="18"/>
      <c r="R57" s="18"/>
      <c r="S57" s="18"/>
      <c r="T57" s="18"/>
    </row>
    <row r="58" spans="1:20" x14ac:dyDescent="0.25">
      <c r="A58" s="18">
        <f>A56+1</f>
        <v>31</v>
      </c>
      <c r="B58" s="18"/>
      <c r="C58" s="2" t="s">
        <v>166</v>
      </c>
      <c r="D58" s="20">
        <f>SUM(F58:L58)</f>
        <v>1878311.1040714213</v>
      </c>
      <c r="E58" s="20"/>
      <c r="F58" s="20">
        <v>104134.65440462345</v>
      </c>
      <c r="G58" s="20"/>
      <c r="H58" s="20">
        <v>1171021.2005978464</v>
      </c>
      <c r="I58" s="20"/>
      <c r="J58" s="20">
        <v>603155.24906895147</v>
      </c>
      <c r="K58" s="20"/>
      <c r="L58" s="59">
        <v>0</v>
      </c>
    </row>
    <row r="59" spans="1:20" x14ac:dyDescent="0.25">
      <c r="A59" s="18">
        <f>A58+1</f>
        <v>32</v>
      </c>
      <c r="B59" s="18" t="s">
        <v>350</v>
      </c>
      <c r="C59" s="2"/>
      <c r="D59" s="24">
        <f>SUM(F59:L59)</f>
        <v>1</v>
      </c>
      <c r="E59" s="24"/>
      <c r="F59" s="24">
        <f>IFERROR(F58/$D58,0)</f>
        <v>5.5440578602182301E-2</v>
      </c>
      <c r="G59" s="24"/>
      <c r="H59" s="24">
        <f>IFERROR(H58/$D58,0)</f>
        <v>0.62344368728883326</v>
      </c>
      <c r="I59" s="24"/>
      <c r="J59" s="24">
        <f>IFERROR(J58/$D58,0)</f>
        <v>0.32111573410898442</v>
      </c>
      <c r="K59" s="24"/>
      <c r="L59" s="24">
        <f>IFERROR(L58/$D58,0)</f>
        <v>0</v>
      </c>
    </row>
    <row r="60" spans="1:20" x14ac:dyDescent="0.25">
      <c r="A60" s="18"/>
      <c r="B60" s="18"/>
      <c r="C60" s="2"/>
      <c r="D60" s="24"/>
      <c r="F60" s="24"/>
      <c r="G60" s="24"/>
      <c r="H60" s="24"/>
      <c r="I60" s="24"/>
      <c r="J60" s="24"/>
      <c r="K60" s="24"/>
    </row>
    <row r="61" spans="1:20" x14ac:dyDescent="0.25">
      <c r="A61" s="18">
        <f>A59+1</f>
        <v>33</v>
      </c>
      <c r="B61" s="18"/>
      <c r="C61" s="2" t="s">
        <v>166</v>
      </c>
      <c r="D61" s="20">
        <f>SUM(F61:L61)</f>
        <v>152523.42553920622</v>
      </c>
      <c r="E61" s="20"/>
      <c r="F61" s="20">
        <v>16638.490695454806</v>
      </c>
      <c r="G61" s="20"/>
      <c r="H61" s="20">
        <v>134741.34843719404</v>
      </c>
      <c r="I61" s="20"/>
      <c r="J61" s="20">
        <v>1143.5864065573767</v>
      </c>
      <c r="K61" s="20"/>
      <c r="L61" s="59">
        <v>0</v>
      </c>
    </row>
    <row r="62" spans="1:20" x14ac:dyDescent="0.25">
      <c r="A62" s="18">
        <f>A61+1</f>
        <v>34</v>
      </c>
      <c r="B62" s="18" t="s">
        <v>357</v>
      </c>
      <c r="C62" s="2"/>
      <c r="D62" s="24">
        <f>SUM(F62:L62)</f>
        <v>1</v>
      </c>
      <c r="E62" s="24"/>
      <c r="F62" s="24">
        <f>IFERROR(F61/$D61,0)</f>
        <v>0.10908809998617475</v>
      </c>
      <c r="G62" s="24"/>
      <c r="H62" s="24">
        <f>IFERROR(H61/$D61,0)</f>
        <v>0.88341412449170775</v>
      </c>
      <c r="I62" s="24"/>
      <c r="J62" s="24">
        <f>IFERROR(J61/$D61,0)</f>
        <v>7.497775522117534E-3</v>
      </c>
      <c r="K62" s="24"/>
      <c r="L62" s="24">
        <f>IFERROR(L61/$D61,0)</f>
        <v>0</v>
      </c>
    </row>
    <row r="63" spans="1:20" x14ac:dyDescent="0.25">
      <c r="B63" s="18"/>
      <c r="C63" s="2"/>
      <c r="D63" s="24"/>
      <c r="F63" s="24"/>
      <c r="G63" s="24"/>
      <c r="H63" s="24"/>
      <c r="I63" s="24"/>
      <c r="J63" s="24"/>
      <c r="K63" s="24"/>
    </row>
    <row r="64" spans="1:20" x14ac:dyDescent="0.25">
      <c r="A64" s="18">
        <f>A62+1</f>
        <v>35</v>
      </c>
      <c r="B64" s="18"/>
      <c r="C64" s="2" t="s">
        <v>166</v>
      </c>
      <c r="D64" s="20">
        <f>SUM(F64:L64)</f>
        <v>14888.543237034275</v>
      </c>
      <c r="E64" s="20"/>
      <c r="F64" s="20">
        <v>2349.3688172958259</v>
      </c>
      <c r="G64" s="20"/>
      <c r="H64" s="20">
        <v>12417.343062049933</v>
      </c>
      <c r="I64" s="20"/>
      <c r="J64" s="20">
        <v>121.83135768851581</v>
      </c>
      <c r="K64" s="20"/>
      <c r="L64" s="59">
        <v>0</v>
      </c>
    </row>
    <row r="65" spans="1:12" x14ac:dyDescent="0.25">
      <c r="A65" s="18">
        <f>A64+1</f>
        <v>36</v>
      </c>
      <c r="B65" s="18" t="s">
        <v>359</v>
      </c>
      <c r="C65" s="2"/>
      <c r="D65" s="24">
        <f>SUM(F65:L65)</f>
        <v>1</v>
      </c>
      <c r="E65" s="24"/>
      <c r="F65" s="24">
        <f>IFERROR(F64/$D64,0)</f>
        <v>0.15779709135356676</v>
      </c>
      <c r="G65" s="24"/>
      <c r="H65" s="24">
        <f>IFERROR(H64/$D64,0)</f>
        <v>0.83402001554877492</v>
      </c>
      <c r="I65" s="24"/>
      <c r="J65" s="24">
        <f>IFERROR(J64/$D64,0)</f>
        <v>8.1828930976583589E-3</v>
      </c>
      <c r="K65" s="24"/>
      <c r="L65" s="24">
        <f>IFERROR(L64/$D64,0)</f>
        <v>0</v>
      </c>
    </row>
    <row r="66" spans="1:12" x14ac:dyDescent="0.25">
      <c r="B66" s="18"/>
      <c r="C66" s="2"/>
      <c r="D66" s="24"/>
      <c r="F66" s="24"/>
      <c r="G66" s="24"/>
      <c r="H66" s="24"/>
      <c r="I66" s="24"/>
      <c r="J66" s="24"/>
      <c r="K66" s="24"/>
    </row>
    <row r="67" spans="1:12" x14ac:dyDescent="0.25">
      <c r="A67" s="18">
        <f>A65+1</f>
        <v>37</v>
      </c>
      <c r="B67" s="18"/>
      <c r="C67" s="2" t="s">
        <v>166</v>
      </c>
      <c r="D67" s="20">
        <f>SUM(F67:L67)</f>
        <v>11379.741150279393</v>
      </c>
      <c r="E67" s="20"/>
      <c r="F67" s="20">
        <v>17.209218336841108</v>
      </c>
      <c r="G67" s="20"/>
      <c r="H67" s="20">
        <v>217.59408768341962</v>
      </c>
      <c r="I67" s="20"/>
      <c r="J67" s="20">
        <v>207.7425625381062</v>
      </c>
      <c r="K67" s="20"/>
      <c r="L67" s="20">
        <v>10937.195281721026</v>
      </c>
    </row>
    <row r="68" spans="1:12" x14ac:dyDescent="0.25">
      <c r="A68" s="18">
        <f>A67+1</f>
        <v>38</v>
      </c>
      <c r="B68" s="18" t="s">
        <v>388</v>
      </c>
      <c r="C68" s="2"/>
      <c r="D68" s="24">
        <f>SUM(F68:L68)</f>
        <v>1</v>
      </c>
      <c r="E68" s="24"/>
      <c r="F68" s="24">
        <f>IFERROR(F67/$D67,0)</f>
        <v>1.5122679953417561E-3</v>
      </c>
      <c r="G68" s="24"/>
      <c r="H68" s="24">
        <f>IFERROR(H67/$D67,0)</f>
        <v>1.91211807729104E-2</v>
      </c>
      <c r="I68" s="24"/>
      <c r="J68" s="24">
        <f>IFERROR(J67/$D67,0)</f>
        <v>1.8255473458902511E-2</v>
      </c>
      <c r="K68" s="24"/>
      <c r="L68" s="24">
        <f>IFERROR(L67/$D67,0)</f>
        <v>0.96111107777284532</v>
      </c>
    </row>
    <row r="69" spans="1:12" x14ac:dyDescent="0.25">
      <c r="D69" s="24"/>
      <c r="F69" s="24"/>
      <c r="G69" s="24"/>
      <c r="H69" s="24"/>
      <c r="I69" s="24"/>
      <c r="J69" s="24"/>
      <c r="K69" s="24"/>
    </row>
  </sheetData>
  <mergeCells count="3">
    <mergeCell ref="B6:L6"/>
    <mergeCell ref="B7:L7"/>
    <mergeCell ref="F9:L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2843-ECD8-405F-981F-7F7CC5EA448A}">
  <sheetPr>
    <tabColor theme="0" tint="-0.249977111117893"/>
  </sheetPr>
  <dimension ref="A6:AC60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3.54296875" style="2" bestFit="1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5" width="12.81640625" style="31" customWidth="1"/>
    <col min="16" max="16" width="10.7265625" style="31" customWidth="1"/>
    <col min="17" max="18" width="10.7265625" style="31" hidden="1" customWidth="1"/>
    <col min="19" max="25" width="10.7265625" style="31" customWidth="1"/>
    <col min="26" max="26" width="10.81640625" style="31" bestFit="1" customWidth="1"/>
    <col min="27" max="16384" width="9.1796875" style="31"/>
  </cols>
  <sheetData>
    <row r="6" spans="1:29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29" x14ac:dyDescent="0.25">
      <c r="B7" s="158" t="s">
        <v>425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29" x14ac:dyDescent="0.25">
      <c r="D9" s="2" t="s">
        <v>337</v>
      </c>
    </row>
    <row r="10" spans="1:29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29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29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4" spans="1:29" x14ac:dyDescent="0.25">
      <c r="B14" s="74" t="s">
        <v>348</v>
      </c>
    </row>
    <row r="15" spans="1:29" x14ac:dyDescent="0.25">
      <c r="A15" s="2">
        <v>1</v>
      </c>
      <c r="B15" s="31" t="s">
        <v>349</v>
      </c>
      <c r="D15" s="76">
        <f ca="1">'Total Allocation by Rate Zone'!P15</f>
        <v>104134.65440462345</v>
      </c>
      <c r="J15" s="76">
        <f ca="1">D15-F15</f>
        <v>104134.65440462345</v>
      </c>
      <c r="L15" s="2" t="s">
        <v>445</v>
      </c>
      <c r="N15" s="76">
        <f ca="1">IF($J15&lt;&gt;0,VLOOKUP($L15,'Allocation Factors - N'!$B$13:$U$173,5,FALSE)*$J15,0)+IF($F15&lt;&gt;0,VLOOKUP($H15,'Allocation Factors - N'!$B$13:$U$173,5,FALSE)*$F15,0)</f>
        <v>87463.637420311716</v>
      </c>
      <c r="O15" s="76">
        <f ca="1">IF($J15&lt;&gt;0,VLOOKUP($L15,'Allocation Factors - N'!$B$13:$U$173,6,FALSE)*$J15,0)+IF($F15&lt;&gt;0,VLOOKUP($H15,'Allocation Factors - N'!$B$13:$U$173,6,FALSE)*$F15,0)</f>
        <v>14474.597429381745</v>
      </c>
      <c r="P15" s="76">
        <f ca="1">IF($J15&lt;&gt;0,VLOOKUP($L15,'Allocation Factors - N'!$B$13:$U$173,7,FALSE)*$J15,0)+IF($F15&lt;&gt;0,VLOOKUP($H15,'Allocation Factors - N'!$B$13:$U$173,7,FALSE)*$F15,0)</f>
        <v>1466.692128336975</v>
      </c>
      <c r="Q15" s="76"/>
      <c r="R15" s="76"/>
      <c r="S15" s="76">
        <f ca="1">IF($J15&lt;&gt;0,VLOOKUP($L15,'Allocation Factors - N'!$B$13:$U$173,10,FALSE)*$J15,0)+IF($F15&lt;&gt;0,VLOOKUP($H15,'Allocation Factors - N'!$B$13:$U$173,10,FALSE)*$F15,0)</f>
        <v>0</v>
      </c>
      <c r="T15" s="76">
        <f ca="1">IF($J15&lt;&gt;0,VLOOKUP($L15,'Allocation Factors - N'!$B$13:$U$173,11,FALSE)*$J15,0)+IF($F15&lt;&gt;0,VLOOKUP($H15,'Allocation Factors - N'!$B$13:$U$173,11,FALSE)*$F15,0)</f>
        <v>0</v>
      </c>
      <c r="U15" s="76">
        <f ca="1">IF($J15&lt;&gt;0,VLOOKUP($L15,'Allocation Factors - N'!$B$13:$U$173,12,FALSE)*$J15,0)+IF($F15&lt;&gt;0,VLOOKUP($H15,'Allocation Factors - N'!$B$13:$U$173,12,FALSE)*$F15,0)</f>
        <v>0</v>
      </c>
      <c r="V15" s="76">
        <f ca="1">IF($J15&lt;&gt;0,VLOOKUP($L15,'Allocation Factors - N'!$B$13:$U$173,13,FALSE)*$J15,0)+IF($F15&lt;&gt;0,VLOOKUP($H15,'Allocation Factors - N'!$B$13:$U$173,13,FALSE)*$F15,0)</f>
        <v>0</v>
      </c>
      <c r="W15" s="76">
        <f ca="1">IF($J15&lt;&gt;0,VLOOKUP($L15,'Allocation Factors - N'!$B$13:$U$173,14,FALSE)*$J15,0)+IF($F15&lt;&gt;0,VLOOKUP($H15,'Allocation Factors - N'!$B$13:$U$173,14,FALSE)*$F15,0)</f>
        <v>0</v>
      </c>
      <c r="X15" s="76">
        <f ca="1">IF($J15&lt;&gt;0,VLOOKUP($L15,'Allocation Factors - N'!$B$13:$U$173,15,FALSE)*$J15,0)+IF($F15&lt;&gt;0,VLOOKUP($H15,'Allocation Factors - N'!$B$13:$U$173,15,FALSE)*$F15,0)</f>
        <v>0</v>
      </c>
      <c r="Y15" s="76">
        <f ca="1">IF($J15&lt;&gt;0,VLOOKUP($L15,'Allocation Factors - N'!$B$13:$U$173,16,FALSE)*$J15,0)+IF($F15&lt;&gt;0,VLOOKUP($H15,'Allocation Factors - N'!$B$13:$U$173,16,FALSE)*$F15,0)</f>
        <v>729.72742659301787</v>
      </c>
      <c r="Z15" s="76">
        <f ca="1">IF($J15&lt;&gt;0,VLOOKUP($L15,'Allocation Factors - N'!$B$13:$U$173,17,FALSE)*$J15,0)+IF($F15&lt;&gt;0,VLOOKUP($H15,'Allocation Factors - N'!$B$13:$U$173,17,FALSE)*$F15,0)</f>
        <v>0</v>
      </c>
      <c r="AA15" s="76">
        <f ca="1">IF($J15&lt;&gt;0,VLOOKUP($L15,'Allocation Factors - N'!$B$13:$U$173,18,FALSE)*$J15,0)+IF($F15&lt;&gt;0,VLOOKUP($H15,'Allocation Factors - N'!$B$13:$U$173,18,FALSE)*$F15,0)</f>
        <v>0</v>
      </c>
      <c r="AB15" s="76">
        <f ca="1">IF($J15&lt;&gt;0,VLOOKUP($L15,'Allocation Factors - N'!$B$13:$U$173,19,FALSE)*$J15,0)+IF($F15&lt;&gt;0,VLOOKUP($H15,'Allocation Factors - N'!$B$13:$U$173,19,FALSE)*$F15,0)</f>
        <v>0</v>
      </c>
      <c r="AC15" s="76">
        <f ca="1">IF($J15&lt;&gt;0,VLOOKUP($L15,'Allocation Factors - N'!$B$13:$U$173,20,FALSE)*$J15,0)+IF($F15&lt;&gt;0,VLOOKUP($H15,'Allocation Factors - N'!$B$13:$U$173,20,FALSE)*$F15,0)</f>
        <v>0</v>
      </c>
    </row>
    <row r="16" spans="1:29" x14ac:dyDescent="0.25">
      <c r="A16" s="2">
        <f>A15+1</f>
        <v>2</v>
      </c>
      <c r="B16" s="31" t="s">
        <v>351</v>
      </c>
      <c r="D16" s="76">
        <f ca="1">'Total Allocation by Rate Zone'!P16</f>
        <v>26185.896049534473</v>
      </c>
      <c r="J16" s="76">
        <f t="shared" ref="J16:J20" ca="1" si="0">D16-F16</f>
        <v>26185.896049534473</v>
      </c>
      <c r="L16" s="2" t="s">
        <v>446</v>
      </c>
      <c r="N16" s="76">
        <f ca="1">IF($J16&lt;&gt;0,VLOOKUP($L16,'Allocation Factors - N'!$B$13:$U$173,5,FALSE)*$J16,0)+IF($F16&lt;&gt;0,VLOOKUP($H16,'Allocation Factors - N'!$B$13:$U$173,5,FALSE)*$F16,0)</f>
        <v>18384.470257617722</v>
      </c>
      <c r="O16" s="76">
        <f ca="1">IF($J16&lt;&gt;0,VLOOKUP($L16,'Allocation Factors - N'!$B$13:$U$173,6,FALSE)*$J16,0)+IF($F16&lt;&gt;0,VLOOKUP($H16,'Allocation Factors - N'!$B$13:$U$173,6,FALSE)*$F16,0)</f>
        <v>5549.3624913776157</v>
      </c>
      <c r="P16" s="76">
        <f ca="1">IF($J16&lt;&gt;0,VLOOKUP($L16,'Allocation Factors - N'!$B$13:$U$173,7,FALSE)*$J16,0)+IF($F16&lt;&gt;0,VLOOKUP($H16,'Allocation Factors - N'!$B$13:$U$173,7,FALSE)*$F16,0)</f>
        <v>745.76893071003462</v>
      </c>
      <c r="Q16" s="76"/>
      <c r="R16" s="76"/>
      <c r="S16" s="76">
        <f ca="1">IF($J16&lt;&gt;0,VLOOKUP($L16,'Allocation Factors - N'!$B$13:$U$173,10,FALSE)*$J16,0)+IF($F16&lt;&gt;0,VLOOKUP($H16,'Allocation Factors - N'!$B$13:$U$173,10,FALSE)*$F16,0)</f>
        <v>0</v>
      </c>
      <c r="T16" s="76">
        <f ca="1">IF($J16&lt;&gt;0,VLOOKUP($L16,'Allocation Factors - N'!$B$13:$U$173,11,FALSE)*$J16,0)+IF($F16&lt;&gt;0,VLOOKUP($H16,'Allocation Factors - N'!$B$13:$U$173,11,FALSE)*$F16,0)</f>
        <v>0</v>
      </c>
      <c r="U16" s="76">
        <f ca="1">IF($J16&lt;&gt;0,VLOOKUP($L16,'Allocation Factors - N'!$B$13:$U$173,12,FALSE)*$J16,0)+IF($F16&lt;&gt;0,VLOOKUP($H16,'Allocation Factors - N'!$B$13:$U$173,12,FALSE)*$F16,0)</f>
        <v>0</v>
      </c>
      <c r="V16" s="76">
        <f ca="1">IF($J16&lt;&gt;0,VLOOKUP($L16,'Allocation Factors - N'!$B$13:$U$173,13,FALSE)*$J16,0)+IF($F16&lt;&gt;0,VLOOKUP($H16,'Allocation Factors - N'!$B$13:$U$173,13,FALSE)*$F16,0)</f>
        <v>0</v>
      </c>
      <c r="W16" s="76">
        <f ca="1">IF($J16&lt;&gt;0,VLOOKUP($L16,'Allocation Factors - N'!$B$13:$U$173,14,FALSE)*$J16,0)+IF($F16&lt;&gt;0,VLOOKUP($H16,'Allocation Factors - N'!$B$13:$U$173,14,FALSE)*$F16,0)</f>
        <v>0</v>
      </c>
      <c r="X16" s="76">
        <f ca="1">IF($J16&lt;&gt;0,VLOOKUP($L16,'Allocation Factors - N'!$B$13:$U$173,15,FALSE)*$J16,0)+IF($F16&lt;&gt;0,VLOOKUP($H16,'Allocation Factors - N'!$B$13:$U$173,15,FALSE)*$F16,0)</f>
        <v>0</v>
      </c>
      <c r="Y16" s="76">
        <f ca="1">IF($J16&lt;&gt;0,VLOOKUP($L16,'Allocation Factors - N'!$B$13:$U$173,16,FALSE)*$J16,0)+IF($F16&lt;&gt;0,VLOOKUP($H16,'Allocation Factors - N'!$B$13:$U$173,16,FALSE)*$F16,0)</f>
        <v>0</v>
      </c>
      <c r="Z16" s="76">
        <f ca="1">IF($J16&lt;&gt;0,VLOOKUP($L16,'Allocation Factors - N'!$B$13:$U$173,17,FALSE)*$J16,0)+IF($F16&lt;&gt;0,VLOOKUP($H16,'Allocation Factors - N'!$B$13:$U$173,17,FALSE)*$F16,0)</f>
        <v>0</v>
      </c>
      <c r="AA16" s="76">
        <f ca="1">IF($J16&lt;&gt;0,VLOOKUP($L16,'Allocation Factors - N'!$B$13:$U$173,18,FALSE)*$J16,0)+IF($F16&lt;&gt;0,VLOOKUP($H16,'Allocation Factors - N'!$B$13:$U$173,18,FALSE)*$F16,0)</f>
        <v>1506.2943698291006</v>
      </c>
      <c r="AB16" s="76">
        <f ca="1">IF($J16&lt;&gt;0,VLOOKUP($L16,'Allocation Factors - N'!$B$13:$U$173,19,FALSE)*$J16,0)+IF($F16&lt;&gt;0,VLOOKUP($H16,'Allocation Factors - N'!$B$13:$U$173,19,FALSE)*$F16,0)</f>
        <v>0</v>
      </c>
      <c r="AC16" s="76">
        <f ca="1">IF($J16&lt;&gt;0,VLOOKUP($L16,'Allocation Factors - N'!$B$13:$U$173,20,FALSE)*$J16,0)+IF($F16&lt;&gt;0,VLOOKUP($H16,'Allocation Factors - N'!$B$13:$U$173,20,FALSE)*$F16,0)</f>
        <v>0</v>
      </c>
    </row>
    <row r="17" spans="1:29" x14ac:dyDescent="0.25">
      <c r="A17" s="2">
        <f t="shared" ref="A17:A21" si="1">A16+1</f>
        <v>3</v>
      </c>
      <c r="B17" s="31" t="s">
        <v>353</v>
      </c>
      <c r="D17" s="76">
        <f ca="1">'Total Allocation by Rate Zone'!P17</f>
        <v>1935.8745702546512</v>
      </c>
      <c r="J17" s="76">
        <f t="shared" ca="1" si="0"/>
        <v>1935.8745702546512</v>
      </c>
      <c r="L17" s="2" t="s">
        <v>447</v>
      </c>
      <c r="N17" s="76">
        <f ca="1">IF($J17&lt;&gt;0,VLOOKUP($L17,'Allocation Factors - N'!$B$13:$U$173,5,FALSE)*$J17,0)+IF($F17&lt;&gt;0,VLOOKUP($H17,'Allocation Factors - N'!$B$13:$U$173,5,FALSE)*$F17,0)</f>
        <v>1374.2678737086503</v>
      </c>
      <c r="O17" s="76">
        <f ca="1">IF($J17&lt;&gt;0,VLOOKUP($L17,'Allocation Factors - N'!$B$13:$U$173,6,FALSE)*$J17,0)+IF($F17&lt;&gt;0,VLOOKUP($H17,'Allocation Factors - N'!$B$13:$U$173,6,FALSE)*$F17,0)</f>
        <v>414.82351596745332</v>
      </c>
      <c r="P17" s="76">
        <f ca="1">IF($J17&lt;&gt;0,VLOOKUP($L17,'Allocation Factors - N'!$B$13:$U$173,7,FALSE)*$J17,0)+IF($F17&lt;&gt;0,VLOOKUP($H17,'Allocation Factors - N'!$B$13:$U$173,7,FALSE)*$F17,0)</f>
        <v>55.747392681069236</v>
      </c>
      <c r="Q17" s="76"/>
      <c r="R17" s="76"/>
      <c r="S17" s="76">
        <f ca="1">IF($J17&lt;&gt;0,VLOOKUP($L17,'Allocation Factors - N'!$B$13:$U$173,10,FALSE)*$J17,0)+IF($F17&lt;&gt;0,VLOOKUP($H17,'Allocation Factors - N'!$B$13:$U$173,10,FALSE)*$F17,0)</f>
        <v>0</v>
      </c>
      <c r="T17" s="76">
        <f ca="1">IF($J17&lt;&gt;0,VLOOKUP($L17,'Allocation Factors - N'!$B$13:$U$173,11,FALSE)*$J17,0)+IF($F17&lt;&gt;0,VLOOKUP($H17,'Allocation Factors - N'!$B$13:$U$173,11,FALSE)*$F17,0)</f>
        <v>0</v>
      </c>
      <c r="U17" s="76">
        <f ca="1">IF($J17&lt;&gt;0,VLOOKUP($L17,'Allocation Factors - N'!$B$13:$U$173,12,FALSE)*$J17,0)+IF($F17&lt;&gt;0,VLOOKUP($H17,'Allocation Factors - N'!$B$13:$U$173,12,FALSE)*$F17,0)</f>
        <v>0</v>
      </c>
      <c r="V17" s="76">
        <f ca="1">IF($J17&lt;&gt;0,VLOOKUP($L17,'Allocation Factors - N'!$B$13:$U$173,13,FALSE)*$J17,0)+IF($F17&lt;&gt;0,VLOOKUP($H17,'Allocation Factors - N'!$B$13:$U$173,13,FALSE)*$F17,0)</f>
        <v>0</v>
      </c>
      <c r="W17" s="76">
        <f ca="1">IF($J17&lt;&gt;0,VLOOKUP($L17,'Allocation Factors - N'!$B$13:$U$173,14,FALSE)*$J17,0)+IF($F17&lt;&gt;0,VLOOKUP($H17,'Allocation Factors - N'!$B$13:$U$173,14,FALSE)*$F17,0)</f>
        <v>0</v>
      </c>
      <c r="X17" s="76">
        <f ca="1">IF($J17&lt;&gt;0,VLOOKUP($L17,'Allocation Factors - N'!$B$13:$U$173,15,FALSE)*$J17,0)+IF($F17&lt;&gt;0,VLOOKUP($H17,'Allocation Factors - N'!$B$13:$U$173,15,FALSE)*$F17,0)</f>
        <v>0</v>
      </c>
      <c r="Y17" s="76">
        <f ca="1">IF($J17&lt;&gt;0,VLOOKUP($L17,'Allocation Factors - N'!$B$13:$U$173,16,FALSE)*$J17,0)+IF($F17&lt;&gt;0,VLOOKUP($H17,'Allocation Factors - N'!$B$13:$U$173,16,FALSE)*$F17,0)</f>
        <v>0</v>
      </c>
      <c r="Z17" s="76">
        <f ca="1">IF($J17&lt;&gt;0,VLOOKUP($L17,'Allocation Factors - N'!$B$13:$U$173,17,FALSE)*$J17,0)+IF($F17&lt;&gt;0,VLOOKUP($H17,'Allocation Factors - N'!$B$13:$U$173,17,FALSE)*$F17,0)</f>
        <v>0</v>
      </c>
      <c r="AA17" s="76">
        <f ca="1">IF($J17&lt;&gt;0,VLOOKUP($L17,'Allocation Factors - N'!$B$13:$U$173,18,FALSE)*$J17,0)+IF($F17&lt;&gt;0,VLOOKUP($H17,'Allocation Factors - N'!$B$13:$U$173,18,FALSE)*$F17,0)</f>
        <v>91.035787897478329</v>
      </c>
      <c r="AB17" s="76">
        <f ca="1">IF($J17&lt;&gt;0,VLOOKUP($L17,'Allocation Factors - N'!$B$13:$U$173,19,FALSE)*$J17,0)+IF($F17&lt;&gt;0,VLOOKUP($H17,'Allocation Factors - N'!$B$13:$U$173,19,FALSE)*$F17,0)</f>
        <v>0</v>
      </c>
      <c r="AC17" s="76">
        <f ca="1">IF($J17&lt;&gt;0,VLOOKUP($L17,'Allocation Factors - N'!$B$13:$U$173,20,FALSE)*$J17,0)+IF($F17&lt;&gt;0,VLOOKUP($H17,'Allocation Factors - N'!$B$13:$U$173,20,FALSE)*$F17,0)</f>
        <v>0</v>
      </c>
    </row>
    <row r="18" spans="1:29" x14ac:dyDescent="0.25">
      <c r="A18" s="2">
        <f t="shared" si="1"/>
        <v>4</v>
      </c>
      <c r="B18" s="31" t="s">
        <v>355</v>
      </c>
      <c r="D18" s="76">
        <f ca="1">'Total Allocation by Rate Zone'!P18</f>
        <v>15139.615264700324</v>
      </c>
      <c r="F18" s="48">
        <f>'Rate Zone Allocation Factors'!F19</f>
        <v>-1498.8754307544818</v>
      </c>
      <c r="H18" s="2" t="s">
        <v>448</v>
      </c>
      <c r="J18" s="76">
        <f t="shared" ca="1" si="0"/>
        <v>16638.490695454806</v>
      </c>
      <c r="L18" s="2" t="s">
        <v>449</v>
      </c>
      <c r="N18" s="76">
        <f ca="1">IF($J18&lt;&gt;0,VLOOKUP($L18,'Allocation Factors - N'!$B$13:$U$173,5,FALSE)*$J18,0)+IF($F18&lt;&gt;0,VLOOKUP($H18,'Allocation Factors - N'!$B$13:$U$173,5,FALSE)*$F18,0)</f>
        <v>10380.647686749342</v>
      </c>
      <c r="O18" s="76">
        <f ca="1">IF($J18&lt;&gt;0,VLOOKUP($L18,'Allocation Factors - N'!$B$13:$U$173,6,FALSE)*$J18,0)+IF($F18&lt;&gt;0,VLOOKUP($H18,'Allocation Factors - N'!$B$13:$U$173,6,FALSE)*$F18,0)</f>
        <v>3017.853814633329</v>
      </c>
      <c r="P18" s="76">
        <f ca="1">IF($J18&lt;&gt;0,VLOOKUP($L18,'Allocation Factors - N'!$B$13:$U$173,7,FALSE)*$J18,0)+IF($F18&lt;&gt;0,VLOOKUP($H18,'Allocation Factors - N'!$B$13:$U$173,7,FALSE)*$F18,0)</f>
        <v>1468.9305392586853</v>
      </c>
      <c r="Q18" s="76"/>
      <c r="R18" s="76"/>
      <c r="S18" s="76">
        <f ca="1">IF($J18&lt;&gt;0,VLOOKUP($L18,'Allocation Factors - N'!$B$13:$U$173,10,FALSE)*$J18,0)+IF($F18&lt;&gt;0,VLOOKUP($H18,'Allocation Factors - N'!$B$13:$U$173,10,FALSE)*$F18,0)</f>
        <v>0</v>
      </c>
      <c r="T18" s="76">
        <f ca="1">IF($J18&lt;&gt;0,VLOOKUP($L18,'Allocation Factors - N'!$B$13:$U$173,11,FALSE)*$J18,0)+IF($F18&lt;&gt;0,VLOOKUP($H18,'Allocation Factors - N'!$B$13:$U$173,11,FALSE)*$F18,0)</f>
        <v>0</v>
      </c>
      <c r="U18" s="76">
        <f ca="1">IF($J18&lt;&gt;0,VLOOKUP($L18,'Allocation Factors - N'!$B$13:$U$173,12,FALSE)*$J18,0)+IF($F18&lt;&gt;0,VLOOKUP($H18,'Allocation Factors - N'!$B$13:$U$173,12,FALSE)*$F18,0)</f>
        <v>0</v>
      </c>
      <c r="V18" s="76">
        <f ca="1">IF($J18&lt;&gt;0,VLOOKUP($L18,'Allocation Factors - N'!$B$13:$U$173,13,FALSE)*$J18,0)+IF($F18&lt;&gt;0,VLOOKUP($H18,'Allocation Factors - N'!$B$13:$U$173,13,FALSE)*$F18,0)</f>
        <v>0</v>
      </c>
      <c r="W18" s="76">
        <f ca="1">IF($J18&lt;&gt;0,VLOOKUP($L18,'Allocation Factors - N'!$B$13:$U$173,14,FALSE)*$J18,0)+IF($F18&lt;&gt;0,VLOOKUP($H18,'Allocation Factors - N'!$B$13:$U$173,14,FALSE)*$F18,0)</f>
        <v>0</v>
      </c>
      <c r="X18" s="76">
        <f ca="1">IF($J18&lt;&gt;0,VLOOKUP($L18,'Allocation Factors - N'!$B$13:$U$173,15,FALSE)*$J18,0)+IF($F18&lt;&gt;0,VLOOKUP($H18,'Allocation Factors - N'!$B$13:$U$173,15,FALSE)*$F18,0)</f>
        <v>0</v>
      </c>
      <c r="Y18" s="76">
        <f ca="1">IF($J18&lt;&gt;0,VLOOKUP($L18,'Allocation Factors - N'!$B$13:$U$173,16,FALSE)*$J18,0)+IF($F18&lt;&gt;0,VLOOKUP($H18,'Allocation Factors - N'!$B$13:$U$173,16,FALSE)*$F18,0)</f>
        <v>73.763335089255932</v>
      </c>
      <c r="Z18" s="76">
        <f ca="1">IF($J18&lt;&gt;0,VLOOKUP($L18,'Allocation Factors - N'!$B$13:$U$173,17,FALSE)*$J18,0)+IF($F18&lt;&gt;0,VLOOKUP($H18,'Allocation Factors - N'!$B$13:$U$173,17,FALSE)*$F18,0)</f>
        <v>0</v>
      </c>
      <c r="AA18" s="76">
        <f ca="1">IF($J18&lt;&gt;0,VLOOKUP($L18,'Allocation Factors - N'!$B$13:$U$173,18,FALSE)*$J18,0)+IF($F18&lt;&gt;0,VLOOKUP($H18,'Allocation Factors - N'!$B$13:$U$173,18,FALSE)*$F18,0)</f>
        <v>198.41988896971054</v>
      </c>
      <c r="AB18" s="76">
        <f ca="1">IF($J18&lt;&gt;0,VLOOKUP($L18,'Allocation Factors - N'!$B$13:$U$173,19,FALSE)*$J18,0)+IF($F18&lt;&gt;0,VLOOKUP($H18,'Allocation Factors - N'!$B$13:$U$173,19,FALSE)*$F18,0)</f>
        <v>0</v>
      </c>
      <c r="AC18" s="76">
        <f ca="1">IF($J18&lt;&gt;0,VLOOKUP($L18,'Allocation Factors - N'!$B$13:$U$173,20,FALSE)*$J18,0)+IF($F18&lt;&gt;0,VLOOKUP($H18,'Allocation Factors - N'!$B$13:$U$173,20,FALSE)*$F18,0)</f>
        <v>0</v>
      </c>
    </row>
    <row r="19" spans="1:29" x14ac:dyDescent="0.25">
      <c r="A19" s="2">
        <f t="shared" si="1"/>
        <v>5</v>
      </c>
      <c r="B19" s="31" t="s">
        <v>358</v>
      </c>
      <c r="D19" s="76">
        <f ca="1">'Total Allocation by Rate Zone'!P19</f>
        <v>2349.3688172958259</v>
      </c>
      <c r="J19" s="76">
        <f t="shared" ca="1" si="0"/>
        <v>2349.3688172958259</v>
      </c>
      <c r="L19" s="2" t="s">
        <v>450</v>
      </c>
      <c r="N19" s="76">
        <f ca="1">IF($J19&lt;&gt;0,VLOOKUP($L19,'Allocation Factors - N'!$B$13:$U$173,5,FALSE)*$J19,0)+IF($F19&lt;&gt;0,VLOOKUP($H19,'Allocation Factors - N'!$B$13:$U$173,5,FALSE)*$F19,0)</f>
        <v>1698.826202629187</v>
      </c>
      <c r="O19" s="76">
        <f ca="1">IF($J19&lt;&gt;0,VLOOKUP($L19,'Allocation Factors - N'!$B$13:$U$173,6,FALSE)*$J19,0)+IF($F19&lt;&gt;0,VLOOKUP($H19,'Allocation Factors - N'!$B$13:$U$173,6,FALSE)*$F19,0)</f>
        <v>493.88143117002204</v>
      </c>
      <c r="P19" s="76">
        <f ca="1">IF($J19&lt;&gt;0,VLOOKUP($L19,'Allocation Factors - N'!$B$13:$U$173,7,FALSE)*$J19,0)+IF($F19&lt;&gt;0,VLOOKUP($H19,'Allocation Factors - N'!$B$13:$U$173,7,FALSE)*$F19,0)</f>
        <v>128.92991199392404</v>
      </c>
      <c r="Q19" s="76"/>
      <c r="R19" s="76"/>
      <c r="S19" s="76">
        <f ca="1">IF($J19&lt;&gt;0,VLOOKUP($L19,'Allocation Factors - N'!$B$13:$U$173,10,FALSE)*$J19,0)+IF($F19&lt;&gt;0,VLOOKUP($H19,'Allocation Factors - N'!$B$13:$U$173,10,FALSE)*$F19,0)</f>
        <v>0</v>
      </c>
      <c r="T19" s="76">
        <f ca="1">IF($J19&lt;&gt;0,VLOOKUP($L19,'Allocation Factors - N'!$B$13:$U$173,11,FALSE)*$J19,0)+IF($F19&lt;&gt;0,VLOOKUP($H19,'Allocation Factors - N'!$B$13:$U$173,11,FALSE)*$F19,0)</f>
        <v>0</v>
      </c>
      <c r="U19" s="76">
        <f ca="1">IF($J19&lt;&gt;0,VLOOKUP($L19,'Allocation Factors - N'!$B$13:$U$173,12,FALSE)*$J19,0)+IF($F19&lt;&gt;0,VLOOKUP($H19,'Allocation Factors - N'!$B$13:$U$173,12,FALSE)*$F19,0)</f>
        <v>0</v>
      </c>
      <c r="V19" s="76">
        <f ca="1">IF($J19&lt;&gt;0,VLOOKUP($L19,'Allocation Factors - N'!$B$13:$U$173,13,FALSE)*$J19,0)+IF($F19&lt;&gt;0,VLOOKUP($H19,'Allocation Factors - N'!$B$13:$U$173,13,FALSE)*$F19,0)</f>
        <v>0</v>
      </c>
      <c r="W19" s="76">
        <f ca="1">IF($J19&lt;&gt;0,VLOOKUP($L19,'Allocation Factors - N'!$B$13:$U$173,14,FALSE)*$J19,0)+IF($F19&lt;&gt;0,VLOOKUP($H19,'Allocation Factors - N'!$B$13:$U$173,14,FALSE)*$F19,0)</f>
        <v>0</v>
      </c>
      <c r="X19" s="76">
        <f ca="1">IF($J19&lt;&gt;0,VLOOKUP($L19,'Allocation Factors - N'!$B$13:$U$173,15,FALSE)*$J19,0)+IF($F19&lt;&gt;0,VLOOKUP($H19,'Allocation Factors - N'!$B$13:$U$173,15,FALSE)*$F19,0)</f>
        <v>0</v>
      </c>
      <c r="Y19" s="76">
        <f ca="1">IF($J19&lt;&gt;0,VLOOKUP($L19,'Allocation Factors - N'!$B$13:$U$173,16,FALSE)*$J19,0)+IF($F19&lt;&gt;0,VLOOKUP($H19,'Allocation Factors - N'!$B$13:$U$173,16,FALSE)*$F19,0)</f>
        <v>13.368528836563286</v>
      </c>
      <c r="Z19" s="76">
        <f ca="1">IF($J19&lt;&gt;0,VLOOKUP($L19,'Allocation Factors - N'!$B$13:$U$173,17,FALSE)*$J19,0)+IF($F19&lt;&gt;0,VLOOKUP($H19,'Allocation Factors - N'!$B$13:$U$173,17,FALSE)*$F19,0)</f>
        <v>0</v>
      </c>
      <c r="AA19" s="76">
        <f ca="1">IF($J19&lt;&gt;0,VLOOKUP($L19,'Allocation Factors - N'!$B$13:$U$173,18,FALSE)*$J19,0)+IF($F19&lt;&gt;0,VLOOKUP($H19,'Allocation Factors - N'!$B$13:$U$173,18,FALSE)*$F19,0)</f>
        <v>14.362742666130009</v>
      </c>
      <c r="AB19" s="76">
        <f ca="1">IF($J19&lt;&gt;0,VLOOKUP($L19,'Allocation Factors - N'!$B$13:$U$173,19,FALSE)*$J19,0)+IF($F19&lt;&gt;0,VLOOKUP($H19,'Allocation Factors - N'!$B$13:$U$173,19,FALSE)*$F19,0)</f>
        <v>0</v>
      </c>
      <c r="AC19" s="76">
        <f ca="1">IF($J19&lt;&gt;0,VLOOKUP($L19,'Allocation Factors - N'!$B$13:$U$173,20,FALSE)*$J19,0)+IF($F19&lt;&gt;0,VLOOKUP($H19,'Allocation Factors - N'!$B$13:$U$173,20,FALSE)*$F19,0)</f>
        <v>0</v>
      </c>
    </row>
    <row r="20" spans="1:29" x14ac:dyDescent="0.25">
      <c r="A20" s="2">
        <f t="shared" si="1"/>
        <v>6</v>
      </c>
      <c r="B20" s="31" t="s">
        <v>178</v>
      </c>
      <c r="D20" s="76">
        <f ca="1">'Total Allocation by Rate Zone'!P20</f>
        <v>925.77960019655279</v>
      </c>
      <c r="J20" s="76">
        <f t="shared" ca="1" si="0"/>
        <v>925.77960019655279</v>
      </c>
      <c r="L20" s="2" t="s">
        <v>445</v>
      </c>
      <c r="N20" s="76">
        <f ca="1">IF($J20&lt;&gt;0,VLOOKUP($L20,'Allocation Factors - N'!$B$13:$U$173,5,FALSE)*$J20,0)+IF($F20&lt;&gt;0,VLOOKUP($H20,'Allocation Factors - N'!$B$13:$U$173,5,FALSE)*$F20,0)</f>
        <v>777.57065355101781</v>
      </c>
      <c r="O20" s="76">
        <f ca="1">IF($J20&lt;&gt;0,VLOOKUP($L20,'Allocation Factors - N'!$B$13:$U$173,6,FALSE)*$J20,0)+IF($F20&lt;&gt;0,VLOOKUP($H20,'Allocation Factors - N'!$B$13:$U$173,6,FALSE)*$F20,0)</f>
        <v>128.68230175433442</v>
      </c>
      <c r="P20" s="76">
        <f ca="1">IF($J20&lt;&gt;0,VLOOKUP($L20,'Allocation Factors - N'!$B$13:$U$173,7,FALSE)*$J20,0)+IF($F20&lt;&gt;0,VLOOKUP($H20,'Allocation Factors - N'!$B$13:$U$173,7,FALSE)*$F20,0)</f>
        <v>13.039210241263831</v>
      </c>
      <c r="Q20" s="76"/>
      <c r="R20" s="76"/>
      <c r="S20" s="76">
        <f ca="1">IF($J20&lt;&gt;0,VLOOKUP($L20,'Allocation Factors - N'!$B$13:$U$173,10,FALSE)*$J20,0)+IF($F20&lt;&gt;0,VLOOKUP($H20,'Allocation Factors - N'!$B$13:$U$173,10,FALSE)*$F20,0)</f>
        <v>0</v>
      </c>
      <c r="T20" s="76">
        <f ca="1">IF($J20&lt;&gt;0,VLOOKUP($L20,'Allocation Factors - N'!$B$13:$U$173,11,FALSE)*$J20,0)+IF($F20&lt;&gt;0,VLOOKUP($H20,'Allocation Factors - N'!$B$13:$U$173,11,FALSE)*$F20,0)</f>
        <v>0</v>
      </c>
      <c r="U20" s="76">
        <f ca="1">IF($J20&lt;&gt;0,VLOOKUP($L20,'Allocation Factors - N'!$B$13:$U$173,12,FALSE)*$J20,0)+IF($F20&lt;&gt;0,VLOOKUP($H20,'Allocation Factors - N'!$B$13:$U$173,12,FALSE)*$F20,0)</f>
        <v>0</v>
      </c>
      <c r="V20" s="76">
        <f ca="1">IF($J20&lt;&gt;0,VLOOKUP($L20,'Allocation Factors - N'!$B$13:$U$173,13,FALSE)*$J20,0)+IF($F20&lt;&gt;0,VLOOKUP($H20,'Allocation Factors - N'!$B$13:$U$173,13,FALSE)*$F20,0)</f>
        <v>0</v>
      </c>
      <c r="W20" s="76">
        <f ca="1">IF($J20&lt;&gt;0,VLOOKUP($L20,'Allocation Factors - N'!$B$13:$U$173,14,FALSE)*$J20,0)+IF($F20&lt;&gt;0,VLOOKUP($H20,'Allocation Factors - N'!$B$13:$U$173,14,FALSE)*$F20,0)</f>
        <v>0</v>
      </c>
      <c r="X20" s="76">
        <f ca="1">IF($J20&lt;&gt;0,VLOOKUP($L20,'Allocation Factors - N'!$B$13:$U$173,15,FALSE)*$J20,0)+IF($F20&lt;&gt;0,VLOOKUP($H20,'Allocation Factors - N'!$B$13:$U$173,15,FALSE)*$F20,0)</f>
        <v>0</v>
      </c>
      <c r="Y20" s="76">
        <f ca="1">IF($J20&lt;&gt;0,VLOOKUP($L20,'Allocation Factors - N'!$B$13:$U$173,16,FALSE)*$J20,0)+IF($F20&lt;&gt;0,VLOOKUP($H20,'Allocation Factors - N'!$B$13:$U$173,16,FALSE)*$F20,0)</f>
        <v>6.4874346499367563</v>
      </c>
      <c r="Z20" s="76">
        <f ca="1">IF($J20&lt;&gt;0,VLOOKUP($L20,'Allocation Factors - N'!$B$13:$U$173,17,FALSE)*$J20,0)+IF($F20&lt;&gt;0,VLOOKUP($H20,'Allocation Factors - N'!$B$13:$U$173,17,FALSE)*$F20,0)</f>
        <v>0</v>
      </c>
      <c r="AA20" s="76">
        <f ca="1">IF($J20&lt;&gt;0,VLOOKUP($L20,'Allocation Factors - N'!$B$13:$U$173,18,FALSE)*$J20,0)+IF($F20&lt;&gt;0,VLOOKUP($H20,'Allocation Factors - N'!$B$13:$U$173,18,FALSE)*$F20,0)</f>
        <v>0</v>
      </c>
      <c r="AB20" s="76">
        <f ca="1">IF($J20&lt;&gt;0,VLOOKUP($L20,'Allocation Factors - N'!$B$13:$U$173,19,FALSE)*$J20,0)+IF($F20&lt;&gt;0,VLOOKUP($H20,'Allocation Factors - N'!$B$13:$U$173,19,FALSE)*$F20,0)</f>
        <v>0</v>
      </c>
      <c r="AC20" s="76">
        <f ca="1">IF($J20&lt;&gt;0,VLOOKUP($L20,'Allocation Factors - N'!$B$13:$U$173,20,FALSE)*$J20,0)+IF($F20&lt;&gt;0,VLOOKUP($H20,'Allocation Factors - N'!$B$13:$U$173,20,FALSE)*$F20,0)</f>
        <v>0</v>
      </c>
    </row>
    <row r="21" spans="1:29" x14ac:dyDescent="0.25">
      <c r="A21" s="2">
        <f t="shared" si="1"/>
        <v>7</v>
      </c>
      <c r="B21" s="31" t="s">
        <v>361</v>
      </c>
      <c r="D21" s="78">
        <f ca="1">SUM(D15:D20)</f>
        <v>150671.18870660526</v>
      </c>
      <c r="F21" s="78">
        <f>SUM(F15:F20)</f>
        <v>-1498.8754307544818</v>
      </c>
      <c r="J21" s="40">
        <f ca="1">SUM(J15:J20)</f>
        <v>152170.06413735976</v>
      </c>
      <c r="N21" s="40">
        <f t="shared" ref="N21:AB21" ca="1" si="2">SUM(N15:N20)</f>
        <v>120079.42009456764</v>
      </c>
      <c r="O21" s="40">
        <f t="shared" ca="1" si="2"/>
        <v>24079.200984284504</v>
      </c>
      <c r="P21" s="40">
        <f t="shared" ca="1" si="2"/>
        <v>3879.1081132219524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823.3467251687739</v>
      </c>
      <c r="Z21" s="40">
        <f ca="1">SUM(Z15:Z20)</f>
        <v>0</v>
      </c>
      <c r="AA21" s="40">
        <f t="shared" ca="1" si="2"/>
        <v>1810.1127893624193</v>
      </c>
      <c r="AB21" s="40">
        <f t="shared" ca="1" si="2"/>
        <v>0</v>
      </c>
      <c r="AC21" s="40">
        <f ca="1">SUM(AC15:AC20)</f>
        <v>0</v>
      </c>
    </row>
    <row r="22" spans="1:29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1:29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1:29" x14ac:dyDescent="0.25">
      <c r="A24" s="2">
        <f>A21+1</f>
        <v>8</v>
      </c>
      <c r="B24" s="31" t="s">
        <v>363</v>
      </c>
      <c r="D24" s="76">
        <f ca="1">'Total Allocation by Rate Zone'!P24</f>
        <v>5101.0219418402321</v>
      </c>
      <c r="J24" s="76">
        <f t="shared" ref="J24:J27" ca="1" si="3">D24-F24</f>
        <v>5101.0219418402321</v>
      </c>
      <c r="L24" s="2" t="s">
        <v>447</v>
      </c>
      <c r="N24" s="76">
        <f ca="1">IF($J24&lt;&gt;0,VLOOKUP($L24,'Allocation Factors - N'!$B$13:$U$173,5,FALSE)*$J24,0)+IF($F24&lt;&gt;0,VLOOKUP($H24,'Allocation Factors - N'!$B$13:$U$173,5,FALSE)*$F24,0)</f>
        <v>3621.190486960013</v>
      </c>
      <c r="O24" s="76">
        <f ca="1">IF($J24&lt;&gt;0,VLOOKUP($L24,'Allocation Factors - N'!$B$13:$U$173,6,FALSE)*$J24,0)+IF($F24&lt;&gt;0,VLOOKUP($H24,'Allocation Factors - N'!$B$13:$U$173,6,FALSE)*$F24,0)</f>
        <v>1093.0583465761124</v>
      </c>
      <c r="P24" s="76">
        <f ca="1">IF($J24&lt;&gt;0,VLOOKUP($L24,'Allocation Factors - N'!$B$13:$U$173,7,FALSE)*$J24,0)+IF($F24&lt;&gt;0,VLOOKUP($H24,'Allocation Factors - N'!$B$13:$U$173,7,FALSE)*$F24,0)</f>
        <v>146.89416227473404</v>
      </c>
      <c r="Q24" s="76"/>
      <c r="R24" s="76"/>
      <c r="S24" s="76">
        <f ca="1">IF($J24&lt;&gt;0,VLOOKUP($L24,'Allocation Factors - N'!$B$13:$U$173,10,FALSE)*$J24,0)+IF($F24&lt;&gt;0,VLOOKUP($H24,'Allocation Factors - N'!$B$13:$U$173,10,FALSE)*$F24,0)</f>
        <v>0</v>
      </c>
      <c r="T24" s="76">
        <f ca="1">IF($J24&lt;&gt;0,VLOOKUP($L24,'Allocation Factors - N'!$B$13:$U$173,11,FALSE)*$J24,0)+IF($F24&lt;&gt;0,VLOOKUP($H24,'Allocation Factors - N'!$B$13:$U$173,11,FALSE)*$F24,0)</f>
        <v>0</v>
      </c>
      <c r="U24" s="76">
        <f ca="1">IF($J24&lt;&gt;0,VLOOKUP($L24,'Allocation Factors - N'!$B$13:$U$173,12,FALSE)*$J24,0)+IF($F24&lt;&gt;0,VLOOKUP($H24,'Allocation Factors - N'!$B$13:$U$173,12,FALSE)*$F24,0)</f>
        <v>0</v>
      </c>
      <c r="V24" s="76">
        <f ca="1">IF($J24&lt;&gt;0,VLOOKUP($L24,'Allocation Factors - N'!$B$13:$U$173,13,FALSE)*$J24,0)+IF($F24&lt;&gt;0,VLOOKUP($H24,'Allocation Factors - N'!$B$13:$U$173,13,FALSE)*$F24,0)</f>
        <v>0</v>
      </c>
      <c r="W24" s="76">
        <f ca="1">IF($J24&lt;&gt;0,VLOOKUP($L24,'Allocation Factors - N'!$B$13:$U$173,14,FALSE)*$J24,0)+IF($F24&lt;&gt;0,VLOOKUP($H24,'Allocation Factors - N'!$B$13:$U$173,14,FALSE)*$F24,0)</f>
        <v>0</v>
      </c>
      <c r="X24" s="76">
        <f ca="1">IF($J24&lt;&gt;0,VLOOKUP($L24,'Allocation Factors - N'!$B$13:$U$173,15,FALSE)*$J24,0)+IF($F24&lt;&gt;0,VLOOKUP($H24,'Allocation Factors - N'!$B$13:$U$173,15,FALSE)*$F24,0)</f>
        <v>0</v>
      </c>
      <c r="Y24" s="76">
        <f ca="1">IF($J24&lt;&gt;0,VLOOKUP($L24,'Allocation Factors - N'!$B$13:$U$173,16,FALSE)*$J24,0)+IF($F24&lt;&gt;0,VLOOKUP($H24,'Allocation Factors - N'!$B$13:$U$173,16,FALSE)*$F24,0)</f>
        <v>0</v>
      </c>
      <c r="Z24" s="76">
        <f ca="1">IF($J24&lt;&gt;0,VLOOKUP($L24,'Allocation Factors - N'!$B$13:$U$173,17,FALSE)*$J24,0)+IF($F24&lt;&gt;0,VLOOKUP($H24,'Allocation Factors - N'!$B$13:$U$173,17,FALSE)*$F24,0)</f>
        <v>0</v>
      </c>
      <c r="AA24" s="76">
        <f ca="1">IF($J24&lt;&gt;0,VLOOKUP($L24,'Allocation Factors - N'!$B$13:$U$173,18,FALSE)*$J24,0)+IF($F24&lt;&gt;0,VLOOKUP($H24,'Allocation Factors - N'!$B$13:$U$173,18,FALSE)*$F24,0)</f>
        <v>239.87894602937266</v>
      </c>
      <c r="AB24" s="76">
        <f ca="1">IF($J24&lt;&gt;0,VLOOKUP($L24,'Allocation Factors - N'!$B$13:$U$173,19,FALSE)*$J24,0)+IF($F24&lt;&gt;0,VLOOKUP($H24,'Allocation Factors - N'!$B$13:$U$173,19,FALSE)*$F24,0)</f>
        <v>0</v>
      </c>
      <c r="AC24" s="76">
        <f ca="1">IF($J24&lt;&gt;0,VLOOKUP($L24,'Allocation Factors - N'!$B$13:$U$173,20,FALSE)*$J24,0)+IF($F24&lt;&gt;0,VLOOKUP($H24,'Allocation Factors - N'!$B$13:$U$173,20,FALSE)*$F24,0)</f>
        <v>0</v>
      </c>
    </row>
    <row r="25" spans="1:29" x14ac:dyDescent="0.25">
      <c r="A25" s="2">
        <f>A24+1</f>
        <v>9</v>
      </c>
      <c r="B25" s="31" t="s">
        <v>364</v>
      </c>
      <c r="D25" s="76">
        <f ca="1">'Total Allocation by Rate Zone'!P25</f>
        <v>3854.1306153863579</v>
      </c>
      <c r="F25" s="76">
        <f>'Rate Zone Allocation Factors'!F13</f>
        <v>1607.9389000323333</v>
      </c>
      <c r="H25" s="2" t="s">
        <v>451</v>
      </c>
      <c r="J25" s="76">
        <f t="shared" ca="1" si="3"/>
        <v>2246.1917153540244</v>
      </c>
      <c r="L25" s="2" t="s">
        <v>452</v>
      </c>
      <c r="N25" s="76">
        <f ca="1">IF($J25&lt;&gt;0,VLOOKUP($L25,'Allocation Factors - N'!$B$13:$U$173,5,FALSE)*$J25,0)+IF($F25&lt;&gt;0,VLOOKUP($H25,'Allocation Factors - N'!$B$13:$U$173,5,FALSE)*$F25,0)</f>
        <v>2965.2112734170896</v>
      </c>
      <c r="O25" s="76">
        <f ca="1">IF($J25&lt;&gt;0,VLOOKUP($L25,'Allocation Factors - N'!$B$13:$U$173,6,FALSE)*$J25,0)+IF($F25&lt;&gt;0,VLOOKUP($H25,'Allocation Factors - N'!$B$13:$U$173,6,FALSE)*$F25,0)</f>
        <v>629.9896172072846</v>
      </c>
      <c r="P25" s="76">
        <f ca="1">IF($J25&lt;&gt;0,VLOOKUP($L25,'Allocation Factors - N'!$B$13:$U$173,7,FALSE)*$J25,0)+IF($F25&lt;&gt;0,VLOOKUP($H25,'Allocation Factors - N'!$B$13:$U$173,7,FALSE)*$F25,0)</f>
        <v>82.581666148349569</v>
      </c>
      <c r="Q25" s="76"/>
      <c r="R25" s="76"/>
      <c r="S25" s="76">
        <f ca="1">IF($J25&lt;&gt;0,VLOOKUP($L25,'Allocation Factors - N'!$B$13:$U$173,10,FALSE)*$J25,0)+IF($F25&lt;&gt;0,VLOOKUP($H25,'Allocation Factors - N'!$B$13:$U$173,10,FALSE)*$F25,0)</f>
        <v>0</v>
      </c>
      <c r="T25" s="76">
        <f ca="1">IF($J25&lt;&gt;0,VLOOKUP($L25,'Allocation Factors - N'!$B$13:$U$173,11,FALSE)*$J25,0)+IF($F25&lt;&gt;0,VLOOKUP($H25,'Allocation Factors - N'!$B$13:$U$173,11,FALSE)*$F25,0)</f>
        <v>0</v>
      </c>
      <c r="U25" s="76">
        <f ca="1">IF($J25&lt;&gt;0,VLOOKUP($L25,'Allocation Factors - N'!$B$13:$U$173,12,FALSE)*$J25,0)+IF($F25&lt;&gt;0,VLOOKUP($H25,'Allocation Factors - N'!$B$13:$U$173,12,FALSE)*$F25,0)</f>
        <v>0</v>
      </c>
      <c r="V25" s="76">
        <f ca="1">IF($J25&lt;&gt;0,VLOOKUP($L25,'Allocation Factors - N'!$B$13:$U$173,13,FALSE)*$J25,0)+IF($F25&lt;&gt;0,VLOOKUP($H25,'Allocation Factors - N'!$B$13:$U$173,13,FALSE)*$F25,0)</f>
        <v>0</v>
      </c>
      <c r="W25" s="76">
        <f ca="1">IF($J25&lt;&gt;0,VLOOKUP($L25,'Allocation Factors - N'!$B$13:$U$173,14,FALSE)*$J25,0)+IF($F25&lt;&gt;0,VLOOKUP($H25,'Allocation Factors - N'!$B$13:$U$173,14,FALSE)*$F25,0)</f>
        <v>0</v>
      </c>
      <c r="X25" s="76">
        <f ca="1">IF($J25&lt;&gt;0,VLOOKUP($L25,'Allocation Factors - N'!$B$13:$U$173,15,FALSE)*$J25,0)+IF($F25&lt;&gt;0,VLOOKUP($H25,'Allocation Factors - N'!$B$13:$U$173,15,FALSE)*$F25,0)</f>
        <v>0</v>
      </c>
      <c r="Y25" s="76">
        <f ca="1">IF($J25&lt;&gt;0,VLOOKUP($L25,'Allocation Factors - N'!$B$13:$U$173,16,FALSE)*$J25,0)+IF($F25&lt;&gt;0,VLOOKUP($H25,'Allocation Factors - N'!$B$13:$U$173,16,FALSE)*$F25,0)</f>
        <v>0</v>
      </c>
      <c r="Z25" s="76">
        <f ca="1">IF($J25&lt;&gt;0,VLOOKUP($L25,'Allocation Factors - N'!$B$13:$U$173,17,FALSE)*$J25,0)+IF($F25&lt;&gt;0,VLOOKUP($H25,'Allocation Factors - N'!$B$13:$U$173,17,FALSE)*$F25,0)</f>
        <v>0</v>
      </c>
      <c r="AA25" s="76">
        <f ca="1">IF($J25&lt;&gt;0,VLOOKUP($L25,'Allocation Factors - N'!$B$13:$U$173,18,FALSE)*$J25,0)+IF($F25&lt;&gt;0,VLOOKUP($H25,'Allocation Factors - N'!$B$13:$U$173,18,FALSE)*$F25,0)</f>
        <v>176.3480586136339</v>
      </c>
      <c r="AB25" s="76">
        <f ca="1">IF($J25&lt;&gt;0,VLOOKUP($L25,'Allocation Factors - N'!$B$13:$U$173,19,FALSE)*$J25,0)+IF($F25&lt;&gt;0,VLOOKUP($H25,'Allocation Factors - N'!$B$13:$U$173,19,FALSE)*$F25,0)</f>
        <v>0</v>
      </c>
      <c r="AC25" s="76">
        <f ca="1">IF($J25&lt;&gt;0,VLOOKUP($L25,'Allocation Factors - N'!$B$13:$U$173,20,FALSE)*$J25,0)+IF($F25&lt;&gt;0,VLOOKUP($H25,'Allocation Factors - N'!$B$13:$U$173,20,FALSE)*$F25,0)</f>
        <v>0</v>
      </c>
    </row>
    <row r="26" spans="1:29" x14ac:dyDescent="0.25">
      <c r="A26" s="2">
        <f t="shared" ref="A26:A28" si="4">A25+1</f>
        <v>10</v>
      </c>
      <c r="B26" s="31" t="s">
        <v>367</v>
      </c>
      <c r="D26" s="76">
        <f ca="1">'Total Allocation by Rate Zone'!P26</f>
        <v>290.91065568303998</v>
      </c>
      <c r="J26" s="76">
        <f t="shared" ca="1" si="3"/>
        <v>290.91065568303998</v>
      </c>
      <c r="L26" s="2" t="s">
        <v>453</v>
      </c>
      <c r="N26" s="76">
        <f ca="1">IF($J26&lt;&gt;0,VLOOKUP($L26,'Allocation Factors - N'!$B$13:$U$173,5,FALSE)*$J26,0)+IF($F26&lt;&gt;0,VLOOKUP($H26,'Allocation Factors - N'!$B$13:$U$173,5,FALSE)*$F26,0)</f>
        <v>210.15859365674689</v>
      </c>
      <c r="O26" s="76">
        <f ca="1">IF($J26&lt;&gt;0,VLOOKUP($L26,'Allocation Factors - N'!$B$13:$U$173,6,FALSE)*$J26,0)+IF($F26&lt;&gt;0,VLOOKUP($H26,'Allocation Factors - N'!$B$13:$U$173,6,FALSE)*$F26,0)</f>
        <v>55.300602219860934</v>
      </c>
      <c r="P26" s="76">
        <f ca="1">IF($J26&lt;&gt;0,VLOOKUP($L26,'Allocation Factors - N'!$B$13:$U$173,7,FALSE)*$J26,0)+IF($F26&lt;&gt;0,VLOOKUP($H26,'Allocation Factors - N'!$B$13:$U$173,7,FALSE)*$F26,0)</f>
        <v>2.4775090311483998</v>
      </c>
      <c r="Q26" s="76"/>
      <c r="R26" s="76"/>
      <c r="S26" s="76">
        <f ca="1">IF($J26&lt;&gt;0,VLOOKUP($L26,'Allocation Factors - N'!$B$13:$U$173,10,FALSE)*$J26,0)+IF($F26&lt;&gt;0,VLOOKUP($H26,'Allocation Factors - N'!$B$13:$U$173,10,FALSE)*$F26,0)</f>
        <v>0</v>
      </c>
      <c r="T26" s="76">
        <f ca="1">IF($J26&lt;&gt;0,VLOOKUP($L26,'Allocation Factors - N'!$B$13:$U$173,11,FALSE)*$J26,0)+IF($F26&lt;&gt;0,VLOOKUP($H26,'Allocation Factors - N'!$B$13:$U$173,11,FALSE)*$F26,0)</f>
        <v>0</v>
      </c>
      <c r="U26" s="76">
        <f ca="1">IF($J26&lt;&gt;0,VLOOKUP($L26,'Allocation Factors - N'!$B$13:$U$173,12,FALSE)*$J26,0)+IF($F26&lt;&gt;0,VLOOKUP($H26,'Allocation Factors - N'!$B$13:$U$173,12,FALSE)*$F26,0)</f>
        <v>9.6583954691469547</v>
      </c>
      <c r="V26" s="76">
        <f ca="1">IF($J26&lt;&gt;0,VLOOKUP($L26,'Allocation Factors - N'!$B$13:$U$173,13,FALSE)*$J26,0)+IF($F26&lt;&gt;0,VLOOKUP($H26,'Allocation Factors - N'!$B$13:$U$173,13,FALSE)*$F26,0)</f>
        <v>0.64708243918607711</v>
      </c>
      <c r="W26" s="76">
        <f ca="1">IF($J26&lt;&gt;0,VLOOKUP($L26,'Allocation Factors - N'!$B$13:$U$173,14,FALSE)*$J26,0)+IF($F26&lt;&gt;0,VLOOKUP($H26,'Allocation Factors - N'!$B$13:$U$173,14,FALSE)*$F26,0)</f>
        <v>7.5263845377124676</v>
      </c>
      <c r="X26" s="76">
        <f ca="1">IF($J26&lt;&gt;0,VLOOKUP($L26,'Allocation Factors - N'!$B$13:$U$173,15,FALSE)*$J26,0)+IF($F26&lt;&gt;0,VLOOKUP($H26,'Allocation Factors - N'!$B$13:$U$173,15,FALSE)*$F26,0)</f>
        <v>0.82550700625819806</v>
      </c>
      <c r="Y26" s="76">
        <f ca="1">IF($J26&lt;&gt;0,VLOOKUP($L26,'Allocation Factors - N'!$B$13:$U$173,16,FALSE)*$J26,0)+IF($F26&lt;&gt;0,VLOOKUP($H26,'Allocation Factors - N'!$B$13:$U$173,16,FALSE)*$F26,0)</f>
        <v>8.4002014876614947E-2</v>
      </c>
      <c r="Z26" s="76">
        <f ca="1">IF($J26&lt;&gt;0,VLOOKUP($L26,'Allocation Factors - N'!$B$13:$U$173,17,FALSE)*$J26,0)+IF($F26&lt;&gt;0,VLOOKUP($H26,'Allocation Factors - N'!$B$13:$U$173,17,FALSE)*$F26,0)</f>
        <v>0</v>
      </c>
      <c r="AA26" s="76">
        <f ca="1">IF($J26&lt;&gt;0,VLOOKUP($L26,'Allocation Factors - N'!$B$13:$U$173,18,FALSE)*$J26,0)+IF($F26&lt;&gt;0,VLOOKUP($H26,'Allocation Factors - N'!$B$13:$U$173,18,FALSE)*$F26,0)</f>
        <v>4.2325793081033849</v>
      </c>
      <c r="AB26" s="76">
        <f ca="1">IF($J26&lt;&gt;0,VLOOKUP($L26,'Allocation Factors - N'!$B$13:$U$173,19,FALSE)*$J26,0)+IF($F26&lt;&gt;0,VLOOKUP($H26,'Allocation Factors - N'!$B$13:$U$173,19,FALSE)*$F26,0)</f>
        <v>0</v>
      </c>
      <c r="AC26" s="76">
        <f ca="1">IF($J26&lt;&gt;0,VLOOKUP($L26,'Allocation Factors - N'!$B$13:$U$173,20,FALSE)*$J26,0)+IF($F26&lt;&gt;0,VLOOKUP($H26,'Allocation Factors - N'!$B$13:$U$173,20,FALSE)*$F26,0)</f>
        <v>0</v>
      </c>
    </row>
    <row r="27" spans="1:29" x14ac:dyDescent="0.25">
      <c r="A27" s="2">
        <f t="shared" si="4"/>
        <v>11</v>
      </c>
      <c r="B27" s="31" t="s">
        <v>369</v>
      </c>
      <c r="D27" s="76">
        <f ca="1">'Total Allocation by Rate Zone'!P27</f>
        <v>656.84290940717995</v>
      </c>
      <c r="J27" s="76">
        <f t="shared" ca="1" si="3"/>
        <v>656.84290940717995</v>
      </c>
      <c r="L27" s="2" t="s">
        <v>454</v>
      </c>
      <c r="N27" s="76">
        <f ca="1">IF($J27&lt;&gt;0,VLOOKUP($L27,'Allocation Factors - N'!$B$13:$U$173,5,FALSE)*$J27,0)+IF($F27&lt;&gt;0,VLOOKUP($H27,'Allocation Factors - N'!$B$13:$U$173,5,FALSE)*$F27,0)</f>
        <v>467.06144065671231</v>
      </c>
      <c r="O27" s="76">
        <f ca="1">IF($J27&lt;&gt;0,VLOOKUP($L27,'Allocation Factors - N'!$B$13:$U$173,6,FALSE)*$J27,0)+IF($F27&lt;&gt;0,VLOOKUP($H27,'Allocation Factors - N'!$B$13:$U$173,6,FALSE)*$F27,0)</f>
        <v>135.78373844179501</v>
      </c>
      <c r="P27" s="76">
        <f ca="1">IF($J27&lt;&gt;0,VLOOKUP($L27,'Allocation Factors - N'!$B$13:$U$173,7,FALSE)*$J27,0)+IF($F27&lt;&gt;0,VLOOKUP($H27,'Allocation Factors - N'!$B$13:$U$173,7,FALSE)*$F27,0)</f>
        <v>35.150183877896318</v>
      </c>
      <c r="Q27" s="76"/>
      <c r="R27" s="76"/>
      <c r="S27" s="76">
        <f ca="1">IF($J27&lt;&gt;0,VLOOKUP($L27,'Allocation Factors - N'!$B$13:$U$173,10,FALSE)*$J27,0)+IF($F27&lt;&gt;0,VLOOKUP($H27,'Allocation Factors - N'!$B$13:$U$173,10,FALSE)*$F27,0)</f>
        <v>0</v>
      </c>
      <c r="T27" s="76">
        <f ca="1">IF($J27&lt;&gt;0,VLOOKUP($L27,'Allocation Factors - N'!$B$13:$U$173,11,FALSE)*$J27,0)+IF($F27&lt;&gt;0,VLOOKUP($H27,'Allocation Factors - N'!$B$13:$U$173,11,FALSE)*$F27,0)</f>
        <v>0</v>
      </c>
      <c r="U27" s="76">
        <f ca="1">IF($J27&lt;&gt;0,VLOOKUP($L27,'Allocation Factors - N'!$B$13:$U$173,12,FALSE)*$J27,0)+IF($F27&lt;&gt;0,VLOOKUP($H27,'Allocation Factors - N'!$B$13:$U$173,12,FALSE)*$F27,0)</f>
        <v>0</v>
      </c>
      <c r="V27" s="76">
        <f ca="1">IF($J27&lt;&gt;0,VLOOKUP($L27,'Allocation Factors - N'!$B$13:$U$173,13,FALSE)*$J27,0)+IF($F27&lt;&gt;0,VLOOKUP($H27,'Allocation Factors - N'!$B$13:$U$173,13,FALSE)*$F27,0)</f>
        <v>0</v>
      </c>
      <c r="W27" s="76">
        <f ca="1">IF($J27&lt;&gt;0,VLOOKUP($L27,'Allocation Factors - N'!$B$13:$U$173,14,FALSE)*$J27,0)+IF($F27&lt;&gt;0,VLOOKUP($H27,'Allocation Factors - N'!$B$13:$U$173,14,FALSE)*$F27,0)</f>
        <v>0</v>
      </c>
      <c r="X27" s="76">
        <f ca="1">IF($J27&lt;&gt;0,VLOOKUP($L27,'Allocation Factors - N'!$B$13:$U$173,15,FALSE)*$J27,0)+IF($F27&lt;&gt;0,VLOOKUP($H27,'Allocation Factors - N'!$B$13:$U$173,15,FALSE)*$F27,0)</f>
        <v>0</v>
      </c>
      <c r="Y27" s="76">
        <f ca="1">IF($J27&lt;&gt;0,VLOOKUP($L27,'Allocation Factors - N'!$B$13:$U$173,16,FALSE)*$J27,0)+IF($F27&lt;&gt;0,VLOOKUP($H27,'Allocation Factors - N'!$B$13:$U$173,16,FALSE)*$F27,0)</f>
        <v>3.6427895623212567</v>
      </c>
      <c r="Z27" s="76">
        <f ca="1">IF($J27&lt;&gt;0,VLOOKUP($L27,'Allocation Factors - N'!$B$13:$U$173,17,FALSE)*$J27,0)+IF($F27&lt;&gt;0,VLOOKUP($H27,'Allocation Factors - N'!$B$13:$U$173,17,FALSE)*$F27,0)</f>
        <v>0</v>
      </c>
      <c r="AA27" s="76">
        <f ca="1">IF($J27&lt;&gt;0,VLOOKUP($L27,'Allocation Factors - N'!$B$13:$U$173,18,FALSE)*$J27,0)+IF($F27&lt;&gt;0,VLOOKUP($H27,'Allocation Factors - N'!$B$13:$U$173,18,FALSE)*$F27,0)</f>
        <v>15.20475686845505</v>
      </c>
      <c r="AB27" s="76">
        <f ca="1">IF($J27&lt;&gt;0,VLOOKUP($L27,'Allocation Factors - N'!$B$13:$U$173,19,FALSE)*$J27,0)+IF($F27&lt;&gt;0,VLOOKUP($H27,'Allocation Factors - N'!$B$13:$U$173,19,FALSE)*$F27,0)</f>
        <v>0</v>
      </c>
      <c r="AC27" s="76">
        <f ca="1">IF($J27&lt;&gt;0,VLOOKUP($L27,'Allocation Factors - N'!$B$13:$U$173,20,FALSE)*$J27,0)+IF($F27&lt;&gt;0,VLOOKUP($H27,'Allocation Factors - N'!$B$13:$U$173,20,FALSE)*$F27,0)</f>
        <v>0</v>
      </c>
    </row>
    <row r="28" spans="1:29" x14ac:dyDescent="0.25">
      <c r="A28" s="2">
        <f t="shared" si="4"/>
        <v>12</v>
      </c>
      <c r="B28" s="31" t="s">
        <v>371</v>
      </c>
      <c r="D28" s="40">
        <f ca="1">SUM(D24:D27)</f>
        <v>9902.9061223168083</v>
      </c>
      <c r="F28" s="40">
        <f>SUM(F24:F27)</f>
        <v>1607.9389000323333</v>
      </c>
      <c r="H28" s="115"/>
      <c r="J28" s="40">
        <f ca="1">SUM(J24:J27)</f>
        <v>8294.9672222844765</v>
      </c>
      <c r="N28" s="40">
        <f t="shared" ref="N28:AB28" ca="1" si="5">SUM(N24:N27)</f>
        <v>7263.6217946905617</v>
      </c>
      <c r="O28" s="40">
        <f t="shared" ca="1" si="5"/>
        <v>1914.132304445053</v>
      </c>
      <c r="P28" s="40">
        <f t="shared" ca="1" si="5"/>
        <v>267.10352133212831</v>
      </c>
      <c r="Q28" s="40"/>
      <c r="R28" s="40"/>
      <c r="S28" s="40">
        <f t="shared" ca="1" si="5"/>
        <v>0</v>
      </c>
      <c r="T28" s="40">
        <f t="shared" ca="1" si="5"/>
        <v>0</v>
      </c>
      <c r="U28" s="40">
        <f t="shared" ca="1" si="5"/>
        <v>9.6583954691469547</v>
      </c>
      <c r="V28" s="40">
        <f t="shared" ca="1" si="5"/>
        <v>0.64708243918607711</v>
      </c>
      <c r="W28" s="40">
        <f t="shared" ca="1" si="5"/>
        <v>7.5263845377124676</v>
      </c>
      <c r="X28" s="40">
        <f t="shared" ca="1" si="5"/>
        <v>0.82550700625819806</v>
      </c>
      <c r="Y28" s="40">
        <f t="shared" ca="1" si="5"/>
        <v>3.7267915771978717</v>
      </c>
      <c r="Z28" s="40">
        <f ca="1">SUM(Z24:Z27)</f>
        <v>0</v>
      </c>
      <c r="AA28" s="40">
        <f t="shared" ca="1" si="5"/>
        <v>435.66434081956498</v>
      </c>
      <c r="AB28" s="40">
        <f t="shared" ca="1" si="5"/>
        <v>0</v>
      </c>
      <c r="AC28" s="40">
        <f ca="1">SUM(AC24:AC27)</f>
        <v>0</v>
      </c>
    </row>
    <row r="29" spans="1:29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1:29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  <row r="31" spans="1:29" x14ac:dyDescent="0.25">
      <c r="A31" s="2">
        <f>A28+1</f>
        <v>13</v>
      </c>
      <c r="B31" s="31" t="s">
        <v>373</v>
      </c>
      <c r="D31" s="76">
        <f ca="1">'Total Allocation by Rate Zone'!P31</f>
        <v>346.55278235722216</v>
      </c>
      <c r="J31" s="76">
        <f t="shared" ref="J31:J38" ca="1" si="6">D31-F31</f>
        <v>346.55278235722216</v>
      </c>
      <c r="L31" s="2" t="s">
        <v>455</v>
      </c>
      <c r="N31" s="76">
        <f ca="1">IF($J31&lt;&gt;0,VLOOKUP($L31,'Allocation Factors - N'!$B$13:$U$173,5,FALSE)*$J31,0)+IF($F31&lt;&gt;0,VLOOKUP($H31,'Allocation Factors - N'!$B$13:$U$173,5,FALSE)*$F31,0)</f>
        <v>249.10716288497355</v>
      </c>
      <c r="O31" s="76">
        <f ca="1">IF($J31&lt;&gt;0,VLOOKUP($L31,'Allocation Factors - N'!$B$13:$U$173,6,FALSE)*$J31,0)+IF($F31&lt;&gt;0,VLOOKUP($H31,'Allocation Factors - N'!$B$13:$U$173,6,FALSE)*$F31,0)</f>
        <v>73.227900424519547</v>
      </c>
      <c r="P31" s="76">
        <f ca="1">IF($J31&lt;&gt;0,VLOOKUP($L31,'Allocation Factors - N'!$B$13:$U$173,7,FALSE)*$J31,0)+IF($F31&lt;&gt;0,VLOOKUP($H31,'Allocation Factors - N'!$B$13:$U$173,7,FALSE)*$F31,0)</f>
        <v>12.639457368732403</v>
      </c>
      <c r="Q31" s="76"/>
      <c r="R31" s="76"/>
      <c r="S31" s="76">
        <f ca="1">IF($J31&lt;&gt;0,VLOOKUP($L31,'Allocation Factors - N'!$B$13:$U$173,10,FALSE)*$J31,0)+IF($F31&lt;&gt;0,VLOOKUP($H31,'Allocation Factors - N'!$B$13:$U$173,10,FALSE)*$F31,0)</f>
        <v>0</v>
      </c>
      <c r="T31" s="76">
        <f ca="1">IF($J31&lt;&gt;0,VLOOKUP($L31,'Allocation Factors - N'!$B$13:$U$173,11,FALSE)*$J31,0)+IF($F31&lt;&gt;0,VLOOKUP($H31,'Allocation Factors - N'!$B$13:$U$173,11,FALSE)*$F31,0)</f>
        <v>0</v>
      </c>
      <c r="U31" s="76">
        <f ca="1">IF($J31&lt;&gt;0,VLOOKUP($L31,'Allocation Factors - N'!$B$13:$U$173,12,FALSE)*$J31,0)+IF($F31&lt;&gt;0,VLOOKUP($H31,'Allocation Factors - N'!$B$13:$U$173,12,FALSE)*$F31,0)</f>
        <v>0</v>
      </c>
      <c r="V31" s="76">
        <f ca="1">IF($J31&lt;&gt;0,VLOOKUP($L31,'Allocation Factors - N'!$B$13:$U$173,13,FALSE)*$J31,0)+IF($F31&lt;&gt;0,VLOOKUP($H31,'Allocation Factors - N'!$B$13:$U$173,13,FALSE)*$F31,0)</f>
        <v>0</v>
      </c>
      <c r="W31" s="76">
        <f ca="1">IF($J31&lt;&gt;0,VLOOKUP($L31,'Allocation Factors - N'!$B$13:$U$173,14,FALSE)*$J31,0)+IF($F31&lt;&gt;0,VLOOKUP($H31,'Allocation Factors - N'!$B$13:$U$173,14,FALSE)*$F31,0)</f>
        <v>0</v>
      </c>
      <c r="X31" s="76">
        <f ca="1">IF($J31&lt;&gt;0,VLOOKUP($L31,'Allocation Factors - N'!$B$13:$U$173,15,FALSE)*$J31,0)+IF($F31&lt;&gt;0,VLOOKUP($H31,'Allocation Factors - N'!$B$13:$U$173,15,FALSE)*$F31,0)</f>
        <v>0</v>
      </c>
      <c r="Y31" s="76">
        <f ca="1">IF($J31&lt;&gt;0,VLOOKUP($L31,'Allocation Factors - N'!$B$13:$U$173,16,FALSE)*$J31,0)+IF($F31&lt;&gt;0,VLOOKUP($H31,'Allocation Factors - N'!$B$13:$U$173,16,FALSE)*$F31,0)</f>
        <v>0</v>
      </c>
      <c r="Z31" s="76">
        <f ca="1">IF($J31&lt;&gt;0,VLOOKUP($L31,'Allocation Factors - N'!$B$13:$U$173,17,FALSE)*$J31,0)+IF($F31&lt;&gt;0,VLOOKUP($H31,'Allocation Factors - N'!$B$13:$U$173,17,FALSE)*$F31,0)</f>
        <v>0</v>
      </c>
      <c r="AA31" s="76">
        <f ca="1">IF($J31&lt;&gt;0,VLOOKUP($L31,'Allocation Factors - N'!$B$13:$U$173,18,FALSE)*$J31,0)+IF($F31&lt;&gt;0,VLOOKUP($H31,'Allocation Factors - N'!$B$13:$U$173,18,FALSE)*$F31,0)</f>
        <v>11.578261678996595</v>
      </c>
      <c r="AB31" s="76">
        <f ca="1">IF($J31&lt;&gt;0,VLOOKUP($L31,'Allocation Factors - N'!$B$13:$U$173,19,FALSE)*$J31,0)+IF($F31&lt;&gt;0,VLOOKUP($H31,'Allocation Factors - N'!$B$13:$U$173,19,FALSE)*$F31,0)</f>
        <v>0</v>
      </c>
      <c r="AC31" s="76">
        <f ca="1">IF($J31&lt;&gt;0,VLOOKUP($L31,'Allocation Factors - N'!$B$13:$U$173,20,FALSE)*$J31,0)+IF($F31&lt;&gt;0,VLOOKUP($H31,'Allocation Factors - N'!$B$13:$U$173,20,FALSE)*$F31,0)</f>
        <v>0</v>
      </c>
    </row>
    <row r="32" spans="1:29" x14ac:dyDescent="0.25">
      <c r="A32" s="2">
        <f>A31+1</f>
        <v>14</v>
      </c>
      <c r="B32" s="31" t="s">
        <v>375</v>
      </c>
      <c r="D32" s="76">
        <f ca="1">'Total Allocation by Rate Zone'!P32</f>
        <v>0</v>
      </c>
      <c r="J32" s="76">
        <f t="shared" ca="1" si="6"/>
        <v>0</v>
      </c>
      <c r="L32" s="2" t="s">
        <v>456</v>
      </c>
      <c r="N32" s="76">
        <f ca="1">IF($J32&lt;&gt;0,VLOOKUP($L32,'Allocation Factors - N'!$B$13:$U$173,5,FALSE)*$J32,0)+IF($F32&lt;&gt;0,VLOOKUP($H32,'Allocation Factors - N'!$B$13:$U$173,5,FALSE)*$F32,0)</f>
        <v>0</v>
      </c>
      <c r="O32" s="76">
        <f ca="1">IF($J32&lt;&gt;0,VLOOKUP($L32,'Allocation Factors - N'!$B$13:$U$173,6,FALSE)*$J32,0)+IF($F32&lt;&gt;0,VLOOKUP($H32,'Allocation Factors - N'!$B$13:$U$173,6,FALSE)*$F32,0)</f>
        <v>0</v>
      </c>
      <c r="P32" s="76">
        <f ca="1">IF($J32&lt;&gt;0,VLOOKUP($L32,'Allocation Factors - N'!$B$13:$U$173,7,FALSE)*$J32,0)+IF($F32&lt;&gt;0,VLOOKUP($H32,'Allocation Factors - N'!$B$13:$U$173,7,FALSE)*$F32,0)</f>
        <v>0</v>
      </c>
      <c r="Q32" s="76"/>
      <c r="R32" s="76"/>
      <c r="S32" s="76">
        <f ca="1">IF($J32&lt;&gt;0,VLOOKUP($L32,'Allocation Factors - N'!$B$13:$U$173,10,FALSE)*$J32,0)+IF($F32&lt;&gt;0,VLOOKUP($H32,'Allocation Factors - N'!$B$13:$U$173,10,FALSE)*$F32,0)</f>
        <v>0</v>
      </c>
      <c r="T32" s="76">
        <f ca="1">IF($J32&lt;&gt;0,VLOOKUP($L32,'Allocation Factors - N'!$B$13:$U$173,11,FALSE)*$J32,0)+IF($F32&lt;&gt;0,VLOOKUP($H32,'Allocation Factors - N'!$B$13:$U$173,11,FALSE)*$F32,0)</f>
        <v>0</v>
      </c>
      <c r="U32" s="76">
        <f ca="1">IF($J32&lt;&gt;0,VLOOKUP($L32,'Allocation Factors - N'!$B$13:$U$173,12,FALSE)*$J32,0)+IF($F32&lt;&gt;0,VLOOKUP($H32,'Allocation Factors - N'!$B$13:$U$173,12,FALSE)*$F32,0)</f>
        <v>0</v>
      </c>
      <c r="V32" s="76">
        <f ca="1">IF($J32&lt;&gt;0,VLOOKUP($L32,'Allocation Factors - N'!$B$13:$U$173,13,FALSE)*$J32,0)+IF($F32&lt;&gt;0,VLOOKUP($H32,'Allocation Factors - N'!$B$13:$U$173,13,FALSE)*$F32,0)</f>
        <v>0</v>
      </c>
      <c r="W32" s="76">
        <f ca="1">IF($J32&lt;&gt;0,VLOOKUP($L32,'Allocation Factors - N'!$B$13:$U$173,14,FALSE)*$J32,0)+IF($F32&lt;&gt;0,VLOOKUP($H32,'Allocation Factors - N'!$B$13:$U$173,14,FALSE)*$F32,0)</f>
        <v>0</v>
      </c>
      <c r="X32" s="76">
        <f ca="1">IF($J32&lt;&gt;0,VLOOKUP($L32,'Allocation Factors - N'!$B$13:$U$173,15,FALSE)*$J32,0)+IF($F32&lt;&gt;0,VLOOKUP($H32,'Allocation Factors - N'!$B$13:$U$173,15,FALSE)*$F32,0)</f>
        <v>0</v>
      </c>
      <c r="Y32" s="76">
        <f ca="1">IF($J32&lt;&gt;0,VLOOKUP($L32,'Allocation Factors - N'!$B$13:$U$173,16,FALSE)*$J32,0)+IF($F32&lt;&gt;0,VLOOKUP($H32,'Allocation Factors - N'!$B$13:$U$173,16,FALSE)*$F32,0)</f>
        <v>0</v>
      </c>
      <c r="Z32" s="76">
        <f ca="1">IF($J32&lt;&gt;0,VLOOKUP($L32,'Allocation Factors - N'!$B$13:$U$173,17,FALSE)*$J32,0)+IF($F32&lt;&gt;0,VLOOKUP($H32,'Allocation Factors - N'!$B$13:$U$173,17,FALSE)*$F32,0)</f>
        <v>0</v>
      </c>
      <c r="AA32" s="76">
        <f ca="1">IF($J32&lt;&gt;0,VLOOKUP($L32,'Allocation Factors - N'!$B$13:$U$173,18,FALSE)*$J32,0)+IF($F32&lt;&gt;0,VLOOKUP($H32,'Allocation Factors - N'!$B$13:$U$173,18,FALSE)*$F32,0)</f>
        <v>0</v>
      </c>
      <c r="AB32" s="76">
        <f ca="1">IF($J32&lt;&gt;0,VLOOKUP($L32,'Allocation Factors - N'!$B$13:$U$173,19,FALSE)*$J32,0)+IF($F32&lt;&gt;0,VLOOKUP($H32,'Allocation Factors - N'!$B$13:$U$173,19,FALSE)*$F32,0)</f>
        <v>0</v>
      </c>
      <c r="AC32" s="76">
        <f ca="1">IF($J32&lt;&gt;0,VLOOKUP($L32,'Allocation Factors - N'!$B$13:$U$173,20,FALSE)*$J32,0)+IF($F32&lt;&gt;0,VLOOKUP($H32,'Allocation Factors - N'!$B$13:$U$173,20,FALSE)*$F32,0)</f>
        <v>0</v>
      </c>
    </row>
    <row r="33" spans="1:29" x14ac:dyDescent="0.25">
      <c r="A33" s="2">
        <f t="shared" ref="A33:A39" si="7">A32+1</f>
        <v>15</v>
      </c>
      <c r="B33" s="31" t="s">
        <v>377</v>
      </c>
      <c r="D33" s="76">
        <f ca="1">'Total Allocation by Rate Zone'!P33</f>
        <v>2246.0811933588025</v>
      </c>
      <c r="J33" s="76">
        <f t="shared" ca="1" si="6"/>
        <v>2246.0811933588025</v>
      </c>
      <c r="L33" s="2" t="s">
        <v>457</v>
      </c>
      <c r="N33" s="76">
        <f ca="1">IF($J33&lt;&gt;0,VLOOKUP($L33,'Allocation Factors - N'!$B$13:$U$173,5,FALSE)*$J33,0)+IF($F33&lt;&gt;0,VLOOKUP($H33,'Allocation Factors - N'!$B$13:$U$173,5,FALSE)*$F33,0)</f>
        <v>1622.4388326326716</v>
      </c>
      <c r="O33" s="76">
        <f ca="1">IF($J33&lt;&gt;0,VLOOKUP($L33,'Allocation Factors - N'!$B$13:$U$173,6,FALSE)*$J33,0)+IF($F33&lt;&gt;0,VLOOKUP($H33,'Allocation Factors - N'!$B$13:$U$173,6,FALSE)*$F33,0)</f>
        <v>476.9344562595299</v>
      </c>
      <c r="P33" s="76">
        <f ca="1">IF($J33&lt;&gt;0,VLOOKUP($L33,'Allocation Factors - N'!$B$13:$U$173,7,FALSE)*$J33,0)+IF($F33&lt;&gt;0,VLOOKUP($H33,'Allocation Factors - N'!$B$13:$U$173,7,FALSE)*$F33,0)</f>
        <v>76.5682474269003</v>
      </c>
      <c r="Q33" s="76"/>
      <c r="R33" s="76"/>
      <c r="S33" s="76">
        <f ca="1">IF($J33&lt;&gt;0,VLOOKUP($L33,'Allocation Factors - N'!$B$13:$U$173,10,FALSE)*$J33,0)+IF($F33&lt;&gt;0,VLOOKUP($H33,'Allocation Factors - N'!$B$13:$U$173,10,FALSE)*$F33,0)</f>
        <v>0</v>
      </c>
      <c r="T33" s="76">
        <f ca="1">IF($J33&lt;&gt;0,VLOOKUP($L33,'Allocation Factors - N'!$B$13:$U$173,11,FALSE)*$J33,0)+IF($F33&lt;&gt;0,VLOOKUP($H33,'Allocation Factors - N'!$B$13:$U$173,11,FALSE)*$F33,0)</f>
        <v>0</v>
      </c>
      <c r="U33" s="76">
        <f ca="1">IF($J33&lt;&gt;0,VLOOKUP($L33,'Allocation Factors - N'!$B$13:$U$173,12,FALSE)*$J33,0)+IF($F33&lt;&gt;0,VLOOKUP($H33,'Allocation Factors - N'!$B$13:$U$173,12,FALSE)*$F33,0)</f>
        <v>0</v>
      </c>
      <c r="V33" s="76">
        <f ca="1">IF($J33&lt;&gt;0,VLOOKUP($L33,'Allocation Factors - N'!$B$13:$U$173,13,FALSE)*$J33,0)+IF($F33&lt;&gt;0,VLOOKUP($H33,'Allocation Factors - N'!$B$13:$U$173,13,FALSE)*$F33,0)</f>
        <v>0</v>
      </c>
      <c r="W33" s="76">
        <f ca="1">IF($J33&lt;&gt;0,VLOOKUP($L33,'Allocation Factors - N'!$B$13:$U$173,14,FALSE)*$J33,0)+IF($F33&lt;&gt;0,VLOOKUP($H33,'Allocation Factors - N'!$B$13:$U$173,14,FALSE)*$F33,0)</f>
        <v>0</v>
      </c>
      <c r="X33" s="76">
        <f ca="1">IF($J33&lt;&gt;0,VLOOKUP($L33,'Allocation Factors - N'!$B$13:$U$173,15,FALSE)*$J33,0)+IF($F33&lt;&gt;0,VLOOKUP($H33,'Allocation Factors - N'!$B$13:$U$173,15,FALSE)*$F33,0)</f>
        <v>0</v>
      </c>
      <c r="Y33" s="76">
        <f ca="1">IF($J33&lt;&gt;0,VLOOKUP($L33,'Allocation Factors - N'!$B$13:$U$173,16,FALSE)*$J33,0)+IF($F33&lt;&gt;0,VLOOKUP($H33,'Allocation Factors - N'!$B$13:$U$173,16,FALSE)*$F33,0)</f>
        <v>0</v>
      </c>
      <c r="Z33" s="76">
        <f ca="1">IF($J33&lt;&gt;0,VLOOKUP($L33,'Allocation Factors - N'!$B$13:$U$173,17,FALSE)*$J33,0)+IF($F33&lt;&gt;0,VLOOKUP($H33,'Allocation Factors - N'!$B$13:$U$173,17,FALSE)*$F33,0)</f>
        <v>0</v>
      </c>
      <c r="AA33" s="76">
        <f ca="1">IF($J33&lt;&gt;0,VLOOKUP($L33,'Allocation Factors - N'!$B$13:$U$173,18,FALSE)*$J33,0)+IF($F33&lt;&gt;0,VLOOKUP($H33,'Allocation Factors - N'!$B$13:$U$173,18,FALSE)*$F33,0)</f>
        <v>70.139657039700765</v>
      </c>
      <c r="AB33" s="76">
        <f ca="1">IF($J33&lt;&gt;0,VLOOKUP($L33,'Allocation Factors - N'!$B$13:$U$173,19,FALSE)*$J33,0)+IF($F33&lt;&gt;0,VLOOKUP($H33,'Allocation Factors - N'!$B$13:$U$173,19,FALSE)*$F33,0)</f>
        <v>0</v>
      </c>
      <c r="AC33" s="76">
        <f ca="1">IF($J33&lt;&gt;0,VLOOKUP($L33,'Allocation Factors - N'!$B$13:$U$173,20,FALSE)*$J33,0)+IF($F33&lt;&gt;0,VLOOKUP($H33,'Allocation Factors - N'!$B$13:$U$173,20,FALSE)*$F33,0)</f>
        <v>0</v>
      </c>
    </row>
    <row r="34" spans="1:29" x14ac:dyDescent="0.25">
      <c r="A34" s="2">
        <f t="shared" si="7"/>
        <v>16</v>
      </c>
      <c r="B34" s="31" t="s">
        <v>379</v>
      </c>
      <c r="D34" s="76">
        <f ca="1">'Total Allocation by Rate Zone'!P34</f>
        <v>7589.6466546897955</v>
      </c>
      <c r="J34" s="76">
        <f t="shared" ca="1" si="6"/>
        <v>7589.6466546897955</v>
      </c>
      <c r="L34" s="2" t="s">
        <v>458</v>
      </c>
      <c r="N34" s="76">
        <f ca="1">IF($J34&lt;&gt;0,VLOOKUP($L34,'Allocation Factors - N'!$B$13:$U$173,5,FALSE)*$J34,0)+IF($F34&lt;&gt;0,VLOOKUP($H34,'Allocation Factors - N'!$B$13:$U$173,5,FALSE)*$F34,0)</f>
        <v>5455.548019523223</v>
      </c>
      <c r="O34" s="76">
        <f ca="1">IF($J34&lt;&gt;0,VLOOKUP($L34,'Allocation Factors - N'!$B$13:$U$173,6,FALSE)*$J34,0)+IF($F34&lt;&gt;0,VLOOKUP($H34,'Allocation Factors - N'!$B$13:$U$173,6,FALSE)*$F34,0)</f>
        <v>1603.7207541852247</v>
      </c>
      <c r="P34" s="76">
        <f ca="1">IF($J34&lt;&gt;0,VLOOKUP($L34,'Allocation Factors - N'!$B$13:$U$173,7,FALSE)*$J34,0)+IF($F34&lt;&gt;0,VLOOKUP($H34,'Allocation Factors - N'!$B$13:$U$173,7,FALSE)*$F34,0)</f>
        <v>276.80924874760285</v>
      </c>
      <c r="Q34" s="76"/>
      <c r="R34" s="76"/>
      <c r="S34" s="76">
        <f ca="1">IF($J34&lt;&gt;0,VLOOKUP($L34,'Allocation Factors - N'!$B$13:$U$173,10,FALSE)*$J34,0)+IF($F34&lt;&gt;0,VLOOKUP($H34,'Allocation Factors - N'!$B$13:$U$173,10,FALSE)*$F34,0)</f>
        <v>0</v>
      </c>
      <c r="T34" s="76">
        <f ca="1">IF($J34&lt;&gt;0,VLOOKUP($L34,'Allocation Factors - N'!$B$13:$U$173,11,FALSE)*$J34,0)+IF($F34&lt;&gt;0,VLOOKUP($H34,'Allocation Factors - N'!$B$13:$U$173,11,FALSE)*$F34,0)</f>
        <v>0</v>
      </c>
      <c r="U34" s="76">
        <f ca="1">IF($J34&lt;&gt;0,VLOOKUP($L34,'Allocation Factors - N'!$B$13:$U$173,12,FALSE)*$J34,0)+IF($F34&lt;&gt;0,VLOOKUP($H34,'Allocation Factors - N'!$B$13:$U$173,12,FALSE)*$F34,0)</f>
        <v>0</v>
      </c>
      <c r="V34" s="76">
        <f ca="1">IF($J34&lt;&gt;0,VLOOKUP($L34,'Allocation Factors - N'!$B$13:$U$173,13,FALSE)*$J34,0)+IF($F34&lt;&gt;0,VLOOKUP($H34,'Allocation Factors - N'!$B$13:$U$173,13,FALSE)*$F34,0)</f>
        <v>0</v>
      </c>
      <c r="W34" s="76">
        <f ca="1">IF($J34&lt;&gt;0,VLOOKUP($L34,'Allocation Factors - N'!$B$13:$U$173,14,FALSE)*$J34,0)+IF($F34&lt;&gt;0,VLOOKUP($H34,'Allocation Factors - N'!$B$13:$U$173,14,FALSE)*$F34,0)</f>
        <v>0</v>
      </c>
      <c r="X34" s="76">
        <f ca="1">IF($J34&lt;&gt;0,VLOOKUP($L34,'Allocation Factors - N'!$B$13:$U$173,15,FALSE)*$J34,0)+IF($F34&lt;&gt;0,VLOOKUP($H34,'Allocation Factors - N'!$B$13:$U$173,15,FALSE)*$F34,0)</f>
        <v>0</v>
      </c>
      <c r="Y34" s="76">
        <f ca="1">IF($J34&lt;&gt;0,VLOOKUP($L34,'Allocation Factors - N'!$B$13:$U$173,16,FALSE)*$J34,0)+IF($F34&lt;&gt;0,VLOOKUP($H34,'Allocation Factors - N'!$B$13:$U$173,16,FALSE)*$F34,0)</f>
        <v>0</v>
      </c>
      <c r="Z34" s="76">
        <f ca="1">IF($J34&lt;&gt;0,VLOOKUP($L34,'Allocation Factors - N'!$B$13:$U$173,17,FALSE)*$J34,0)+IF($F34&lt;&gt;0,VLOOKUP($H34,'Allocation Factors - N'!$B$13:$U$173,17,FALSE)*$F34,0)</f>
        <v>0</v>
      </c>
      <c r="AA34" s="76">
        <f ca="1">IF($J34&lt;&gt;0,VLOOKUP($L34,'Allocation Factors - N'!$B$13:$U$173,18,FALSE)*$J34,0)+IF($F34&lt;&gt;0,VLOOKUP($H34,'Allocation Factors - N'!$B$13:$U$173,18,FALSE)*$F34,0)</f>
        <v>253.56863223374515</v>
      </c>
      <c r="AB34" s="76">
        <f ca="1">IF($J34&lt;&gt;0,VLOOKUP($L34,'Allocation Factors - N'!$B$13:$U$173,19,FALSE)*$J34,0)+IF($F34&lt;&gt;0,VLOOKUP($H34,'Allocation Factors - N'!$B$13:$U$173,19,FALSE)*$F34,0)</f>
        <v>0</v>
      </c>
      <c r="AC34" s="76">
        <f ca="1">IF($J34&lt;&gt;0,VLOOKUP($L34,'Allocation Factors - N'!$B$13:$U$173,20,FALSE)*$J34,0)+IF($F34&lt;&gt;0,VLOOKUP($H34,'Allocation Factors - N'!$B$13:$U$173,20,FALSE)*$F34,0)</f>
        <v>0</v>
      </c>
    </row>
    <row r="35" spans="1:29" x14ac:dyDescent="0.25">
      <c r="A35" s="2">
        <f t="shared" si="7"/>
        <v>17</v>
      </c>
      <c r="B35" s="31" t="s">
        <v>381</v>
      </c>
      <c r="D35" s="76">
        <f ca="1">'Total Allocation by Rate Zone'!P35</f>
        <v>0</v>
      </c>
      <c r="J35" s="76">
        <f t="shared" ca="1" si="6"/>
        <v>0</v>
      </c>
      <c r="L35" s="2" t="s">
        <v>459</v>
      </c>
      <c r="N35" s="76">
        <f ca="1">IF($J35&lt;&gt;0,VLOOKUP($L35,'Allocation Factors - N'!$B$13:$U$173,5,FALSE)*$J35,0)+IF($F35&lt;&gt;0,VLOOKUP($H35,'Allocation Factors - N'!$B$13:$U$173,5,FALSE)*$F35,0)</f>
        <v>0</v>
      </c>
      <c r="O35" s="76">
        <f ca="1">IF($J35&lt;&gt;0,VLOOKUP($L35,'Allocation Factors - N'!$B$13:$U$173,6,FALSE)*$J35,0)+IF($F35&lt;&gt;0,VLOOKUP($H35,'Allocation Factors - N'!$B$13:$U$173,6,FALSE)*$F35,0)</f>
        <v>0</v>
      </c>
      <c r="P35" s="76">
        <f ca="1">IF($J35&lt;&gt;0,VLOOKUP($L35,'Allocation Factors - N'!$B$13:$U$173,7,FALSE)*$J35,0)+IF($F35&lt;&gt;0,VLOOKUP($H35,'Allocation Factors - N'!$B$13:$U$173,7,FALSE)*$F35,0)</f>
        <v>0</v>
      </c>
      <c r="Q35" s="76"/>
      <c r="R35" s="76"/>
      <c r="S35" s="76">
        <f ca="1">IF($J35&lt;&gt;0,VLOOKUP($L35,'Allocation Factors - N'!$B$13:$U$173,10,FALSE)*$J35,0)+IF($F35&lt;&gt;0,VLOOKUP($H35,'Allocation Factors - N'!$B$13:$U$173,10,FALSE)*$F35,0)</f>
        <v>0</v>
      </c>
      <c r="T35" s="76">
        <f ca="1">IF($J35&lt;&gt;0,VLOOKUP($L35,'Allocation Factors - N'!$B$13:$U$173,11,FALSE)*$J35,0)+IF($F35&lt;&gt;0,VLOOKUP($H35,'Allocation Factors - N'!$B$13:$U$173,11,FALSE)*$F35,0)</f>
        <v>0</v>
      </c>
      <c r="U35" s="76">
        <f ca="1">IF($J35&lt;&gt;0,VLOOKUP($L35,'Allocation Factors - N'!$B$13:$U$173,12,FALSE)*$J35,0)+IF($F35&lt;&gt;0,VLOOKUP($H35,'Allocation Factors - N'!$B$13:$U$173,12,FALSE)*$F35,0)</f>
        <v>0</v>
      </c>
      <c r="V35" s="76">
        <f ca="1">IF($J35&lt;&gt;0,VLOOKUP($L35,'Allocation Factors - N'!$B$13:$U$173,13,FALSE)*$J35,0)+IF($F35&lt;&gt;0,VLOOKUP($H35,'Allocation Factors - N'!$B$13:$U$173,13,FALSE)*$F35,0)</f>
        <v>0</v>
      </c>
      <c r="W35" s="76">
        <f ca="1">IF($J35&lt;&gt;0,VLOOKUP($L35,'Allocation Factors - N'!$B$13:$U$173,14,FALSE)*$J35,0)+IF($F35&lt;&gt;0,VLOOKUP($H35,'Allocation Factors - N'!$B$13:$U$173,14,FALSE)*$F35,0)</f>
        <v>0</v>
      </c>
      <c r="X35" s="76">
        <f ca="1">IF($J35&lt;&gt;0,VLOOKUP($L35,'Allocation Factors - N'!$B$13:$U$173,15,FALSE)*$J35,0)+IF($F35&lt;&gt;0,VLOOKUP($H35,'Allocation Factors - N'!$B$13:$U$173,15,FALSE)*$F35,0)</f>
        <v>0</v>
      </c>
      <c r="Y35" s="76">
        <f ca="1">IF($J35&lt;&gt;0,VLOOKUP($L35,'Allocation Factors - N'!$B$13:$U$173,16,FALSE)*$J35,0)+IF($F35&lt;&gt;0,VLOOKUP($H35,'Allocation Factors - N'!$B$13:$U$173,16,FALSE)*$F35,0)</f>
        <v>0</v>
      </c>
      <c r="Z35" s="76">
        <f ca="1">IF($J35&lt;&gt;0,VLOOKUP($L35,'Allocation Factors - N'!$B$13:$U$173,17,FALSE)*$J35,0)+IF($F35&lt;&gt;0,VLOOKUP($H35,'Allocation Factors - N'!$B$13:$U$173,17,FALSE)*$F35,0)</f>
        <v>0</v>
      </c>
      <c r="AA35" s="76">
        <f ca="1">IF($J35&lt;&gt;0,VLOOKUP($L35,'Allocation Factors - N'!$B$13:$U$173,18,FALSE)*$J35,0)+IF($F35&lt;&gt;0,VLOOKUP($H35,'Allocation Factors - N'!$B$13:$U$173,18,FALSE)*$F35,0)</f>
        <v>0</v>
      </c>
      <c r="AB35" s="76">
        <f ca="1">IF($J35&lt;&gt;0,VLOOKUP($L35,'Allocation Factors - N'!$B$13:$U$173,19,FALSE)*$J35,0)+IF($F35&lt;&gt;0,VLOOKUP($H35,'Allocation Factors - N'!$B$13:$U$173,19,FALSE)*$F35,0)</f>
        <v>0</v>
      </c>
      <c r="AC35" s="76">
        <f ca="1">IF($J35&lt;&gt;0,VLOOKUP($L35,'Allocation Factors - N'!$B$13:$U$173,20,FALSE)*$J35,0)+IF($F35&lt;&gt;0,VLOOKUP($H35,'Allocation Factors - N'!$B$13:$U$173,20,FALSE)*$F35,0)</f>
        <v>0</v>
      </c>
    </row>
    <row r="36" spans="1:29" x14ac:dyDescent="0.25">
      <c r="A36" s="2">
        <f t="shared" si="7"/>
        <v>18</v>
      </c>
      <c r="B36" s="31" t="s">
        <v>383</v>
      </c>
      <c r="D36" s="76">
        <f ca="1">'Total Allocation by Rate Zone'!P36</f>
        <v>0</v>
      </c>
      <c r="J36" s="76">
        <f t="shared" ca="1" si="6"/>
        <v>0</v>
      </c>
      <c r="L36" s="2" t="s">
        <v>460</v>
      </c>
      <c r="N36" s="76">
        <f ca="1">IF($J36&lt;&gt;0,VLOOKUP($L36,'Allocation Factors - N'!$B$13:$U$173,5,FALSE)*$J36,0)+IF($F36&lt;&gt;0,VLOOKUP($H36,'Allocation Factors - N'!$B$13:$U$173,5,FALSE)*$F36,0)</f>
        <v>0</v>
      </c>
      <c r="O36" s="76">
        <f ca="1">IF($J36&lt;&gt;0,VLOOKUP($L36,'Allocation Factors - N'!$B$13:$U$173,6,FALSE)*$J36,0)+IF($F36&lt;&gt;0,VLOOKUP($H36,'Allocation Factors - N'!$B$13:$U$173,6,FALSE)*$F36,0)</f>
        <v>0</v>
      </c>
      <c r="P36" s="76">
        <f ca="1">IF($J36&lt;&gt;0,VLOOKUP($L36,'Allocation Factors - N'!$B$13:$U$173,7,FALSE)*$J36,0)+IF($F36&lt;&gt;0,VLOOKUP($H36,'Allocation Factors - N'!$B$13:$U$173,7,FALSE)*$F36,0)</f>
        <v>0</v>
      </c>
      <c r="Q36" s="76"/>
      <c r="R36" s="76"/>
      <c r="S36" s="76">
        <f ca="1">IF($J36&lt;&gt;0,VLOOKUP($L36,'Allocation Factors - N'!$B$13:$U$173,10,FALSE)*$J36,0)+IF($F36&lt;&gt;0,VLOOKUP($H36,'Allocation Factors - N'!$B$13:$U$173,10,FALSE)*$F36,0)</f>
        <v>0</v>
      </c>
      <c r="T36" s="76">
        <f ca="1">IF($J36&lt;&gt;0,VLOOKUP($L36,'Allocation Factors - N'!$B$13:$U$173,11,FALSE)*$J36,0)+IF($F36&lt;&gt;0,VLOOKUP($H36,'Allocation Factors - N'!$B$13:$U$173,11,FALSE)*$F36,0)</f>
        <v>0</v>
      </c>
      <c r="U36" s="76">
        <f ca="1">IF($J36&lt;&gt;0,VLOOKUP($L36,'Allocation Factors - N'!$B$13:$U$173,12,FALSE)*$J36,0)+IF($F36&lt;&gt;0,VLOOKUP($H36,'Allocation Factors - N'!$B$13:$U$173,12,FALSE)*$F36,0)</f>
        <v>0</v>
      </c>
      <c r="V36" s="76">
        <f ca="1">IF($J36&lt;&gt;0,VLOOKUP($L36,'Allocation Factors - N'!$B$13:$U$173,13,FALSE)*$J36,0)+IF($F36&lt;&gt;0,VLOOKUP($H36,'Allocation Factors - N'!$B$13:$U$173,13,FALSE)*$F36,0)</f>
        <v>0</v>
      </c>
      <c r="W36" s="76">
        <f ca="1">IF($J36&lt;&gt;0,VLOOKUP($L36,'Allocation Factors - N'!$B$13:$U$173,14,FALSE)*$J36,0)+IF($F36&lt;&gt;0,VLOOKUP($H36,'Allocation Factors - N'!$B$13:$U$173,14,FALSE)*$F36,0)</f>
        <v>0</v>
      </c>
      <c r="X36" s="76">
        <f ca="1">IF($J36&lt;&gt;0,VLOOKUP($L36,'Allocation Factors - N'!$B$13:$U$173,15,FALSE)*$J36,0)+IF($F36&lt;&gt;0,VLOOKUP($H36,'Allocation Factors - N'!$B$13:$U$173,15,FALSE)*$F36,0)</f>
        <v>0</v>
      </c>
      <c r="Y36" s="76">
        <f ca="1">IF($J36&lt;&gt;0,VLOOKUP($L36,'Allocation Factors - N'!$B$13:$U$173,16,FALSE)*$J36,0)+IF($F36&lt;&gt;0,VLOOKUP($H36,'Allocation Factors - N'!$B$13:$U$173,16,FALSE)*$F36,0)</f>
        <v>0</v>
      </c>
      <c r="Z36" s="76">
        <f ca="1">IF($J36&lt;&gt;0,VLOOKUP($L36,'Allocation Factors - N'!$B$13:$U$173,17,FALSE)*$J36,0)+IF($F36&lt;&gt;0,VLOOKUP($H36,'Allocation Factors - N'!$B$13:$U$173,17,FALSE)*$F36,0)</f>
        <v>0</v>
      </c>
      <c r="AA36" s="76">
        <f ca="1">IF($J36&lt;&gt;0,VLOOKUP($L36,'Allocation Factors - N'!$B$13:$U$173,18,FALSE)*$J36,0)+IF($F36&lt;&gt;0,VLOOKUP($H36,'Allocation Factors - N'!$B$13:$U$173,18,FALSE)*$F36,0)</f>
        <v>0</v>
      </c>
      <c r="AB36" s="76">
        <f ca="1">IF($J36&lt;&gt;0,VLOOKUP($L36,'Allocation Factors - N'!$B$13:$U$173,19,FALSE)*$J36,0)+IF($F36&lt;&gt;0,VLOOKUP($H36,'Allocation Factors - N'!$B$13:$U$173,19,FALSE)*$F36,0)</f>
        <v>0</v>
      </c>
      <c r="AC36" s="76">
        <f ca="1">IF($J36&lt;&gt;0,VLOOKUP($L36,'Allocation Factors - N'!$B$13:$U$173,20,FALSE)*$J36,0)+IF($F36&lt;&gt;0,VLOOKUP($H36,'Allocation Factors - N'!$B$13:$U$173,20,FALSE)*$F36,0)</f>
        <v>0</v>
      </c>
    </row>
    <row r="37" spans="1:29" x14ac:dyDescent="0.25">
      <c r="A37" s="2">
        <f t="shared" si="7"/>
        <v>19</v>
      </c>
      <c r="B37" s="31" t="s">
        <v>385</v>
      </c>
      <c r="D37" s="76">
        <f ca="1">'Total Allocation by Rate Zone'!P37</f>
        <v>0</v>
      </c>
      <c r="J37" s="76">
        <f t="shared" ca="1" si="6"/>
        <v>0</v>
      </c>
      <c r="L37" s="2" t="s">
        <v>461</v>
      </c>
      <c r="N37" s="76">
        <f ca="1">IF($J37&lt;&gt;0,VLOOKUP($L37,'Allocation Factors - N'!$B$13:$U$173,5,FALSE)*$J37,0)+IF($F37&lt;&gt;0,VLOOKUP($H37,'Allocation Factors - N'!$B$13:$U$173,5,FALSE)*$F37,0)</f>
        <v>0</v>
      </c>
      <c r="O37" s="76">
        <f ca="1">IF($J37&lt;&gt;0,VLOOKUP($L37,'Allocation Factors - N'!$B$13:$U$173,6,FALSE)*$J37,0)+IF($F37&lt;&gt;0,VLOOKUP($H37,'Allocation Factors - N'!$B$13:$U$173,6,FALSE)*$F37,0)</f>
        <v>0</v>
      </c>
      <c r="P37" s="76">
        <f ca="1">IF($J37&lt;&gt;0,VLOOKUP($L37,'Allocation Factors - N'!$B$13:$U$173,7,FALSE)*$J37,0)+IF($F37&lt;&gt;0,VLOOKUP($H37,'Allocation Factors - N'!$B$13:$U$173,7,FALSE)*$F37,0)</f>
        <v>0</v>
      </c>
      <c r="Q37" s="76"/>
      <c r="R37" s="76"/>
      <c r="S37" s="76">
        <f ca="1">IF($J37&lt;&gt;0,VLOOKUP($L37,'Allocation Factors - N'!$B$13:$U$173,10,FALSE)*$J37,0)+IF($F37&lt;&gt;0,VLOOKUP($H37,'Allocation Factors - N'!$B$13:$U$173,10,FALSE)*$F37,0)</f>
        <v>0</v>
      </c>
      <c r="T37" s="76">
        <f ca="1">IF($J37&lt;&gt;0,VLOOKUP($L37,'Allocation Factors - N'!$B$13:$U$173,11,FALSE)*$J37,0)+IF($F37&lt;&gt;0,VLOOKUP($H37,'Allocation Factors - N'!$B$13:$U$173,11,FALSE)*$F37,0)</f>
        <v>0</v>
      </c>
      <c r="U37" s="76">
        <f ca="1">IF($J37&lt;&gt;0,VLOOKUP($L37,'Allocation Factors - N'!$B$13:$U$173,12,FALSE)*$J37,0)+IF($F37&lt;&gt;0,VLOOKUP($H37,'Allocation Factors - N'!$B$13:$U$173,12,FALSE)*$F37,0)</f>
        <v>0</v>
      </c>
      <c r="V37" s="76">
        <f ca="1">IF($J37&lt;&gt;0,VLOOKUP($L37,'Allocation Factors - N'!$B$13:$U$173,13,FALSE)*$J37,0)+IF($F37&lt;&gt;0,VLOOKUP($H37,'Allocation Factors - N'!$B$13:$U$173,13,FALSE)*$F37,0)</f>
        <v>0</v>
      </c>
      <c r="W37" s="76">
        <f ca="1">IF($J37&lt;&gt;0,VLOOKUP($L37,'Allocation Factors - N'!$B$13:$U$173,14,FALSE)*$J37,0)+IF($F37&lt;&gt;0,VLOOKUP($H37,'Allocation Factors - N'!$B$13:$U$173,14,FALSE)*$F37,0)</f>
        <v>0</v>
      </c>
      <c r="X37" s="76">
        <f ca="1">IF($J37&lt;&gt;0,VLOOKUP($L37,'Allocation Factors - N'!$B$13:$U$173,15,FALSE)*$J37,0)+IF($F37&lt;&gt;0,VLOOKUP($H37,'Allocation Factors - N'!$B$13:$U$173,15,FALSE)*$F37,0)</f>
        <v>0</v>
      </c>
      <c r="Y37" s="76">
        <f ca="1">IF($J37&lt;&gt;0,VLOOKUP($L37,'Allocation Factors - N'!$B$13:$U$173,16,FALSE)*$J37,0)+IF($F37&lt;&gt;0,VLOOKUP($H37,'Allocation Factors - N'!$B$13:$U$173,16,FALSE)*$F37,0)</f>
        <v>0</v>
      </c>
      <c r="Z37" s="76">
        <f ca="1">IF($J37&lt;&gt;0,VLOOKUP($L37,'Allocation Factors - N'!$B$13:$U$173,17,FALSE)*$J37,0)+IF($F37&lt;&gt;0,VLOOKUP($H37,'Allocation Factors - N'!$B$13:$U$173,17,FALSE)*$F37,0)</f>
        <v>0</v>
      </c>
      <c r="AA37" s="76">
        <f ca="1">IF($J37&lt;&gt;0,VLOOKUP($L37,'Allocation Factors - N'!$B$13:$U$173,18,FALSE)*$J37,0)+IF($F37&lt;&gt;0,VLOOKUP($H37,'Allocation Factors - N'!$B$13:$U$173,18,FALSE)*$F37,0)</f>
        <v>0</v>
      </c>
      <c r="AB37" s="76">
        <f ca="1">IF($J37&lt;&gt;0,VLOOKUP($L37,'Allocation Factors - N'!$B$13:$U$173,19,FALSE)*$J37,0)+IF($F37&lt;&gt;0,VLOOKUP($H37,'Allocation Factors - N'!$B$13:$U$173,19,FALSE)*$F37,0)</f>
        <v>0</v>
      </c>
      <c r="AC37" s="76">
        <f ca="1">IF($J37&lt;&gt;0,VLOOKUP($L37,'Allocation Factors - N'!$B$13:$U$173,20,FALSE)*$J37,0)+IF($F37&lt;&gt;0,VLOOKUP($H37,'Allocation Factors - N'!$B$13:$U$173,20,FALSE)*$F37,0)</f>
        <v>0</v>
      </c>
    </row>
    <row r="38" spans="1:29" x14ac:dyDescent="0.25">
      <c r="A38" s="2">
        <f t="shared" si="7"/>
        <v>20</v>
      </c>
      <c r="B38" s="31" t="s">
        <v>386</v>
      </c>
      <c r="D38" s="76">
        <f ca="1">'Total Allocation by Rate Zone'!P38</f>
        <v>664.44573542758917</v>
      </c>
      <c r="F38" s="76">
        <f>'Rate Zone Allocation Factors'!F16</f>
        <v>647.23650896029574</v>
      </c>
      <c r="H38" s="2" t="s">
        <v>462</v>
      </c>
      <c r="J38" s="76">
        <f t="shared" ca="1" si="6"/>
        <v>17.209226467293433</v>
      </c>
      <c r="L38" s="2" t="s">
        <v>463</v>
      </c>
      <c r="N38" s="76">
        <f ca="1">IF($J38&lt;&gt;0,VLOOKUP($L38,'Allocation Factors - N'!$B$13:$U$173,5,FALSE)*$J38,0)+IF($F38&lt;&gt;0,VLOOKUP($H38,'Allocation Factors - N'!$B$13:$U$173,5,FALSE)*$F38,0)</f>
        <v>476.91790309433037</v>
      </c>
      <c r="O38" s="76">
        <f ca="1">IF($J38&lt;&gt;0,VLOOKUP($L38,'Allocation Factors - N'!$B$13:$U$173,6,FALSE)*$J38,0)+IF($F38&lt;&gt;0,VLOOKUP($H38,'Allocation Factors - N'!$B$13:$U$173,6,FALSE)*$F38,0)</f>
        <v>138.64920152885509</v>
      </c>
      <c r="P38" s="76">
        <f ca="1">IF($J38&lt;&gt;0,VLOOKUP($L38,'Allocation Factors - N'!$B$13:$U$173,7,FALSE)*$J38,0)+IF($F38&lt;&gt;0,VLOOKUP($H38,'Allocation Factors - N'!$B$13:$U$173,7,FALSE)*$F38,0)</f>
        <v>36.04049960129106</v>
      </c>
      <c r="Q38" s="76"/>
      <c r="R38" s="76"/>
      <c r="S38" s="76">
        <f ca="1">IF($J38&lt;&gt;0,VLOOKUP($L38,'Allocation Factors - N'!$B$13:$U$173,10,FALSE)*$J38,0)+IF($F38&lt;&gt;0,VLOOKUP($H38,'Allocation Factors - N'!$B$13:$U$173,10,FALSE)*$F38,0)</f>
        <v>0</v>
      </c>
      <c r="T38" s="76">
        <f ca="1">IF($J38&lt;&gt;0,VLOOKUP($L38,'Allocation Factors - N'!$B$13:$U$173,11,FALSE)*$J38,0)+IF($F38&lt;&gt;0,VLOOKUP($H38,'Allocation Factors - N'!$B$13:$U$173,11,FALSE)*$F38,0)</f>
        <v>0</v>
      </c>
      <c r="U38" s="76">
        <f ca="1">IF($J38&lt;&gt;0,VLOOKUP($L38,'Allocation Factors - N'!$B$13:$U$173,12,FALSE)*$J38,0)+IF($F38&lt;&gt;0,VLOOKUP($H38,'Allocation Factors - N'!$B$13:$U$173,12,FALSE)*$F38,0)</f>
        <v>0</v>
      </c>
      <c r="V38" s="76">
        <f ca="1">IF($J38&lt;&gt;0,VLOOKUP($L38,'Allocation Factors - N'!$B$13:$U$173,13,FALSE)*$J38,0)+IF($F38&lt;&gt;0,VLOOKUP($H38,'Allocation Factors - N'!$B$13:$U$173,13,FALSE)*$F38,0)</f>
        <v>0</v>
      </c>
      <c r="W38" s="76">
        <f ca="1">IF($J38&lt;&gt;0,VLOOKUP($L38,'Allocation Factors - N'!$B$13:$U$173,14,FALSE)*$J38,0)+IF($F38&lt;&gt;0,VLOOKUP($H38,'Allocation Factors - N'!$B$13:$U$173,14,FALSE)*$F38,0)</f>
        <v>0</v>
      </c>
      <c r="X38" s="76">
        <f ca="1">IF($J38&lt;&gt;0,VLOOKUP($L38,'Allocation Factors - N'!$B$13:$U$173,15,FALSE)*$J38,0)+IF($F38&lt;&gt;0,VLOOKUP($H38,'Allocation Factors - N'!$B$13:$U$173,15,FALSE)*$F38,0)</f>
        <v>0</v>
      </c>
      <c r="Y38" s="76">
        <f ca="1">IF($J38&lt;&gt;0,VLOOKUP($L38,'Allocation Factors - N'!$B$13:$U$173,16,FALSE)*$J38,0)+IF($F38&lt;&gt;0,VLOOKUP($H38,'Allocation Factors - N'!$B$13:$U$173,16,FALSE)*$F38,0)</f>
        <v>3.7369796562253601</v>
      </c>
      <c r="Z38" s="76">
        <f ca="1">IF($J38&lt;&gt;0,VLOOKUP($L38,'Allocation Factors - N'!$B$13:$U$173,17,FALSE)*$J38,0)+IF($F38&lt;&gt;0,VLOOKUP($H38,'Allocation Factors - N'!$B$13:$U$173,17,FALSE)*$F38,0)</f>
        <v>0</v>
      </c>
      <c r="AA38" s="76">
        <f ca="1">IF($J38&lt;&gt;0,VLOOKUP($L38,'Allocation Factors - N'!$B$13:$U$173,18,FALSE)*$J38,0)+IF($F38&lt;&gt;0,VLOOKUP($H38,'Allocation Factors - N'!$B$13:$U$173,18,FALSE)*$F38,0)</f>
        <v>9.1011515468874933</v>
      </c>
      <c r="AB38" s="76">
        <f ca="1">IF($J38&lt;&gt;0,VLOOKUP($L38,'Allocation Factors - N'!$B$13:$U$173,19,FALSE)*$J38,0)+IF($F38&lt;&gt;0,VLOOKUP($H38,'Allocation Factors - N'!$B$13:$U$173,19,FALSE)*$F38,0)</f>
        <v>0</v>
      </c>
      <c r="AC38" s="76">
        <f ca="1">IF($J38&lt;&gt;0,VLOOKUP($L38,'Allocation Factors - N'!$B$13:$U$173,20,FALSE)*$J38,0)+IF($F38&lt;&gt;0,VLOOKUP($H38,'Allocation Factors - N'!$B$13:$U$173,20,FALSE)*$F38,0)</f>
        <v>0</v>
      </c>
    </row>
    <row r="39" spans="1:29" x14ac:dyDescent="0.25">
      <c r="A39" s="2">
        <f t="shared" si="7"/>
        <v>21</v>
      </c>
      <c r="B39" s="31" t="s">
        <v>389</v>
      </c>
      <c r="D39" s="40">
        <f ca="1">SUM(D31:D38)</f>
        <v>10846.726365833409</v>
      </c>
      <c r="F39" s="40">
        <f>SUM(F31:F38)</f>
        <v>647.23650896029574</v>
      </c>
      <c r="J39" s="40">
        <f ca="1">SUM(J31:J38)</f>
        <v>10199.489856873113</v>
      </c>
      <c r="N39" s="40">
        <f t="shared" ref="N39:AB39" ca="1" si="8">SUM(N31:N38)</f>
        <v>7804.0119181351984</v>
      </c>
      <c r="O39" s="40">
        <f t="shared" ca="1" si="8"/>
        <v>2292.5323123981289</v>
      </c>
      <c r="P39" s="40">
        <f t="shared" ca="1" si="8"/>
        <v>402.05745314452662</v>
      </c>
      <c r="Q39" s="40"/>
      <c r="R39" s="40"/>
      <c r="S39" s="40">
        <f t="shared" ca="1" si="8"/>
        <v>0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0</v>
      </c>
      <c r="X39" s="40">
        <f t="shared" ca="1" si="8"/>
        <v>0</v>
      </c>
      <c r="Y39" s="40">
        <f t="shared" ca="1" si="8"/>
        <v>3.7369796562253601</v>
      </c>
      <c r="Z39" s="40">
        <f t="shared" ca="1" si="8"/>
        <v>0</v>
      </c>
      <c r="AA39" s="40">
        <f t="shared" ca="1" si="8"/>
        <v>344.38770249932998</v>
      </c>
      <c r="AB39" s="40">
        <f t="shared" ca="1" si="8"/>
        <v>0</v>
      </c>
      <c r="AC39" s="40">
        <f ca="1">SUM(AC31:AC38)</f>
        <v>0</v>
      </c>
    </row>
    <row r="40" spans="1:29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x14ac:dyDescent="0.25">
      <c r="B41" s="74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ht="13" thickBot="1" x14ac:dyDescent="0.3">
      <c r="A42" s="2">
        <f>A39+1</f>
        <v>22</v>
      </c>
      <c r="B42" s="31" t="s">
        <v>464</v>
      </c>
      <c r="D42" s="80">
        <f ca="1">D21+D28+D39</f>
        <v>171420.82119475547</v>
      </c>
      <c r="F42" s="80">
        <f>F21+F28+F39</f>
        <v>756.29997823814722</v>
      </c>
      <c r="H42" s="48"/>
      <c r="J42" s="80">
        <f ca="1">J21+J28+J39</f>
        <v>170664.52121651734</v>
      </c>
      <c r="L42" s="48"/>
      <c r="N42" s="80">
        <f ca="1">N21+N28+N39</f>
        <v>135147.05380739341</v>
      </c>
      <c r="O42" s="80">
        <f t="shared" ref="O42:AB42" ca="1" si="9">O21+O28+O39</f>
        <v>28285.865601127687</v>
      </c>
      <c r="P42" s="80">
        <f t="shared" ca="1" si="9"/>
        <v>4548.2690876986071</v>
      </c>
      <c r="Q42" s="80"/>
      <c r="R42" s="80"/>
      <c r="S42" s="80">
        <f t="shared" ca="1" si="9"/>
        <v>0</v>
      </c>
      <c r="T42" s="80">
        <f t="shared" ca="1" si="9"/>
        <v>0</v>
      </c>
      <c r="U42" s="80">
        <f t="shared" ca="1" si="9"/>
        <v>9.6583954691469547</v>
      </c>
      <c r="V42" s="80">
        <f t="shared" ca="1" si="9"/>
        <v>0.64708243918607711</v>
      </c>
      <c r="W42" s="80">
        <f t="shared" ca="1" si="9"/>
        <v>7.5263845377124676</v>
      </c>
      <c r="X42" s="80">
        <f t="shared" ca="1" si="9"/>
        <v>0.82550700625819806</v>
      </c>
      <c r="Y42" s="80">
        <f t="shared" ca="1" si="9"/>
        <v>830.81049640219715</v>
      </c>
      <c r="Z42" s="80">
        <f t="shared" ca="1" si="9"/>
        <v>0</v>
      </c>
      <c r="AA42" s="80">
        <f t="shared" ca="1" si="9"/>
        <v>2590.1648326813142</v>
      </c>
      <c r="AB42" s="80">
        <f t="shared" ca="1" si="9"/>
        <v>0</v>
      </c>
      <c r="AC42" s="80">
        <f ca="1">AC21+AC28+AC39</f>
        <v>0</v>
      </c>
    </row>
    <row r="43" spans="1:29" ht="13" thickTop="1" x14ac:dyDescent="0.25">
      <c r="D43" s="37"/>
      <c r="E43" s="37"/>
      <c r="F43" s="37"/>
      <c r="G43" s="37"/>
      <c r="H43" s="118"/>
      <c r="I43" s="37"/>
      <c r="J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x14ac:dyDescent="0.25">
      <c r="D44" s="37"/>
      <c r="E44" s="37"/>
      <c r="F44" s="37"/>
      <c r="G44" s="37"/>
      <c r="H44" s="118"/>
      <c r="I44" s="37"/>
      <c r="J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x14ac:dyDescent="0.25">
      <c r="D45" s="37"/>
      <c r="E45" s="37"/>
      <c r="F45" s="37"/>
      <c r="G45" s="37"/>
      <c r="H45" s="118"/>
      <c r="I45" s="37"/>
      <c r="J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x14ac:dyDescent="0.25">
      <c r="B46" s="79"/>
      <c r="D46" s="37"/>
      <c r="E46" s="37"/>
      <c r="F46" s="37"/>
      <c r="G46" s="37"/>
      <c r="H46" s="118"/>
      <c r="I46" s="37"/>
      <c r="J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x14ac:dyDescent="0.25">
      <c r="B47" s="79"/>
      <c r="D47" s="37"/>
      <c r="E47" s="37"/>
      <c r="F47" s="37"/>
      <c r="G47" s="37"/>
      <c r="H47" s="118"/>
      <c r="I47" s="37"/>
      <c r="J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1:29" x14ac:dyDescent="0.25">
      <c r="D48" s="37"/>
      <c r="E48" s="37"/>
      <c r="F48" s="37"/>
      <c r="G48" s="37"/>
      <c r="H48" s="118"/>
      <c r="I48" s="37"/>
      <c r="J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2:29" x14ac:dyDescent="0.25">
      <c r="D49" s="37"/>
      <c r="E49" s="37"/>
      <c r="F49" s="37"/>
      <c r="G49" s="37"/>
      <c r="H49" s="118"/>
      <c r="I49" s="37"/>
      <c r="J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2:29" x14ac:dyDescent="0.25">
      <c r="D50" s="37"/>
      <c r="E50" s="37"/>
      <c r="F50" s="37"/>
      <c r="G50" s="37"/>
      <c r="H50" s="118"/>
      <c r="I50" s="37"/>
      <c r="J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2:29" x14ac:dyDescent="0.25">
      <c r="D51" s="37"/>
      <c r="E51" s="37"/>
      <c r="F51" s="37"/>
      <c r="G51" s="37"/>
      <c r="H51" s="118"/>
      <c r="I51" s="37"/>
      <c r="J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2:29" x14ac:dyDescent="0.25">
      <c r="D52" s="37"/>
      <c r="E52" s="37"/>
      <c r="F52" s="37"/>
      <c r="G52" s="37"/>
      <c r="H52" s="118"/>
      <c r="I52" s="37"/>
      <c r="J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2:29" x14ac:dyDescent="0.25">
      <c r="B53" s="79"/>
      <c r="D53" s="37"/>
      <c r="J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spans="2:29" x14ac:dyDescent="0.25">
      <c r="B54" s="79"/>
      <c r="D54" s="37"/>
      <c r="F54" s="37"/>
      <c r="J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2:29" x14ac:dyDescent="0.25">
      <c r="B55" s="79"/>
      <c r="D55" s="37"/>
      <c r="J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spans="2:29" x14ac:dyDescent="0.25">
      <c r="D56" s="37"/>
      <c r="F56" s="37"/>
      <c r="J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2:29" x14ac:dyDescent="0.25">
      <c r="D57" s="48"/>
      <c r="F57" s="48"/>
      <c r="J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2:29" x14ac:dyDescent="0.25">
      <c r="N58" s="48"/>
    </row>
    <row r="59" spans="2:29" x14ac:dyDescent="0.25">
      <c r="D59" s="48"/>
      <c r="F59" s="48"/>
      <c r="J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2:29" x14ac:dyDescent="0.25">
      <c r="J60" s="31" t="s">
        <v>185</v>
      </c>
      <c r="N60" s="48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AAAC-6739-4F85-8795-B45F5DF86951}">
  <sheetPr>
    <tabColor theme="0" tint="-0.249977111117893"/>
  </sheetPr>
  <dimension ref="A6:AD46"/>
  <sheetViews>
    <sheetView zoomScale="80" zoomScaleNormal="80" workbookViewId="0">
      <selection activeCell="L36" sqref="L36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4" width="12.81640625" style="31" customWidth="1"/>
    <col min="15" max="15" width="14.54296875" style="31" customWidth="1"/>
    <col min="16" max="16" width="17.1796875" style="31" customWidth="1"/>
    <col min="17" max="17" width="16.81640625" style="31" hidden="1" customWidth="1"/>
    <col min="18" max="18" width="14.7265625" style="31" hidden="1" customWidth="1"/>
    <col min="19" max="19" width="15.81640625" style="31" customWidth="1"/>
    <col min="20" max="20" width="15.54296875" style="31" customWidth="1"/>
    <col min="21" max="21" width="16" style="31" customWidth="1"/>
    <col min="22" max="22" width="17.81640625" style="31" customWidth="1"/>
    <col min="23" max="23" width="14.7265625" style="31" customWidth="1"/>
    <col min="24" max="24" width="17.54296875" style="31" customWidth="1"/>
    <col min="25" max="25" width="15.81640625" style="31" customWidth="1"/>
    <col min="26" max="26" width="16.7265625" style="31" customWidth="1"/>
    <col min="27" max="27" width="15.26953125" style="31" customWidth="1"/>
    <col min="28" max="28" width="15.453125" style="31" customWidth="1"/>
    <col min="29" max="29" width="15.81640625" style="31" customWidth="1"/>
    <col min="3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465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/>
      <c r="R13" s="70"/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'Total Allocation - N'!D15-'Allocation - N Gas'!D15</f>
        <v>0</v>
      </c>
      <c r="F15" s="76">
        <f>'Total Allocation - N'!F15-'Allocation - N Gas'!F15</f>
        <v>0</v>
      </c>
      <c r="J15" s="76">
        <f ca="1">D15-F15</f>
        <v>0</v>
      </c>
      <c r="L15" s="2" t="s">
        <v>445</v>
      </c>
      <c r="N15" s="76">
        <f ca="1">'Total Allocation - N'!N15-'Allocation - N Gas'!N15</f>
        <v>0</v>
      </c>
      <c r="O15" s="76">
        <f ca="1">'Total Allocation - N'!O15-'Allocation - N Gas'!O15</f>
        <v>0</v>
      </c>
      <c r="P15" s="76">
        <f ca="1">'Total Allocation - N'!P15-'Allocation - N Gas'!P15</f>
        <v>0</v>
      </c>
      <c r="Q15" s="76"/>
      <c r="R15" s="76"/>
      <c r="S15" s="76">
        <f ca="1">'Total Allocation - N'!S15-'Allocation - N Gas'!S15</f>
        <v>0</v>
      </c>
      <c r="T15" s="76">
        <f ca="1">'Total Allocation - N'!T15-'Allocation - N Gas'!T15</f>
        <v>0</v>
      </c>
      <c r="U15" s="76">
        <f ca="1">'Total Allocation - N'!U15-'Allocation - N Gas'!U15</f>
        <v>0</v>
      </c>
      <c r="V15" s="76">
        <f ca="1">'Total Allocation - N'!V15-'Allocation - N Gas'!V15</f>
        <v>0</v>
      </c>
      <c r="W15" s="76">
        <f ca="1">'Total Allocation - N'!W15-'Allocation - N Gas'!W15</f>
        <v>0</v>
      </c>
      <c r="X15" s="76">
        <f ca="1">'Total Allocation - N'!X15-'Allocation - N Gas'!X15</f>
        <v>0</v>
      </c>
      <c r="Y15" s="76">
        <f ca="1">'Total Allocation - N'!Y15-'Allocation - N Gas'!Y15</f>
        <v>0</v>
      </c>
      <c r="Z15" s="76">
        <f ca="1">'Total Allocation - N'!Z15-'Allocation - N Gas'!Z15</f>
        <v>0</v>
      </c>
      <c r="AA15" s="76">
        <f ca="1">'Total Allocation - N'!AA15-'Allocation - N Gas'!AA15</f>
        <v>0</v>
      </c>
      <c r="AB15" s="76">
        <f ca="1">'Total Allocation - N'!AB15-'Allocation - N Gas'!AB15</f>
        <v>0</v>
      </c>
      <c r="AC15" s="76">
        <f ca="1">'Total Allocation - N'!AC15-'Allocation - N Gas'!AC15</f>
        <v>0</v>
      </c>
      <c r="AD15" s="48"/>
    </row>
    <row r="16" spans="1:30" x14ac:dyDescent="0.25">
      <c r="A16" s="2">
        <f>A15+1</f>
        <v>2</v>
      </c>
      <c r="B16" s="31" t="s">
        <v>351</v>
      </c>
      <c r="D16" s="76">
        <f ca="1">'Total Allocation - N'!D16-'Allocation - N Gas'!D16</f>
        <v>-1344.6213377880122</v>
      </c>
      <c r="E16" s="71"/>
      <c r="F16" s="76">
        <f>'Total Allocation - N'!F16-'Allocation - N Gas'!F16</f>
        <v>0</v>
      </c>
      <c r="J16" s="76">
        <f ca="1">D16-F16</f>
        <v>-1344.6213377880122</v>
      </c>
      <c r="L16" s="2" t="s">
        <v>446</v>
      </c>
      <c r="N16" s="76">
        <f ca="1">'Total Allocation - N'!N16-'Allocation - N Gas'!N16</f>
        <v>-944.02539999242435</v>
      </c>
      <c r="O16" s="76">
        <f ca="1">'Total Allocation - N'!O16-'Allocation - N Gas'!O16</f>
        <v>-284.95458787859297</v>
      </c>
      <c r="P16" s="76">
        <f ca="1">'Total Allocation - N'!P16-'Allocation - N Gas'!P16</f>
        <v>-38.29453899133955</v>
      </c>
      <c r="Q16" s="76"/>
      <c r="R16" s="76"/>
      <c r="S16" s="76">
        <f ca="1">'Total Allocation - N'!S16-'Allocation - N Gas'!S16</f>
        <v>0</v>
      </c>
      <c r="T16" s="76">
        <f ca="1">'Total Allocation - N'!T16-'Allocation - N Gas'!T16</f>
        <v>0</v>
      </c>
      <c r="U16" s="76">
        <f ca="1">'Total Allocation - N'!U16-'Allocation - N Gas'!U16</f>
        <v>0</v>
      </c>
      <c r="V16" s="76">
        <f ca="1">'Total Allocation - N'!V16-'Allocation - N Gas'!V16</f>
        <v>0</v>
      </c>
      <c r="W16" s="76">
        <f ca="1">'Total Allocation - N'!W16-'Allocation - N Gas'!W16</f>
        <v>0</v>
      </c>
      <c r="X16" s="76">
        <f ca="1">'Total Allocation - N'!X16-'Allocation - N Gas'!X16</f>
        <v>0</v>
      </c>
      <c r="Y16" s="76">
        <f ca="1">'Total Allocation - N'!Y16-'Allocation - N Gas'!Y16</f>
        <v>0</v>
      </c>
      <c r="Z16" s="76">
        <f ca="1">'Total Allocation - N'!Z16-'Allocation - N Gas'!Z16</f>
        <v>0</v>
      </c>
      <c r="AA16" s="76">
        <f ca="1">'Total Allocation - N'!AA16-'Allocation - N Gas'!AA16</f>
        <v>-77.346810925653472</v>
      </c>
      <c r="AB16" s="76">
        <f ca="1">'Total Allocation - N'!AB16-'Allocation - N Gas'!AB16</f>
        <v>0</v>
      </c>
      <c r="AC16" s="76">
        <f ca="1">'Total Allocation - N'!AC16-'Allocation - N Gas'!AC16</f>
        <v>0</v>
      </c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'Total Allocation - N'!D17-'Allocation - N Gas'!D17</f>
        <v>0</v>
      </c>
      <c r="F17" s="76">
        <f>'Total Allocation - N'!F17-'Allocation - N Gas'!F17</f>
        <v>0</v>
      </c>
      <c r="J17" s="76">
        <f t="shared" ref="J17:J20" ca="1" si="1">D17-F17</f>
        <v>0</v>
      </c>
      <c r="L17" s="2" t="s">
        <v>447</v>
      </c>
      <c r="N17" s="76">
        <f ca="1">'Total Allocation - N'!N17-'Allocation - N Gas'!N17</f>
        <v>0</v>
      </c>
      <c r="O17" s="76">
        <f ca="1">'Total Allocation - N'!O17-'Allocation - N Gas'!O17</f>
        <v>0</v>
      </c>
      <c r="P17" s="76">
        <f ca="1">'Total Allocation - N'!P17-'Allocation - N Gas'!P17</f>
        <v>0</v>
      </c>
      <c r="Q17" s="76"/>
      <c r="R17" s="76"/>
      <c r="S17" s="76">
        <f ca="1">'Total Allocation - N'!S17-'Allocation - N Gas'!S17</f>
        <v>0</v>
      </c>
      <c r="T17" s="76">
        <f ca="1">'Total Allocation - N'!T17-'Allocation - N Gas'!T17</f>
        <v>0</v>
      </c>
      <c r="U17" s="76">
        <f ca="1">'Total Allocation - N'!U17-'Allocation - N Gas'!U17</f>
        <v>0</v>
      </c>
      <c r="V17" s="76">
        <f ca="1">'Total Allocation - N'!V17-'Allocation - N Gas'!V17</f>
        <v>0</v>
      </c>
      <c r="W17" s="76">
        <f ca="1">'Total Allocation - N'!W17-'Allocation - N Gas'!W17</f>
        <v>0</v>
      </c>
      <c r="X17" s="76">
        <f ca="1">'Total Allocation - N'!X17-'Allocation - N Gas'!X17</f>
        <v>0</v>
      </c>
      <c r="Y17" s="76">
        <f ca="1">'Total Allocation - N'!Y17-'Allocation - N Gas'!Y17</f>
        <v>0</v>
      </c>
      <c r="Z17" s="76">
        <f ca="1">'Total Allocation - N'!Z17-'Allocation - N Gas'!Z17</f>
        <v>0</v>
      </c>
      <c r="AA17" s="76">
        <f ca="1">'Total Allocation - N'!AA17-'Allocation - N Gas'!AA17</f>
        <v>0</v>
      </c>
      <c r="AB17" s="76">
        <f ca="1">'Total Allocation - N'!AB17-'Allocation - N Gas'!AB17</f>
        <v>0</v>
      </c>
      <c r="AC17" s="76">
        <f ca="1">'Total Allocation - N'!AC17-'Allocation - N Gas'!AC17</f>
        <v>0</v>
      </c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'Total Allocation - N'!D18-'Allocation - N Gas'!D18</f>
        <v>-1498.8754307544823</v>
      </c>
      <c r="F18" s="76">
        <f>'Total Allocation - N'!F18-'Allocation - N Gas'!F18</f>
        <v>-1498.8754307544818</v>
      </c>
      <c r="H18" s="2" t="s">
        <v>448</v>
      </c>
      <c r="J18" s="76">
        <f t="shared" ca="1" si="1"/>
        <v>0</v>
      </c>
      <c r="L18" s="2" t="s">
        <v>449</v>
      </c>
      <c r="N18" s="76">
        <f ca="1">'Total Allocation - N'!N18-'Allocation - N Gas'!N18</f>
        <v>-1076.4971821678446</v>
      </c>
      <c r="O18" s="76">
        <f ca="1">'Total Allocation - N'!O18-'Allocation - N Gas'!O18</f>
        <v>-312.95842279611907</v>
      </c>
      <c r="P18" s="76">
        <f ca="1">'Total Allocation - N'!P18-'Allocation - N Gas'!P18</f>
        <v>-81.34140039462568</v>
      </c>
      <c r="Q18" s="76"/>
      <c r="R18" s="76"/>
      <c r="S18" s="76">
        <f ca="1">'Total Allocation - N'!S18-'Allocation - N Gas'!S18</f>
        <v>0</v>
      </c>
      <c r="T18" s="76">
        <f ca="1">'Total Allocation - N'!T18-'Allocation - N Gas'!T18</f>
        <v>0</v>
      </c>
      <c r="U18" s="76">
        <f ca="1">'Total Allocation - N'!U18-'Allocation - N Gas'!U18</f>
        <v>0</v>
      </c>
      <c r="V18" s="76">
        <f ca="1">'Total Allocation - N'!V18-'Allocation - N Gas'!V18</f>
        <v>0</v>
      </c>
      <c r="W18" s="76">
        <f ca="1">'Total Allocation - N'!W18-'Allocation - N Gas'!W18</f>
        <v>0</v>
      </c>
      <c r="X18" s="76">
        <f ca="1">'Total Allocation - N'!X18-'Allocation - N Gas'!X18</f>
        <v>0</v>
      </c>
      <c r="Y18" s="76">
        <f ca="1">'Total Allocation - N'!Y18-'Allocation - N Gas'!Y18</f>
        <v>-8.4341549603573611</v>
      </c>
      <c r="Z18" s="76">
        <f ca="1">'Total Allocation - N'!Z18-'Allocation - N Gas'!Z18</f>
        <v>0</v>
      </c>
      <c r="AA18" s="76">
        <f ca="1">'Total Allocation - N'!AA18-'Allocation - N Gas'!AA18</f>
        <v>-19.644270435535304</v>
      </c>
      <c r="AB18" s="76">
        <f ca="1">'Total Allocation - N'!AB18-'Allocation - N Gas'!AB18</f>
        <v>0</v>
      </c>
      <c r="AC18" s="76">
        <f ca="1">'Total Allocation - N'!AC18-'Allocation - N Gas'!AC18</f>
        <v>0</v>
      </c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'Total Allocation - N'!D19-'Allocation - N Gas'!D19</f>
        <v>0</v>
      </c>
      <c r="F19" s="76">
        <f>'Total Allocation - N'!F19-'Allocation - N Gas'!F19</f>
        <v>0</v>
      </c>
      <c r="J19" s="76">
        <f t="shared" ca="1" si="1"/>
        <v>0</v>
      </c>
      <c r="L19" s="2" t="s">
        <v>450</v>
      </c>
      <c r="N19" s="76">
        <f ca="1">'Total Allocation - N'!N19-'Allocation - N Gas'!N19</f>
        <v>0</v>
      </c>
      <c r="O19" s="76">
        <f ca="1">'Total Allocation - N'!O19-'Allocation - N Gas'!O19</f>
        <v>0</v>
      </c>
      <c r="P19" s="76">
        <f ca="1">'Total Allocation - N'!P19-'Allocation - N Gas'!P19</f>
        <v>0</v>
      </c>
      <c r="Q19" s="76"/>
      <c r="R19" s="76"/>
      <c r="S19" s="76">
        <f ca="1">'Total Allocation - N'!S19-'Allocation - N Gas'!S19</f>
        <v>0</v>
      </c>
      <c r="T19" s="76">
        <f ca="1">'Total Allocation - N'!T19-'Allocation - N Gas'!T19</f>
        <v>0</v>
      </c>
      <c r="U19" s="76">
        <f ca="1">'Total Allocation - N'!U19-'Allocation - N Gas'!U19</f>
        <v>0</v>
      </c>
      <c r="V19" s="76">
        <f ca="1">'Total Allocation - N'!V19-'Allocation - N Gas'!V19</f>
        <v>0</v>
      </c>
      <c r="W19" s="76">
        <f ca="1">'Total Allocation - N'!W19-'Allocation - N Gas'!W19</f>
        <v>0</v>
      </c>
      <c r="X19" s="76">
        <f ca="1">'Total Allocation - N'!X19-'Allocation - N Gas'!X19</f>
        <v>0</v>
      </c>
      <c r="Y19" s="76">
        <f ca="1">'Total Allocation - N'!Y19-'Allocation - N Gas'!Y19</f>
        <v>0</v>
      </c>
      <c r="Z19" s="76">
        <f ca="1">'Total Allocation - N'!Z19-'Allocation - N Gas'!Z19</f>
        <v>0</v>
      </c>
      <c r="AA19" s="76">
        <f ca="1">'Total Allocation - N'!AA19-'Allocation - N Gas'!AA19</f>
        <v>0</v>
      </c>
      <c r="AB19" s="76">
        <f ca="1">'Total Allocation - N'!AB19-'Allocation - N Gas'!AB19</f>
        <v>0</v>
      </c>
      <c r="AC19" s="76">
        <f ca="1">'Total Allocation - N'!AC19-'Allocation - N Gas'!AC19</f>
        <v>0</v>
      </c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'Total Allocation - N'!D20-'Allocation - N Gas'!D20</f>
        <v>925.77960019655279</v>
      </c>
      <c r="F20" s="76">
        <f>'Total Allocation - N'!F20-'Allocation - N Gas'!F20</f>
        <v>0</v>
      </c>
      <c r="J20" s="76">
        <f t="shared" ca="1" si="1"/>
        <v>925.77960019655279</v>
      </c>
      <c r="L20" s="2" t="s">
        <v>445</v>
      </c>
      <c r="N20" s="76">
        <f ca="1">'Total Allocation - N'!N20-'Allocation - N Gas'!N20</f>
        <v>777.57065355101781</v>
      </c>
      <c r="O20" s="76">
        <f ca="1">'Total Allocation - N'!O20-'Allocation - N Gas'!O20</f>
        <v>128.68230175433442</v>
      </c>
      <c r="P20" s="76">
        <f ca="1">'Total Allocation - N'!P20-'Allocation - N Gas'!P20</f>
        <v>13.039210241263831</v>
      </c>
      <c r="Q20" s="76"/>
      <c r="R20" s="76"/>
      <c r="S20" s="76">
        <f ca="1">'Total Allocation - N'!S20-'Allocation - N Gas'!S20</f>
        <v>0</v>
      </c>
      <c r="T20" s="76">
        <f ca="1">'Total Allocation - N'!T20-'Allocation - N Gas'!T20</f>
        <v>0</v>
      </c>
      <c r="U20" s="76">
        <f ca="1">'Total Allocation - N'!U20-'Allocation - N Gas'!U20</f>
        <v>0</v>
      </c>
      <c r="V20" s="76">
        <f ca="1">'Total Allocation - N'!V20-'Allocation - N Gas'!V20</f>
        <v>0</v>
      </c>
      <c r="W20" s="76">
        <f ca="1">'Total Allocation - N'!W20-'Allocation - N Gas'!W20</f>
        <v>0</v>
      </c>
      <c r="X20" s="76">
        <f ca="1">'Total Allocation - N'!X20-'Allocation - N Gas'!X20</f>
        <v>0</v>
      </c>
      <c r="Y20" s="76">
        <f ca="1">'Total Allocation - N'!Y20-'Allocation - N Gas'!Y20</f>
        <v>6.4874346499367563</v>
      </c>
      <c r="Z20" s="76">
        <f ca="1">'Total Allocation - N'!Z20-'Allocation - N Gas'!Z20</f>
        <v>0</v>
      </c>
      <c r="AA20" s="76">
        <f ca="1">'Total Allocation - N'!AA20-'Allocation - N Gas'!AA20</f>
        <v>0</v>
      </c>
      <c r="AB20" s="76">
        <f ca="1">'Total Allocation - N'!AB20-'Allocation - N Gas'!AB20</f>
        <v>0</v>
      </c>
      <c r="AC20" s="76">
        <f ca="1">'Total Allocation - N'!AC20-'Allocation - N Gas'!AC20</f>
        <v>0</v>
      </c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-1917.7171683459417</v>
      </c>
      <c r="F21" s="78">
        <f>SUM(F15:F20)</f>
        <v>-1498.8754307544818</v>
      </c>
      <c r="J21" s="40">
        <f ca="1">SUM(J15:J20)</f>
        <v>-418.84173759145938</v>
      </c>
      <c r="N21" s="40">
        <f t="shared" ref="N21:AA21" ca="1" si="2">SUM(N15:N20)</f>
        <v>-1242.9519286092511</v>
      </c>
      <c r="O21" s="40">
        <f t="shared" ca="1" si="2"/>
        <v>-469.23070892037765</v>
      </c>
      <c r="P21" s="40">
        <f t="shared" ca="1" si="2"/>
        <v>-106.5967291447014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-1.9467203104206048</v>
      </c>
      <c r="Z21" s="40">
        <f t="shared" ca="1" si="2"/>
        <v>0</v>
      </c>
      <c r="AA21" s="40">
        <f t="shared" ca="1" si="2"/>
        <v>-96.991081361188776</v>
      </c>
      <c r="AB21" s="40">
        <f ca="1">SUM(AB15:AB20)</f>
        <v>0</v>
      </c>
      <c r="AC21" s="40">
        <f ca="1">SUM(AC15:AC20)</f>
        <v>0</v>
      </c>
      <c r="AD21" s="48"/>
    </row>
    <row r="22" spans="1:30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48"/>
    </row>
    <row r="24" spans="1:30" x14ac:dyDescent="0.25">
      <c r="A24" s="2">
        <f>A21+1</f>
        <v>8</v>
      </c>
      <c r="B24" s="31" t="s">
        <v>363</v>
      </c>
      <c r="D24" s="76">
        <f ca="1">'Total Allocation - N'!D24-'Allocation - N Gas'!D24</f>
        <v>4608.4533240707096</v>
      </c>
      <c r="F24" s="76">
        <f>'Total Allocation - N'!F24-'Allocation - N Gas'!F24</f>
        <v>0</v>
      </c>
      <c r="J24" s="76">
        <f ca="1">D24-F24</f>
        <v>4608.4533240707096</v>
      </c>
      <c r="L24" s="2" t="s">
        <v>447</v>
      </c>
      <c r="N24" s="76">
        <f ca="1">'Total Allocation - N'!N24-'Allocation - N Gas'!N24</f>
        <v>3271.5184382648922</v>
      </c>
      <c r="O24" s="76">
        <f ca="1">'Total Allocation - N'!O24-'Allocation - N Gas'!O24</f>
        <v>987.50964573672707</v>
      </c>
      <c r="P24" s="76">
        <f ca="1">'Total Allocation - N'!P24-'Allocation - N Gas'!P24</f>
        <v>132.70966056212723</v>
      </c>
      <c r="Q24" s="76"/>
      <c r="R24" s="76"/>
      <c r="S24" s="76">
        <f ca="1">'Total Allocation - N'!S24-'Allocation - N Gas'!S24</f>
        <v>0</v>
      </c>
      <c r="T24" s="76">
        <f ca="1">'Total Allocation - N'!T24-'Allocation - N Gas'!T24</f>
        <v>0</v>
      </c>
      <c r="U24" s="76">
        <f ca="1">'Total Allocation - N'!U24-'Allocation - N Gas'!U24</f>
        <v>0</v>
      </c>
      <c r="V24" s="76">
        <f ca="1">'Total Allocation - N'!V24-'Allocation - N Gas'!V24</f>
        <v>0</v>
      </c>
      <c r="W24" s="76">
        <f ca="1">'Total Allocation - N'!W24-'Allocation - N Gas'!W24</f>
        <v>0</v>
      </c>
      <c r="X24" s="76">
        <f ca="1">'Total Allocation - N'!X24-'Allocation - N Gas'!X24</f>
        <v>0</v>
      </c>
      <c r="Y24" s="76">
        <f ca="1">'Total Allocation - N'!Y24-'Allocation - N Gas'!Y24</f>
        <v>0</v>
      </c>
      <c r="Z24" s="76">
        <f ca="1">'Total Allocation - N'!Z24-'Allocation - N Gas'!Z24</f>
        <v>0</v>
      </c>
      <c r="AA24" s="76">
        <f ca="1">'Total Allocation - N'!AA24-'Allocation - N Gas'!AA24</f>
        <v>216.71557950696322</v>
      </c>
      <c r="AB24" s="76">
        <f ca="1">'Total Allocation - N'!AB24-'Allocation - N Gas'!AB24</f>
        <v>0</v>
      </c>
      <c r="AC24" s="76">
        <f ca="1">'Total Allocation - N'!AC24-'Allocation - N Gas'!AC24</f>
        <v>0</v>
      </c>
      <c r="AD24" s="48"/>
    </row>
    <row r="25" spans="1:30" x14ac:dyDescent="0.25">
      <c r="A25" s="2">
        <f>A24+1</f>
        <v>9</v>
      </c>
      <c r="B25" s="31" t="s">
        <v>364</v>
      </c>
      <c r="D25" s="76">
        <f ca="1">'Total Allocation - N'!D25-'Allocation - N Gas'!D25</f>
        <v>3682.5012553241622</v>
      </c>
      <c r="F25" s="76">
        <f>'Total Allocation - N'!F25-'Allocation - N Gas'!F25</f>
        <v>1607.9389000323333</v>
      </c>
      <c r="H25" s="2" t="s">
        <v>451</v>
      </c>
      <c r="J25" s="76">
        <f t="shared" ref="J25:J27" ca="1" si="3">D25-F25</f>
        <v>2074.5623552918287</v>
      </c>
      <c r="L25" s="2" t="s">
        <v>452</v>
      </c>
      <c r="N25" s="76">
        <f ca="1">'Total Allocation - N'!N25-'Allocation - N Gas'!N25</f>
        <v>2837.6990264516057</v>
      </c>
      <c r="O25" s="76">
        <f ca="1">'Total Allocation - N'!O25-'Allocation - N Gas'!O25</f>
        <v>602.89832952225822</v>
      </c>
      <c r="P25" s="76">
        <f ca="1">'Total Allocation - N'!P25-'Allocation - N Gas'!P25</f>
        <v>79.030427184997535</v>
      </c>
      <c r="Q25" s="76"/>
      <c r="R25" s="76"/>
      <c r="S25" s="76">
        <f ca="1">'Total Allocation - N'!S25-'Allocation - N Gas'!S25</f>
        <v>0</v>
      </c>
      <c r="T25" s="76">
        <f ca="1">'Total Allocation - N'!T25-'Allocation - N Gas'!T25</f>
        <v>0</v>
      </c>
      <c r="U25" s="76">
        <f ca="1">'Total Allocation - N'!U25-'Allocation - N Gas'!U25</f>
        <v>0</v>
      </c>
      <c r="V25" s="76">
        <f ca="1">'Total Allocation - N'!V25-'Allocation - N Gas'!V25</f>
        <v>0</v>
      </c>
      <c r="W25" s="76">
        <f ca="1">'Total Allocation - N'!W25-'Allocation - N Gas'!W25</f>
        <v>0</v>
      </c>
      <c r="X25" s="76">
        <f ca="1">'Total Allocation - N'!X25-'Allocation - N Gas'!X25</f>
        <v>0</v>
      </c>
      <c r="Y25" s="76">
        <f ca="1">'Total Allocation - N'!Y25-'Allocation - N Gas'!Y25</f>
        <v>0</v>
      </c>
      <c r="Z25" s="76">
        <f ca="1">'Total Allocation - N'!Z25-'Allocation - N Gas'!Z25</f>
        <v>0</v>
      </c>
      <c r="AA25" s="76">
        <f ca="1">'Total Allocation - N'!AA25-'Allocation - N Gas'!AA25</f>
        <v>162.87347216530029</v>
      </c>
      <c r="AB25" s="76">
        <f ca="1">'Total Allocation - N'!AB25-'Allocation - N Gas'!AB25</f>
        <v>0</v>
      </c>
      <c r="AC25" s="76">
        <f ca="1">'Total Allocation - N'!AC25-'Allocation - N Gas'!AC25</f>
        <v>0</v>
      </c>
      <c r="AD25" s="48"/>
    </row>
    <row r="26" spans="1:30" x14ac:dyDescent="0.25">
      <c r="A26" s="2">
        <f t="shared" ref="A26:A28" si="4">A25+1</f>
        <v>10</v>
      </c>
      <c r="B26" s="31" t="s">
        <v>367</v>
      </c>
      <c r="D26" s="76">
        <f ca="1">'Total Allocation - N'!D26-'Allocation - N Gas'!D26</f>
        <v>290.91065568303998</v>
      </c>
      <c r="F26" s="76">
        <f>'Total Allocation - N'!F26-'Allocation - N Gas'!F26</f>
        <v>0</v>
      </c>
      <c r="J26" s="76">
        <f t="shared" ca="1" si="3"/>
        <v>290.91065568303998</v>
      </c>
      <c r="L26" s="2" t="s">
        <v>453</v>
      </c>
      <c r="N26" s="76">
        <f ca="1">'Total Allocation - N'!N26-'Allocation - N Gas'!N26</f>
        <v>210.15859365674689</v>
      </c>
      <c r="O26" s="76">
        <f ca="1">'Total Allocation - N'!O26-'Allocation - N Gas'!O26</f>
        <v>55.300602219860934</v>
      </c>
      <c r="P26" s="76">
        <f ca="1">'Total Allocation - N'!P26-'Allocation - N Gas'!P26</f>
        <v>2.4775090311483998</v>
      </c>
      <c r="Q26" s="76"/>
      <c r="R26" s="76"/>
      <c r="S26" s="76">
        <f ca="1">'Total Allocation - N'!S26-'Allocation - N Gas'!S26</f>
        <v>0</v>
      </c>
      <c r="T26" s="76">
        <f ca="1">'Total Allocation - N'!T26-'Allocation - N Gas'!T26</f>
        <v>0</v>
      </c>
      <c r="U26" s="76">
        <f ca="1">'Total Allocation - N'!U26-'Allocation - N Gas'!U26</f>
        <v>9.6583954691469547</v>
      </c>
      <c r="V26" s="76">
        <f ca="1">'Total Allocation - N'!V26-'Allocation - N Gas'!V26</f>
        <v>0.64708243918607711</v>
      </c>
      <c r="W26" s="76">
        <f ca="1">'Total Allocation - N'!W26-'Allocation - N Gas'!W26</f>
        <v>7.5263845377124676</v>
      </c>
      <c r="X26" s="76">
        <f ca="1">'Total Allocation - N'!X26-'Allocation - N Gas'!X26</f>
        <v>0.82550700625819806</v>
      </c>
      <c r="Y26" s="76">
        <f ca="1">'Total Allocation - N'!Y26-'Allocation - N Gas'!Y26</f>
        <v>8.4002014876614947E-2</v>
      </c>
      <c r="Z26" s="76">
        <f ca="1">'Total Allocation - N'!Z26-'Allocation - N Gas'!Z26</f>
        <v>0</v>
      </c>
      <c r="AA26" s="76">
        <f ca="1">'Total Allocation - N'!AA26-'Allocation - N Gas'!AA26</f>
        <v>4.2325793081033849</v>
      </c>
      <c r="AB26" s="76">
        <f ca="1">'Total Allocation - N'!AB26-'Allocation - N Gas'!AB26</f>
        <v>0</v>
      </c>
      <c r="AC26" s="76">
        <f ca="1">'Total Allocation - N'!AC26-'Allocation - N Gas'!AC26</f>
        <v>0</v>
      </c>
      <c r="AD26" s="48"/>
    </row>
    <row r="27" spans="1:30" x14ac:dyDescent="0.25">
      <c r="A27" s="2">
        <f t="shared" si="4"/>
        <v>11</v>
      </c>
      <c r="B27" s="31" t="s">
        <v>369</v>
      </c>
      <c r="D27" s="76">
        <f ca="1">'Total Allocation - N'!D27-'Allocation - N Gas'!D27</f>
        <v>0</v>
      </c>
      <c r="F27" s="76">
        <f>'Total Allocation - N'!F27-'Allocation - N Gas'!F27</f>
        <v>0</v>
      </c>
      <c r="J27" s="76">
        <f t="shared" ca="1" si="3"/>
        <v>0</v>
      </c>
      <c r="L27" s="2" t="s">
        <v>454</v>
      </c>
      <c r="N27" s="76">
        <f ca="1">'Total Allocation - N'!N27-'Allocation - N Gas'!N27</f>
        <v>0</v>
      </c>
      <c r="O27" s="76">
        <f ca="1">'Total Allocation - N'!O27-'Allocation - N Gas'!O27</f>
        <v>0</v>
      </c>
      <c r="P27" s="76">
        <f ca="1">'Total Allocation - N'!P27-'Allocation - N Gas'!P27</f>
        <v>0</v>
      </c>
      <c r="Q27" s="76"/>
      <c r="R27" s="76"/>
      <c r="S27" s="76">
        <f ca="1">'Total Allocation - N'!S27-'Allocation - N Gas'!S27</f>
        <v>0</v>
      </c>
      <c r="T27" s="76">
        <f ca="1">'Total Allocation - N'!T27-'Allocation - N Gas'!T27</f>
        <v>0</v>
      </c>
      <c r="U27" s="76">
        <f ca="1">'Total Allocation - N'!U27-'Allocation - N Gas'!U27</f>
        <v>0</v>
      </c>
      <c r="V27" s="76">
        <f ca="1">'Total Allocation - N'!V27-'Allocation - N Gas'!V27</f>
        <v>0</v>
      </c>
      <c r="W27" s="76">
        <f ca="1">'Total Allocation - N'!W27-'Allocation - N Gas'!W27</f>
        <v>0</v>
      </c>
      <c r="X27" s="76">
        <f ca="1">'Total Allocation - N'!X27-'Allocation - N Gas'!X27</f>
        <v>0</v>
      </c>
      <c r="Y27" s="76">
        <f ca="1">'Total Allocation - N'!Y27-'Allocation - N Gas'!Y27</f>
        <v>0</v>
      </c>
      <c r="Z27" s="76">
        <f ca="1">'Total Allocation - N'!Z27-'Allocation - N Gas'!Z27</f>
        <v>0</v>
      </c>
      <c r="AA27" s="76">
        <f ca="1">'Total Allocation - N'!AA27-'Allocation - N Gas'!AA27</f>
        <v>0</v>
      </c>
      <c r="AB27" s="76">
        <f ca="1">'Total Allocation - N'!AB27-'Allocation - N Gas'!AB27</f>
        <v>0</v>
      </c>
      <c r="AC27" s="76">
        <f ca="1">'Total Allocation - N'!AC27-'Allocation - N Gas'!AC27</f>
        <v>0</v>
      </c>
      <c r="AD27" s="48"/>
    </row>
    <row r="28" spans="1:30" x14ac:dyDescent="0.25">
      <c r="A28" s="2">
        <f t="shared" si="4"/>
        <v>12</v>
      </c>
      <c r="B28" s="31" t="s">
        <v>371</v>
      </c>
      <c r="D28" s="40">
        <f ca="1">SUM(D24:D27)</f>
        <v>8581.8652350779103</v>
      </c>
      <c r="F28" s="40">
        <f>SUM(F24:F27)</f>
        <v>1607.9389000323333</v>
      </c>
      <c r="H28" s="115"/>
      <c r="J28" s="40">
        <f ca="1">SUM(J24:J27)</f>
        <v>6973.9263350455785</v>
      </c>
      <c r="N28" s="40">
        <f t="shared" ref="N28:AA28" ca="1" si="5">SUM(N24:N27)</f>
        <v>6319.3760583732446</v>
      </c>
      <c r="O28" s="40">
        <f t="shared" ca="1" si="5"/>
        <v>1645.7085774788461</v>
      </c>
      <c r="P28" s="40">
        <f t="shared" ca="1" si="5"/>
        <v>214.21759677827316</v>
      </c>
      <c r="Q28" s="40"/>
      <c r="R28" s="40"/>
      <c r="S28" s="40">
        <f t="shared" ca="1" si="5"/>
        <v>0</v>
      </c>
      <c r="T28" s="40">
        <f t="shared" ca="1" si="5"/>
        <v>0</v>
      </c>
      <c r="U28" s="40">
        <f t="shared" ca="1" si="5"/>
        <v>9.6583954691469547</v>
      </c>
      <c r="V28" s="40">
        <f t="shared" ca="1" si="5"/>
        <v>0.64708243918607711</v>
      </c>
      <c r="W28" s="40">
        <f t="shared" ca="1" si="5"/>
        <v>7.5263845377124676</v>
      </c>
      <c r="X28" s="40">
        <f t="shared" ca="1" si="5"/>
        <v>0.82550700625819806</v>
      </c>
      <c r="Y28" s="40">
        <f t="shared" ca="1" si="5"/>
        <v>8.4002014876614947E-2</v>
      </c>
      <c r="Z28" s="40">
        <f t="shared" ca="1" si="5"/>
        <v>0</v>
      </c>
      <c r="AA28" s="40">
        <f t="shared" ca="1" si="5"/>
        <v>383.82163098036688</v>
      </c>
      <c r="AB28" s="40">
        <f ca="1">SUM(AB24:AB27)</f>
        <v>0</v>
      </c>
      <c r="AC28" s="40">
        <f ca="1">SUM(AC24:AC27)</f>
        <v>0</v>
      </c>
      <c r="AD28" s="48"/>
    </row>
    <row r="29" spans="1:30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48"/>
    </row>
    <row r="31" spans="1:30" x14ac:dyDescent="0.25">
      <c r="A31" s="2">
        <f>A28+1</f>
        <v>13</v>
      </c>
      <c r="B31" s="31" t="s">
        <v>373</v>
      </c>
      <c r="D31" s="76">
        <f ca="1">'Total Allocation - N'!D31-'Allocation - N Gas'!D31</f>
        <v>346.55278235722216</v>
      </c>
      <c r="F31" s="76">
        <f>'Total Allocation - N'!F31-'Allocation - N Gas'!F31</f>
        <v>0</v>
      </c>
      <c r="J31" s="76">
        <f ca="1">D31-F31</f>
        <v>346.55278235722216</v>
      </c>
      <c r="L31" s="2" t="s">
        <v>455</v>
      </c>
      <c r="N31" s="76">
        <f ca="1">'Total Allocation - N'!N31-'Allocation - N Gas'!N31</f>
        <v>249.10716288497355</v>
      </c>
      <c r="O31" s="76">
        <f ca="1">'Total Allocation - N'!O31-'Allocation - N Gas'!O31</f>
        <v>73.227900424519547</v>
      </c>
      <c r="P31" s="76">
        <f ca="1">'Total Allocation - N'!P31-'Allocation - N Gas'!P31</f>
        <v>12.639457368732403</v>
      </c>
      <c r="Q31" s="76"/>
      <c r="R31" s="76"/>
      <c r="S31" s="76">
        <f ca="1">'Total Allocation - N'!S31-'Allocation - N Gas'!S31</f>
        <v>0</v>
      </c>
      <c r="T31" s="76">
        <f ca="1">'Total Allocation - N'!T31-'Allocation - N Gas'!T31</f>
        <v>0</v>
      </c>
      <c r="U31" s="76">
        <f ca="1">'Total Allocation - N'!U31-'Allocation - N Gas'!U31</f>
        <v>0</v>
      </c>
      <c r="V31" s="76">
        <f ca="1">'Total Allocation - N'!V31-'Allocation - N Gas'!V31</f>
        <v>0</v>
      </c>
      <c r="W31" s="76">
        <f ca="1">'Total Allocation - N'!W31-'Allocation - N Gas'!W31</f>
        <v>0</v>
      </c>
      <c r="X31" s="76">
        <f ca="1">'Total Allocation - N'!X31-'Allocation - N Gas'!X31</f>
        <v>0</v>
      </c>
      <c r="Y31" s="76">
        <f ca="1">'Total Allocation - N'!Y31-'Allocation - N Gas'!Y31</f>
        <v>0</v>
      </c>
      <c r="Z31" s="76">
        <f ca="1">'Total Allocation - N'!Z31-'Allocation - N Gas'!Z31</f>
        <v>0</v>
      </c>
      <c r="AA31" s="76">
        <f ca="1">'Total Allocation - N'!AA31-'Allocation - N Gas'!AA31</f>
        <v>11.578261678996595</v>
      </c>
      <c r="AB31" s="76">
        <f ca="1">'Total Allocation - N'!AB31-'Allocation - N Gas'!AB31</f>
        <v>0</v>
      </c>
      <c r="AC31" s="76">
        <f ca="1">'Total Allocation - N'!AC31-'Allocation - N Gas'!AC31</f>
        <v>0</v>
      </c>
      <c r="AD31" s="48"/>
    </row>
    <row r="32" spans="1:30" x14ac:dyDescent="0.25">
      <c r="A32" s="2">
        <f>A31+1</f>
        <v>14</v>
      </c>
      <c r="B32" s="31" t="s">
        <v>375</v>
      </c>
      <c r="D32" s="76">
        <f ca="1">'Total Allocation - N'!D32-'Allocation - N Gas'!D32</f>
        <v>0</v>
      </c>
      <c r="F32" s="76">
        <f>'Total Allocation - N'!F32-'Allocation - N Gas'!F32</f>
        <v>0</v>
      </c>
      <c r="J32" s="76">
        <f t="shared" ref="J32:J38" ca="1" si="6">D32-F32</f>
        <v>0</v>
      </c>
      <c r="L32" s="2" t="s">
        <v>456</v>
      </c>
      <c r="N32" s="76">
        <f ca="1">'Total Allocation - N'!N32-'Allocation - N Gas'!N32</f>
        <v>0</v>
      </c>
      <c r="O32" s="76">
        <f ca="1">'Total Allocation - N'!O32-'Allocation - N Gas'!O32</f>
        <v>0</v>
      </c>
      <c r="P32" s="76">
        <f ca="1">'Total Allocation - N'!P32-'Allocation - N Gas'!P32</f>
        <v>0</v>
      </c>
      <c r="Q32" s="76"/>
      <c r="R32" s="76"/>
      <c r="S32" s="76">
        <f ca="1">'Total Allocation - N'!S32-'Allocation - N Gas'!S32</f>
        <v>0</v>
      </c>
      <c r="T32" s="76">
        <f ca="1">'Total Allocation - N'!T32-'Allocation - N Gas'!T32</f>
        <v>0</v>
      </c>
      <c r="U32" s="76">
        <f ca="1">'Total Allocation - N'!U32-'Allocation - N Gas'!U32</f>
        <v>0</v>
      </c>
      <c r="V32" s="76">
        <f ca="1">'Total Allocation - N'!V32-'Allocation - N Gas'!V32</f>
        <v>0</v>
      </c>
      <c r="W32" s="76">
        <f ca="1">'Total Allocation - N'!W32-'Allocation - N Gas'!W32</f>
        <v>0</v>
      </c>
      <c r="X32" s="76">
        <f ca="1">'Total Allocation - N'!X32-'Allocation - N Gas'!X32</f>
        <v>0</v>
      </c>
      <c r="Y32" s="76">
        <f ca="1">'Total Allocation - N'!Y32-'Allocation - N Gas'!Y32</f>
        <v>0</v>
      </c>
      <c r="Z32" s="76">
        <f ca="1">'Total Allocation - N'!Z32-'Allocation - N Gas'!Z32</f>
        <v>0</v>
      </c>
      <c r="AA32" s="76">
        <f ca="1">'Total Allocation - N'!AA32-'Allocation - N Gas'!AA32</f>
        <v>0</v>
      </c>
      <c r="AB32" s="76">
        <f ca="1">'Total Allocation - N'!AB32-'Allocation - N Gas'!AB32</f>
        <v>0</v>
      </c>
      <c r="AC32" s="76">
        <f ca="1">'Total Allocation - N'!AC32-'Allocation - N Gas'!AC32</f>
        <v>0</v>
      </c>
      <c r="AD32" s="48"/>
    </row>
    <row r="33" spans="1:30" x14ac:dyDescent="0.25">
      <c r="A33" s="2">
        <f t="shared" ref="A33:A39" si="7">A32+1</f>
        <v>15</v>
      </c>
      <c r="B33" s="31" t="s">
        <v>377</v>
      </c>
      <c r="D33" s="76">
        <f ca="1">'Total Allocation - N'!D33-'Allocation - N Gas'!D33</f>
        <v>2246.0811933588025</v>
      </c>
      <c r="F33" s="76">
        <f>'Total Allocation - N'!F33-'Allocation - N Gas'!F33</f>
        <v>0</v>
      </c>
      <c r="J33" s="76">
        <f t="shared" ca="1" si="6"/>
        <v>2246.0811933588025</v>
      </c>
      <c r="L33" s="2" t="s">
        <v>457</v>
      </c>
      <c r="N33" s="76">
        <f ca="1">'Total Allocation - N'!N33-'Allocation - N Gas'!N33</f>
        <v>1622.4388326326716</v>
      </c>
      <c r="O33" s="76">
        <f ca="1">'Total Allocation - N'!O33-'Allocation - N Gas'!O33</f>
        <v>476.9344562595299</v>
      </c>
      <c r="P33" s="76">
        <f ca="1">'Total Allocation - N'!P33-'Allocation - N Gas'!P33</f>
        <v>76.5682474269003</v>
      </c>
      <c r="Q33" s="76"/>
      <c r="R33" s="76"/>
      <c r="S33" s="76">
        <f ca="1">'Total Allocation - N'!S33-'Allocation - N Gas'!S33</f>
        <v>0</v>
      </c>
      <c r="T33" s="76">
        <f ca="1">'Total Allocation - N'!T33-'Allocation - N Gas'!T33</f>
        <v>0</v>
      </c>
      <c r="U33" s="76">
        <f ca="1">'Total Allocation - N'!U33-'Allocation - N Gas'!U33</f>
        <v>0</v>
      </c>
      <c r="V33" s="76">
        <f ca="1">'Total Allocation - N'!V33-'Allocation - N Gas'!V33</f>
        <v>0</v>
      </c>
      <c r="W33" s="76">
        <f ca="1">'Total Allocation - N'!W33-'Allocation - N Gas'!W33</f>
        <v>0</v>
      </c>
      <c r="X33" s="76">
        <f ca="1">'Total Allocation - N'!X33-'Allocation - N Gas'!X33</f>
        <v>0</v>
      </c>
      <c r="Y33" s="76">
        <f ca="1">'Total Allocation - N'!Y33-'Allocation - N Gas'!Y33</f>
        <v>0</v>
      </c>
      <c r="Z33" s="76">
        <f ca="1">'Total Allocation - N'!Z33-'Allocation - N Gas'!Z33</f>
        <v>0</v>
      </c>
      <c r="AA33" s="76">
        <f ca="1">'Total Allocation - N'!AA33-'Allocation - N Gas'!AA33</f>
        <v>70.139657039700765</v>
      </c>
      <c r="AB33" s="76">
        <f ca="1">'Total Allocation - N'!AB33-'Allocation - N Gas'!AB33</f>
        <v>0</v>
      </c>
      <c r="AC33" s="76">
        <f ca="1">'Total Allocation - N'!AC33-'Allocation - N Gas'!AC33</f>
        <v>0</v>
      </c>
      <c r="AD33" s="48"/>
    </row>
    <row r="34" spans="1:30" x14ac:dyDescent="0.25">
      <c r="A34" s="2">
        <f t="shared" si="7"/>
        <v>16</v>
      </c>
      <c r="B34" s="31" t="s">
        <v>379</v>
      </c>
      <c r="D34" s="76">
        <f ca="1">'Total Allocation - N'!D34-'Allocation - N Gas'!D34</f>
        <v>7589.6466546897955</v>
      </c>
      <c r="F34" s="76">
        <f>'Total Allocation - N'!F34-'Allocation - N Gas'!F34</f>
        <v>0</v>
      </c>
      <c r="J34" s="76">
        <f t="shared" ca="1" si="6"/>
        <v>7589.6466546897955</v>
      </c>
      <c r="L34" s="2" t="s">
        <v>458</v>
      </c>
      <c r="N34" s="76">
        <f ca="1">'Total Allocation - N'!N34-'Allocation - N Gas'!N34</f>
        <v>5455.548019523223</v>
      </c>
      <c r="O34" s="76">
        <f ca="1">'Total Allocation - N'!O34-'Allocation - N Gas'!O34</f>
        <v>1603.7207541852247</v>
      </c>
      <c r="P34" s="76">
        <f ca="1">'Total Allocation - N'!P34-'Allocation - N Gas'!P34</f>
        <v>276.80924874760285</v>
      </c>
      <c r="Q34" s="76"/>
      <c r="R34" s="76"/>
      <c r="S34" s="76">
        <f ca="1">'Total Allocation - N'!S34-'Allocation - N Gas'!S34</f>
        <v>0</v>
      </c>
      <c r="T34" s="76">
        <f ca="1">'Total Allocation - N'!T34-'Allocation - N Gas'!T34</f>
        <v>0</v>
      </c>
      <c r="U34" s="76">
        <f ca="1">'Total Allocation - N'!U34-'Allocation - N Gas'!U34</f>
        <v>0</v>
      </c>
      <c r="V34" s="76">
        <f ca="1">'Total Allocation - N'!V34-'Allocation - N Gas'!V34</f>
        <v>0</v>
      </c>
      <c r="W34" s="76">
        <f ca="1">'Total Allocation - N'!W34-'Allocation - N Gas'!W34</f>
        <v>0</v>
      </c>
      <c r="X34" s="76">
        <f ca="1">'Total Allocation - N'!X34-'Allocation - N Gas'!X34</f>
        <v>0</v>
      </c>
      <c r="Y34" s="76">
        <f ca="1">'Total Allocation - N'!Y34-'Allocation - N Gas'!Y34</f>
        <v>0</v>
      </c>
      <c r="Z34" s="76">
        <f ca="1">'Total Allocation - N'!Z34-'Allocation - N Gas'!Z34</f>
        <v>0</v>
      </c>
      <c r="AA34" s="76">
        <f ca="1">'Total Allocation - N'!AA34-'Allocation - N Gas'!AA34</f>
        <v>253.56863223374515</v>
      </c>
      <c r="AB34" s="76">
        <f ca="1">'Total Allocation - N'!AB34-'Allocation - N Gas'!AB34</f>
        <v>0</v>
      </c>
      <c r="AC34" s="76">
        <f ca="1">'Total Allocation - N'!AC34-'Allocation - N Gas'!AC34</f>
        <v>0</v>
      </c>
      <c r="AD34" s="48"/>
    </row>
    <row r="35" spans="1:30" x14ac:dyDescent="0.25">
      <c r="A35" s="2">
        <f t="shared" si="7"/>
        <v>17</v>
      </c>
      <c r="B35" s="31" t="s">
        <v>381</v>
      </c>
      <c r="D35" s="76">
        <f ca="1">'Total Allocation - N'!D35-'Allocation - N Gas'!D35</f>
        <v>0</v>
      </c>
      <c r="F35" s="76">
        <f>'Total Allocation - N'!F35-'Allocation - N Gas'!F35</f>
        <v>0</v>
      </c>
      <c r="J35" s="76">
        <f t="shared" ca="1" si="6"/>
        <v>0</v>
      </c>
      <c r="L35" s="2" t="s">
        <v>459</v>
      </c>
      <c r="N35" s="76">
        <f ca="1">'Total Allocation - N'!N35-'Allocation - N Gas'!N35</f>
        <v>0</v>
      </c>
      <c r="O35" s="76">
        <f ca="1">'Total Allocation - N'!O35-'Allocation - N Gas'!O35</f>
        <v>0</v>
      </c>
      <c r="P35" s="76">
        <f ca="1">'Total Allocation - N'!P35-'Allocation - N Gas'!P35</f>
        <v>0</v>
      </c>
      <c r="Q35" s="76"/>
      <c r="R35" s="76"/>
      <c r="S35" s="76">
        <f ca="1">'Total Allocation - N'!S35-'Allocation - N Gas'!S35</f>
        <v>0</v>
      </c>
      <c r="T35" s="76">
        <f ca="1">'Total Allocation - N'!T35-'Allocation - N Gas'!T35</f>
        <v>0</v>
      </c>
      <c r="U35" s="76">
        <f ca="1">'Total Allocation - N'!U35-'Allocation - N Gas'!U35</f>
        <v>0</v>
      </c>
      <c r="V35" s="76">
        <f ca="1">'Total Allocation - N'!V35-'Allocation - N Gas'!V35</f>
        <v>0</v>
      </c>
      <c r="W35" s="76">
        <f ca="1">'Total Allocation - N'!W35-'Allocation - N Gas'!W35</f>
        <v>0</v>
      </c>
      <c r="X35" s="76">
        <f ca="1">'Total Allocation - N'!X35-'Allocation - N Gas'!X35</f>
        <v>0</v>
      </c>
      <c r="Y35" s="76">
        <f ca="1">'Total Allocation - N'!Y35-'Allocation - N Gas'!Y35</f>
        <v>0</v>
      </c>
      <c r="Z35" s="76">
        <f ca="1">'Total Allocation - N'!Z35-'Allocation - N Gas'!Z35</f>
        <v>0</v>
      </c>
      <c r="AA35" s="76">
        <f ca="1">'Total Allocation - N'!AA35-'Allocation - N Gas'!AA35</f>
        <v>0</v>
      </c>
      <c r="AB35" s="76">
        <f ca="1">'Total Allocation - N'!AB35-'Allocation - N Gas'!AB35</f>
        <v>0</v>
      </c>
      <c r="AC35" s="76">
        <f ca="1">'Total Allocation - N'!AC35-'Allocation - N Gas'!AC35</f>
        <v>0</v>
      </c>
      <c r="AD35" s="48"/>
    </row>
    <row r="36" spans="1:30" x14ac:dyDescent="0.25">
      <c r="A36" s="2">
        <f t="shared" si="7"/>
        <v>18</v>
      </c>
      <c r="B36" s="31" t="s">
        <v>383</v>
      </c>
      <c r="D36" s="76">
        <f ca="1">'Total Allocation - N'!D36-'Allocation - N Gas'!D36</f>
        <v>0</v>
      </c>
      <c r="F36" s="76">
        <f>'Total Allocation - N'!F36-'Allocation - N Gas'!F36</f>
        <v>0</v>
      </c>
      <c r="J36" s="76">
        <f t="shared" ca="1" si="6"/>
        <v>0</v>
      </c>
      <c r="L36" s="2" t="s">
        <v>460</v>
      </c>
      <c r="N36" s="76">
        <f ca="1">'Total Allocation - N'!N36-'Allocation - N Gas'!N36</f>
        <v>0</v>
      </c>
      <c r="O36" s="76">
        <f ca="1">'Total Allocation - N'!O36-'Allocation - N Gas'!O36</f>
        <v>0</v>
      </c>
      <c r="P36" s="76">
        <f ca="1">'Total Allocation - N'!P36-'Allocation - N Gas'!P36</f>
        <v>0</v>
      </c>
      <c r="Q36" s="76"/>
      <c r="R36" s="76"/>
      <c r="S36" s="76">
        <f ca="1">'Total Allocation - N'!S36-'Allocation - N Gas'!S36</f>
        <v>0</v>
      </c>
      <c r="T36" s="76">
        <f ca="1">'Total Allocation - N'!T36-'Allocation - N Gas'!T36</f>
        <v>0</v>
      </c>
      <c r="U36" s="76">
        <f ca="1">'Total Allocation - N'!U36-'Allocation - N Gas'!U36</f>
        <v>0</v>
      </c>
      <c r="V36" s="76">
        <f ca="1">'Total Allocation - N'!V36-'Allocation - N Gas'!V36</f>
        <v>0</v>
      </c>
      <c r="W36" s="76">
        <f ca="1">'Total Allocation - N'!W36-'Allocation - N Gas'!W36</f>
        <v>0</v>
      </c>
      <c r="X36" s="76">
        <f ca="1">'Total Allocation - N'!X36-'Allocation - N Gas'!X36</f>
        <v>0</v>
      </c>
      <c r="Y36" s="76">
        <f ca="1">'Total Allocation - N'!Y36-'Allocation - N Gas'!Y36</f>
        <v>0</v>
      </c>
      <c r="Z36" s="76">
        <f ca="1">'Total Allocation - N'!Z36-'Allocation - N Gas'!Z36</f>
        <v>0</v>
      </c>
      <c r="AA36" s="76">
        <f ca="1">'Total Allocation - N'!AA36-'Allocation - N Gas'!AA36</f>
        <v>0</v>
      </c>
      <c r="AB36" s="76">
        <f ca="1">'Total Allocation - N'!AB36-'Allocation - N Gas'!AB36</f>
        <v>0</v>
      </c>
      <c r="AC36" s="76">
        <f ca="1">'Total Allocation - N'!AC36-'Allocation - N Gas'!AC36</f>
        <v>0</v>
      </c>
      <c r="AD36" s="48"/>
    </row>
    <row r="37" spans="1:30" x14ac:dyDescent="0.25">
      <c r="A37" s="2">
        <f t="shared" si="7"/>
        <v>19</v>
      </c>
      <c r="B37" s="31" t="s">
        <v>385</v>
      </c>
      <c r="D37" s="76">
        <f ca="1">'Total Allocation - N'!D37-'Allocation - N Gas'!D37</f>
        <v>0</v>
      </c>
      <c r="F37" s="76">
        <f>'Total Allocation - N'!F37-'Allocation - N Gas'!F37</f>
        <v>0</v>
      </c>
      <c r="J37" s="76">
        <f t="shared" ca="1" si="6"/>
        <v>0</v>
      </c>
      <c r="L37" s="2" t="s">
        <v>461</v>
      </c>
      <c r="N37" s="76">
        <f ca="1">'Total Allocation - N'!N37-'Allocation - N Gas'!N37</f>
        <v>0</v>
      </c>
      <c r="O37" s="76">
        <f ca="1">'Total Allocation - N'!O37-'Allocation - N Gas'!O37</f>
        <v>0</v>
      </c>
      <c r="P37" s="76">
        <f ca="1">'Total Allocation - N'!P37-'Allocation - N Gas'!P37</f>
        <v>0</v>
      </c>
      <c r="Q37" s="76"/>
      <c r="R37" s="76"/>
      <c r="S37" s="76">
        <f ca="1">'Total Allocation - N'!S37-'Allocation - N Gas'!S37</f>
        <v>0</v>
      </c>
      <c r="T37" s="76">
        <f ca="1">'Total Allocation - N'!T37-'Allocation - N Gas'!T37</f>
        <v>0</v>
      </c>
      <c r="U37" s="76">
        <f ca="1">'Total Allocation - N'!U37-'Allocation - N Gas'!U37</f>
        <v>0</v>
      </c>
      <c r="V37" s="76">
        <f ca="1">'Total Allocation - N'!V37-'Allocation - N Gas'!V37</f>
        <v>0</v>
      </c>
      <c r="W37" s="76">
        <f ca="1">'Total Allocation - N'!W37-'Allocation - N Gas'!W37</f>
        <v>0</v>
      </c>
      <c r="X37" s="76">
        <f ca="1">'Total Allocation - N'!X37-'Allocation - N Gas'!X37</f>
        <v>0</v>
      </c>
      <c r="Y37" s="76">
        <f ca="1">'Total Allocation - N'!Y37-'Allocation - N Gas'!Y37</f>
        <v>0</v>
      </c>
      <c r="Z37" s="76">
        <f ca="1">'Total Allocation - N'!Z37-'Allocation - N Gas'!Z37</f>
        <v>0</v>
      </c>
      <c r="AA37" s="76">
        <f ca="1">'Total Allocation - N'!AA37-'Allocation - N Gas'!AA37</f>
        <v>0</v>
      </c>
      <c r="AB37" s="76">
        <f ca="1">'Total Allocation - N'!AB37-'Allocation - N Gas'!AB37</f>
        <v>0</v>
      </c>
      <c r="AC37" s="76">
        <f ca="1">'Total Allocation - N'!AC37-'Allocation - N Gas'!AC37</f>
        <v>0</v>
      </c>
      <c r="AD37" s="48"/>
    </row>
    <row r="38" spans="1:30" x14ac:dyDescent="0.25">
      <c r="A38" s="2">
        <f t="shared" si="7"/>
        <v>20</v>
      </c>
      <c r="B38" s="31" t="s">
        <v>386</v>
      </c>
      <c r="D38" s="76">
        <f ca="1">'Total Allocation - N'!D38-'Allocation - N Gas'!D38</f>
        <v>0</v>
      </c>
      <c r="F38" s="76">
        <f>'Total Allocation - N'!F38-'Allocation - N Gas'!F38</f>
        <v>0</v>
      </c>
      <c r="H38" s="2" t="s">
        <v>462</v>
      </c>
      <c r="J38" s="76">
        <f t="shared" ca="1" si="6"/>
        <v>0</v>
      </c>
      <c r="L38" s="2" t="s">
        <v>463</v>
      </c>
      <c r="N38" s="76">
        <f ca="1">'Total Allocation - N'!N38-'Allocation - N Gas'!N38</f>
        <v>0</v>
      </c>
      <c r="O38" s="76">
        <f ca="1">'Total Allocation - N'!O38-'Allocation - N Gas'!O38</f>
        <v>0</v>
      </c>
      <c r="P38" s="76">
        <f ca="1">'Total Allocation - N'!P38-'Allocation - N Gas'!P38</f>
        <v>0</v>
      </c>
      <c r="Q38" s="76"/>
      <c r="R38" s="76"/>
      <c r="S38" s="76">
        <f ca="1">'Total Allocation - N'!S38-'Allocation - N Gas'!S38</f>
        <v>0</v>
      </c>
      <c r="T38" s="76">
        <f ca="1">'Total Allocation - N'!T38-'Allocation - N Gas'!T38</f>
        <v>0</v>
      </c>
      <c r="U38" s="76">
        <f ca="1">'Total Allocation - N'!U38-'Allocation - N Gas'!U38</f>
        <v>0</v>
      </c>
      <c r="V38" s="76">
        <f ca="1">'Total Allocation - N'!V38-'Allocation - N Gas'!V38</f>
        <v>0</v>
      </c>
      <c r="W38" s="76">
        <f ca="1">'Total Allocation - N'!W38-'Allocation - N Gas'!W38</f>
        <v>0</v>
      </c>
      <c r="X38" s="76">
        <f ca="1">'Total Allocation - N'!X38-'Allocation - N Gas'!X38</f>
        <v>0</v>
      </c>
      <c r="Y38" s="76">
        <f ca="1">'Total Allocation - N'!Y38-'Allocation - N Gas'!Y38</f>
        <v>0</v>
      </c>
      <c r="Z38" s="76">
        <f ca="1">'Total Allocation - N'!Z38-'Allocation - N Gas'!Z38</f>
        <v>0</v>
      </c>
      <c r="AA38" s="76">
        <f ca="1">'Total Allocation - N'!AA38-'Allocation - N Gas'!AA38</f>
        <v>0</v>
      </c>
      <c r="AB38" s="76">
        <f ca="1">'Total Allocation - N'!AB38-'Allocation - N Gas'!AB38</f>
        <v>0</v>
      </c>
      <c r="AC38" s="76">
        <f ca="1">'Total Allocation - N'!AC38-'Allocation - N Gas'!AC38</f>
        <v>0</v>
      </c>
      <c r="AD38" s="48"/>
    </row>
    <row r="39" spans="1:30" x14ac:dyDescent="0.25">
      <c r="A39" s="2">
        <f t="shared" si="7"/>
        <v>21</v>
      </c>
      <c r="B39" s="31" t="s">
        <v>389</v>
      </c>
      <c r="D39" s="40">
        <f ca="1">SUM(D31:D38)</f>
        <v>10182.280630405819</v>
      </c>
      <c r="F39" s="40">
        <f>SUM(F31:F38)</f>
        <v>0</v>
      </c>
      <c r="J39" s="40">
        <f ca="1">SUM(J31:J38)</f>
        <v>10182.280630405819</v>
      </c>
      <c r="N39" s="40">
        <f t="shared" ref="N39:AA39" ca="1" si="8">SUM(N31:N38)</f>
        <v>7327.0940150408678</v>
      </c>
      <c r="O39" s="40">
        <f t="shared" ca="1" si="8"/>
        <v>2153.8831108692739</v>
      </c>
      <c r="P39" s="40">
        <f t="shared" ca="1" si="8"/>
        <v>366.01695354323556</v>
      </c>
      <c r="Q39" s="40"/>
      <c r="R39" s="40"/>
      <c r="S39" s="40">
        <f t="shared" ca="1" si="8"/>
        <v>0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0</v>
      </c>
      <c r="X39" s="40">
        <f t="shared" ca="1" si="8"/>
        <v>0</v>
      </c>
      <c r="Y39" s="40">
        <f t="shared" ca="1" si="8"/>
        <v>0</v>
      </c>
      <c r="Z39" s="40">
        <f t="shared" ca="1" si="8"/>
        <v>0</v>
      </c>
      <c r="AA39" s="40">
        <f t="shared" ca="1" si="8"/>
        <v>335.2865509524425</v>
      </c>
      <c r="AB39" s="40">
        <f ca="1">SUM(AB31:AB38)</f>
        <v>0</v>
      </c>
      <c r="AC39" s="40">
        <f ca="1">SUM(AC31:AC38)</f>
        <v>0</v>
      </c>
      <c r="AD39" s="48"/>
    </row>
    <row r="40" spans="1:30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16846.428697137788</v>
      </c>
      <c r="F42" s="80">
        <f>F21+F28+F39</f>
        <v>109.06346927785148</v>
      </c>
      <c r="J42" s="80">
        <f ca="1">J21+J28+J39</f>
        <v>16737.36522785994</v>
      </c>
      <c r="N42" s="80">
        <f t="shared" ref="N42:AC42" ca="1" si="9">N21+N28+N39</f>
        <v>12403.518144804861</v>
      </c>
      <c r="O42" s="80">
        <f t="shared" ca="1" si="9"/>
        <v>3330.3609794277422</v>
      </c>
      <c r="P42" s="80">
        <f t="shared" ca="1" si="9"/>
        <v>473.63782117680734</v>
      </c>
      <c r="Q42" s="80"/>
      <c r="R42" s="80"/>
      <c r="S42" s="80">
        <f t="shared" ca="1" si="9"/>
        <v>0</v>
      </c>
      <c r="T42" s="80">
        <f t="shared" ca="1" si="9"/>
        <v>0</v>
      </c>
      <c r="U42" s="80">
        <f t="shared" ca="1" si="9"/>
        <v>9.6583954691469547</v>
      </c>
      <c r="V42" s="80">
        <f t="shared" ca="1" si="9"/>
        <v>0.64708243918607711</v>
      </c>
      <c r="W42" s="80">
        <f t="shared" ca="1" si="9"/>
        <v>7.5263845377124676</v>
      </c>
      <c r="X42" s="80">
        <f t="shared" ca="1" si="9"/>
        <v>0.82550700625819806</v>
      </c>
      <c r="Y42" s="80">
        <f t="shared" ca="1" si="9"/>
        <v>-1.8627182955439898</v>
      </c>
      <c r="Z42" s="80">
        <f t="shared" ca="1" si="9"/>
        <v>0</v>
      </c>
      <c r="AA42" s="80">
        <f t="shared" ca="1" si="9"/>
        <v>622.11710057162054</v>
      </c>
      <c r="AB42" s="80">
        <f t="shared" ca="1" si="9"/>
        <v>0</v>
      </c>
      <c r="AC42" s="80">
        <f t="shared" ca="1" si="9"/>
        <v>0</v>
      </c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  <row r="46" spans="1:30" x14ac:dyDescent="0.25">
      <c r="N46" s="99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419B-C439-4BFC-9B20-1FF7F4970B93}">
  <sheetPr>
    <tabColor theme="0" tint="-0.249977111117893"/>
  </sheetPr>
  <dimension ref="A6:AC45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4" width="12.81640625" style="31" customWidth="1"/>
    <col min="15" max="15" width="14.54296875" style="31" customWidth="1"/>
    <col min="16" max="16" width="17.1796875" style="31" customWidth="1"/>
    <col min="17" max="17" width="16.81640625" style="31" hidden="1" customWidth="1"/>
    <col min="18" max="18" width="14.7265625" style="31" hidden="1" customWidth="1"/>
    <col min="19" max="19" width="15.81640625" style="31" customWidth="1"/>
    <col min="20" max="16384" width="9.1796875" style="31"/>
  </cols>
  <sheetData>
    <row r="6" spans="1:29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29" x14ac:dyDescent="0.25">
      <c r="B7" s="158" t="s">
        <v>466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29" x14ac:dyDescent="0.25">
      <c r="D9" s="2" t="s">
        <v>337</v>
      </c>
    </row>
    <row r="10" spans="1:29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29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29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3" spans="1:29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/>
      <c r="R13" s="70"/>
    </row>
    <row r="14" spans="1:29" x14ac:dyDescent="0.25">
      <c r="B14" s="74" t="s">
        <v>348</v>
      </c>
    </row>
    <row r="15" spans="1:29" x14ac:dyDescent="0.25">
      <c r="A15" s="2">
        <v>1</v>
      </c>
      <c r="B15" s="31" t="s">
        <v>349</v>
      </c>
      <c r="D15" s="76">
        <f ca="1">'Rate Zone Allocation - Gas Cost'!P15</f>
        <v>104134.65440462345</v>
      </c>
      <c r="F15" s="76"/>
      <c r="J15" s="76">
        <f ca="1">D15-F15</f>
        <v>104134.65440462345</v>
      </c>
      <c r="L15" s="2" t="s">
        <v>445</v>
      </c>
      <c r="N15" s="76">
        <f ca="1">IF($J15&lt;&gt;0,VLOOKUP($L15,'Allocation Factors - N'!$B$13:$U$173,5,FALSE)*$J15,0)+IF($F15&lt;&gt;0,VLOOKUP($H15,'Allocation Factors - N'!$B$13:$U$173,5,FALSE)*$F15,0)</f>
        <v>87463.637420311716</v>
      </c>
      <c r="O15" s="76">
        <f ca="1">IF($J15&lt;&gt;0,VLOOKUP($L15,'Allocation Factors - N'!$B$13:$U$173,6,FALSE)*$J15,0)+IF($F15&lt;&gt;0,VLOOKUP($H15,'Allocation Factors - N'!$B$13:$U$173,6,FALSE)*$F15,0)</f>
        <v>14474.597429381745</v>
      </c>
      <c r="P15" s="76">
        <f ca="1">IF($J15&lt;&gt;0,VLOOKUP($L15,'Allocation Factors - N'!$B$13:$U$173,7,FALSE)*$J15,0)+IF($F15&lt;&gt;0,VLOOKUP($H15,'Allocation Factors - N'!$B$13:$U$173,7,FALSE)*$F15,0)</f>
        <v>1466.692128336975</v>
      </c>
      <c r="Q15" s="76"/>
      <c r="R15" s="76"/>
      <c r="S15" s="76">
        <f ca="1">IF($J15&lt;&gt;0,VLOOKUP($L15,'Allocation Factors - N'!$B$13:$U$173,10,FALSE)*$J15,0)+IF($F15&lt;&gt;0,VLOOKUP($H15,'Allocation Factors - N'!$B$13:$U$173,10,FALSE)*$F15,0)</f>
        <v>0</v>
      </c>
      <c r="T15" s="76">
        <f ca="1">IF($J15&lt;&gt;0,VLOOKUP($L15,'Allocation Factors - N'!$B$13:$U$173,11,FALSE)*$J15,0)+IF($F15&lt;&gt;0,VLOOKUP($H15,'Allocation Factors - N'!$B$13:$U$173,11,FALSE)*$F15,0)</f>
        <v>0</v>
      </c>
      <c r="U15" s="76">
        <f ca="1">IF($J15&lt;&gt;0,VLOOKUP($L15,'Allocation Factors - N'!$B$13:$U$173,12,FALSE)*$J15,0)+IF($F15&lt;&gt;0,VLOOKUP($H15,'Allocation Factors - N'!$B$13:$U$173,12,FALSE)*$F15,0)</f>
        <v>0</v>
      </c>
      <c r="V15" s="76">
        <f ca="1">IF($J15&lt;&gt;0,VLOOKUP($L15,'Allocation Factors - N'!$B$13:$U$173,13,FALSE)*$J15,0)+IF($F15&lt;&gt;0,VLOOKUP($H15,'Allocation Factors - N'!$B$13:$U$173,13,FALSE)*$F15,0)</f>
        <v>0</v>
      </c>
      <c r="W15" s="76">
        <f ca="1">IF($J15&lt;&gt;0,VLOOKUP($L15,'Allocation Factors - N'!$B$13:$U$173,14,FALSE)*$J15,0)+IF($F15&lt;&gt;0,VLOOKUP($H15,'Allocation Factors - N'!$B$13:$U$173,14,FALSE)*$F15,0)</f>
        <v>0</v>
      </c>
      <c r="X15" s="76">
        <f ca="1">IF($J15&lt;&gt;0,VLOOKUP($L15,'Allocation Factors - N'!$B$13:$U$173,15,FALSE)*$J15,0)+IF($F15&lt;&gt;0,VLOOKUP($H15,'Allocation Factors - N'!$B$13:$U$173,15,FALSE)*$F15,0)</f>
        <v>0</v>
      </c>
      <c r="Y15" s="76">
        <f ca="1">IF($J15&lt;&gt;0,VLOOKUP($L15,'Allocation Factors - N'!$B$13:$U$173,16,FALSE)*$J15,0)+IF($F15&lt;&gt;0,VLOOKUP($H15,'Allocation Factors - N'!$B$13:$U$173,16,FALSE)*$F15,0)</f>
        <v>729.72742659301787</v>
      </c>
      <c r="Z15" s="76">
        <f ca="1">IF($J15&lt;&gt;0,VLOOKUP($L15,'Allocation Factors - N'!$B$13:$U$173,17,FALSE)*$J15,0)+IF($F15&lt;&gt;0,VLOOKUP($H15,'Allocation Factors - N'!$B$13:$U$173,17,FALSE)*$F15,0)</f>
        <v>0</v>
      </c>
      <c r="AA15" s="76">
        <f ca="1">IF($J15&lt;&gt;0,VLOOKUP($L15,'Allocation Factors - N'!$B$13:$U$173,18,FALSE)*$J15,0)+IF($F15&lt;&gt;0,VLOOKUP($H15,'Allocation Factors - N'!$B$13:$U$173,18,FALSE)*$F15,0)</f>
        <v>0</v>
      </c>
      <c r="AB15" s="76">
        <f ca="1">IF($J15&lt;&gt;0,VLOOKUP($L15,'Allocation Factors - N'!$B$13:$U$173,19,FALSE)*$J15,0)+IF($F15&lt;&gt;0,VLOOKUP($H15,'Allocation Factors - N'!$B$13:$U$173,19,FALSE)*$F15,0)</f>
        <v>0</v>
      </c>
      <c r="AC15" s="76">
        <f ca="1">IF($J15&lt;&gt;0,VLOOKUP($L15,'Allocation Factors - N'!$B$13:$U$173,20,FALSE)*$J15,0)+IF($F15&lt;&gt;0,VLOOKUP($H15,'Allocation Factors - N'!$B$13:$U$173,20,FALSE)*$F15,0)</f>
        <v>0</v>
      </c>
    </row>
    <row r="16" spans="1:29" x14ac:dyDescent="0.25">
      <c r="A16" s="2">
        <f>A15+1</f>
        <v>2</v>
      </c>
      <c r="B16" s="31" t="s">
        <v>351</v>
      </c>
      <c r="D16" s="76">
        <f ca="1">'Rate Zone Allocation - Gas Cost'!P16</f>
        <v>27530.517387322485</v>
      </c>
      <c r="E16" s="71"/>
      <c r="F16" s="76"/>
      <c r="J16" s="76">
        <f ca="1">D16-F16</f>
        <v>27530.517387322485</v>
      </c>
      <c r="L16" s="2" t="s">
        <v>446</v>
      </c>
      <c r="N16" s="76">
        <f ca="1">IF($J16&lt;&gt;0,VLOOKUP($L16,'Allocation Factors - N'!$B$13:$U$173,5,FALSE)*$J16,0)+IF($F16&lt;&gt;0,VLOOKUP($H16,'Allocation Factors - N'!$B$13:$U$173,5,FALSE)*$F16,0)</f>
        <v>19328.495657610147</v>
      </c>
      <c r="O16" s="76">
        <f ca="1">IF($J16&lt;&gt;0,VLOOKUP($L16,'Allocation Factors - N'!$B$13:$U$173,6,FALSE)*$J16,0)+IF($F16&lt;&gt;0,VLOOKUP($H16,'Allocation Factors - N'!$B$13:$U$173,6,FALSE)*$F16,0)</f>
        <v>5834.3170792562087</v>
      </c>
      <c r="P16" s="76">
        <f ca="1">IF($J16&lt;&gt;0,VLOOKUP($L16,'Allocation Factors - N'!$B$13:$U$173,7,FALSE)*$J16,0)+IF($F16&lt;&gt;0,VLOOKUP($H16,'Allocation Factors - N'!$B$13:$U$173,7,FALSE)*$F16,0)</f>
        <v>784.06346970137417</v>
      </c>
      <c r="Q16" s="76"/>
      <c r="R16" s="76"/>
      <c r="S16" s="76">
        <f ca="1">IF($J16&lt;&gt;0,VLOOKUP($L16,'Allocation Factors - N'!$B$13:$U$173,10,FALSE)*$J16,0)+IF($F16&lt;&gt;0,VLOOKUP($H16,'Allocation Factors - N'!$B$13:$U$173,10,FALSE)*$F16,0)</f>
        <v>0</v>
      </c>
      <c r="T16" s="76">
        <f ca="1">IF($J16&lt;&gt;0,VLOOKUP($L16,'Allocation Factors - N'!$B$13:$U$173,11,FALSE)*$J16,0)+IF($F16&lt;&gt;0,VLOOKUP($H16,'Allocation Factors - N'!$B$13:$U$173,11,FALSE)*$F16,0)</f>
        <v>0</v>
      </c>
      <c r="U16" s="76">
        <f ca="1">IF($J16&lt;&gt;0,VLOOKUP($L16,'Allocation Factors - N'!$B$13:$U$173,12,FALSE)*$J16,0)+IF($F16&lt;&gt;0,VLOOKUP($H16,'Allocation Factors - N'!$B$13:$U$173,12,FALSE)*$F16,0)</f>
        <v>0</v>
      </c>
      <c r="V16" s="76">
        <f ca="1">IF($J16&lt;&gt;0,VLOOKUP($L16,'Allocation Factors - N'!$B$13:$U$173,13,FALSE)*$J16,0)+IF($F16&lt;&gt;0,VLOOKUP($H16,'Allocation Factors - N'!$B$13:$U$173,13,FALSE)*$F16,0)</f>
        <v>0</v>
      </c>
      <c r="W16" s="76">
        <f ca="1">IF($J16&lt;&gt;0,VLOOKUP($L16,'Allocation Factors - N'!$B$13:$U$173,14,FALSE)*$J16,0)+IF($F16&lt;&gt;0,VLOOKUP($H16,'Allocation Factors - N'!$B$13:$U$173,14,FALSE)*$F16,0)</f>
        <v>0</v>
      </c>
      <c r="X16" s="76">
        <f ca="1">IF($J16&lt;&gt;0,VLOOKUP($L16,'Allocation Factors - N'!$B$13:$U$173,15,FALSE)*$J16,0)+IF($F16&lt;&gt;0,VLOOKUP($H16,'Allocation Factors - N'!$B$13:$U$173,15,FALSE)*$F16,0)</f>
        <v>0</v>
      </c>
      <c r="Y16" s="76">
        <f ca="1">IF($J16&lt;&gt;0,VLOOKUP($L16,'Allocation Factors - N'!$B$13:$U$173,16,FALSE)*$J16,0)+IF($F16&lt;&gt;0,VLOOKUP($H16,'Allocation Factors - N'!$B$13:$U$173,16,FALSE)*$F16,0)</f>
        <v>0</v>
      </c>
      <c r="Z16" s="76">
        <f ca="1">IF($J16&lt;&gt;0,VLOOKUP($L16,'Allocation Factors - N'!$B$13:$U$173,17,FALSE)*$J16,0)+IF($F16&lt;&gt;0,VLOOKUP($H16,'Allocation Factors - N'!$B$13:$U$173,17,FALSE)*$F16,0)</f>
        <v>0</v>
      </c>
      <c r="AA16" s="76">
        <f ca="1">IF($J16&lt;&gt;0,VLOOKUP($L16,'Allocation Factors - N'!$B$13:$U$173,18,FALSE)*$J16,0)+IF($F16&lt;&gt;0,VLOOKUP($H16,'Allocation Factors - N'!$B$13:$U$173,18,FALSE)*$F16,0)</f>
        <v>1583.641180754754</v>
      </c>
      <c r="AB16" s="76">
        <f ca="1">IF($J16&lt;&gt;0,VLOOKUP($L16,'Allocation Factors - N'!$B$13:$U$173,19,FALSE)*$J16,0)+IF($F16&lt;&gt;0,VLOOKUP($H16,'Allocation Factors - N'!$B$13:$U$173,19,FALSE)*$F16,0)</f>
        <v>0</v>
      </c>
      <c r="AC16" s="76">
        <f ca="1">IF($J16&lt;&gt;0,VLOOKUP($L16,'Allocation Factors - N'!$B$13:$U$173,20,FALSE)*$J16,0)+IF($F16&lt;&gt;0,VLOOKUP($H16,'Allocation Factors - N'!$B$13:$U$173,20,FALSE)*$F16,0)</f>
        <v>0</v>
      </c>
    </row>
    <row r="17" spans="1:29" x14ac:dyDescent="0.25">
      <c r="A17" s="2">
        <f t="shared" ref="A17:A21" si="0">A16+1</f>
        <v>3</v>
      </c>
      <c r="B17" s="31" t="s">
        <v>353</v>
      </c>
      <c r="D17" s="76">
        <f ca="1">'Rate Zone Allocation - Gas Cost'!P17</f>
        <v>1935.8745702546512</v>
      </c>
      <c r="F17" s="76"/>
      <c r="J17" s="76">
        <f t="shared" ref="J17:J20" ca="1" si="1">D17-F17</f>
        <v>1935.8745702546512</v>
      </c>
      <c r="L17" s="2" t="s">
        <v>447</v>
      </c>
      <c r="N17" s="76">
        <f ca="1">IF($J17&lt;&gt;0,VLOOKUP($L17,'Allocation Factors - N'!$B$13:$U$173,5,FALSE)*$J17,0)+IF($F17&lt;&gt;0,VLOOKUP($H17,'Allocation Factors - N'!$B$13:$U$173,5,FALSE)*$F17,0)</f>
        <v>1374.2678737086503</v>
      </c>
      <c r="O17" s="76">
        <f ca="1">IF($J17&lt;&gt;0,VLOOKUP($L17,'Allocation Factors - N'!$B$13:$U$173,6,FALSE)*$J17,0)+IF($F17&lt;&gt;0,VLOOKUP($H17,'Allocation Factors - N'!$B$13:$U$173,6,FALSE)*$F17,0)</f>
        <v>414.82351596745332</v>
      </c>
      <c r="P17" s="76">
        <f ca="1">IF($J17&lt;&gt;0,VLOOKUP($L17,'Allocation Factors - N'!$B$13:$U$173,7,FALSE)*$J17,0)+IF($F17&lt;&gt;0,VLOOKUP($H17,'Allocation Factors - N'!$B$13:$U$173,7,FALSE)*$F17,0)</f>
        <v>55.747392681069236</v>
      </c>
      <c r="Q17" s="76"/>
      <c r="R17" s="76"/>
      <c r="S17" s="76">
        <f ca="1">IF($J17&lt;&gt;0,VLOOKUP($L17,'Allocation Factors - N'!$B$13:$U$173,10,FALSE)*$J17,0)+IF($F17&lt;&gt;0,VLOOKUP($H17,'Allocation Factors - N'!$B$13:$U$173,10,FALSE)*$F17,0)</f>
        <v>0</v>
      </c>
      <c r="T17" s="76">
        <f ca="1">IF($J17&lt;&gt;0,VLOOKUP($L17,'Allocation Factors - N'!$B$13:$U$173,11,FALSE)*$J17,0)+IF($F17&lt;&gt;0,VLOOKUP($H17,'Allocation Factors - N'!$B$13:$U$173,11,FALSE)*$F17,0)</f>
        <v>0</v>
      </c>
      <c r="U17" s="76">
        <f ca="1">IF($J17&lt;&gt;0,VLOOKUP($L17,'Allocation Factors - N'!$B$13:$U$173,12,FALSE)*$J17,0)+IF($F17&lt;&gt;0,VLOOKUP($H17,'Allocation Factors - N'!$B$13:$U$173,12,FALSE)*$F17,0)</f>
        <v>0</v>
      </c>
      <c r="V17" s="76">
        <f ca="1">IF($J17&lt;&gt;0,VLOOKUP($L17,'Allocation Factors - N'!$B$13:$U$173,13,FALSE)*$J17,0)+IF($F17&lt;&gt;0,VLOOKUP($H17,'Allocation Factors - N'!$B$13:$U$173,13,FALSE)*$F17,0)</f>
        <v>0</v>
      </c>
      <c r="W17" s="76">
        <f ca="1">IF($J17&lt;&gt;0,VLOOKUP($L17,'Allocation Factors - N'!$B$13:$U$173,14,FALSE)*$J17,0)+IF($F17&lt;&gt;0,VLOOKUP($H17,'Allocation Factors - N'!$B$13:$U$173,14,FALSE)*$F17,0)</f>
        <v>0</v>
      </c>
      <c r="X17" s="76">
        <f ca="1">IF($J17&lt;&gt;0,VLOOKUP($L17,'Allocation Factors - N'!$B$13:$U$173,15,FALSE)*$J17,0)+IF($F17&lt;&gt;0,VLOOKUP($H17,'Allocation Factors - N'!$B$13:$U$173,15,FALSE)*$F17,0)</f>
        <v>0</v>
      </c>
      <c r="Y17" s="76">
        <f ca="1">IF($J17&lt;&gt;0,VLOOKUP($L17,'Allocation Factors - N'!$B$13:$U$173,16,FALSE)*$J17,0)+IF($F17&lt;&gt;0,VLOOKUP($H17,'Allocation Factors - N'!$B$13:$U$173,16,FALSE)*$F17,0)</f>
        <v>0</v>
      </c>
      <c r="Z17" s="76">
        <f ca="1">IF($J17&lt;&gt;0,VLOOKUP($L17,'Allocation Factors - N'!$B$13:$U$173,17,FALSE)*$J17,0)+IF($F17&lt;&gt;0,VLOOKUP($H17,'Allocation Factors - N'!$B$13:$U$173,17,FALSE)*$F17,0)</f>
        <v>0</v>
      </c>
      <c r="AA17" s="76">
        <f ca="1">IF($J17&lt;&gt;0,VLOOKUP($L17,'Allocation Factors - N'!$B$13:$U$173,18,FALSE)*$J17,0)+IF($F17&lt;&gt;0,VLOOKUP($H17,'Allocation Factors - N'!$B$13:$U$173,18,FALSE)*$F17,0)</f>
        <v>91.035787897478329</v>
      </c>
      <c r="AB17" s="76">
        <f ca="1">IF($J17&lt;&gt;0,VLOOKUP($L17,'Allocation Factors - N'!$B$13:$U$173,19,FALSE)*$J17,0)+IF($F17&lt;&gt;0,VLOOKUP($H17,'Allocation Factors - N'!$B$13:$U$173,19,FALSE)*$F17,0)</f>
        <v>0</v>
      </c>
      <c r="AC17" s="76">
        <f ca="1">IF($J17&lt;&gt;0,VLOOKUP($L17,'Allocation Factors - N'!$B$13:$U$173,20,FALSE)*$J17,0)+IF($F17&lt;&gt;0,VLOOKUP($H17,'Allocation Factors - N'!$B$13:$U$173,20,FALSE)*$F17,0)</f>
        <v>0</v>
      </c>
    </row>
    <row r="18" spans="1:29" x14ac:dyDescent="0.25">
      <c r="A18" s="2">
        <f t="shared" si="0"/>
        <v>4</v>
      </c>
      <c r="B18" s="31" t="s">
        <v>355</v>
      </c>
      <c r="D18" s="76">
        <f ca="1">'Rate Zone Allocation - Gas Cost'!P18</f>
        <v>16638.490695454806</v>
      </c>
      <c r="F18" s="48"/>
      <c r="H18" s="2" t="s">
        <v>448</v>
      </c>
      <c r="J18" s="76">
        <f t="shared" ca="1" si="1"/>
        <v>16638.490695454806</v>
      </c>
      <c r="L18" s="2" t="s">
        <v>449</v>
      </c>
      <c r="N18" s="76">
        <f ca="1">IF($J18&lt;&gt;0,VLOOKUP($L18,'Allocation Factors - N'!$B$13:$U$173,5,FALSE)*$J18,0)+IF($F18&lt;&gt;0,VLOOKUP($H18,'Allocation Factors - N'!$B$13:$U$173,5,FALSE)*$F18,0)</f>
        <v>11457.144868917187</v>
      </c>
      <c r="O18" s="76">
        <f ca="1">IF($J18&lt;&gt;0,VLOOKUP($L18,'Allocation Factors - N'!$B$13:$U$173,6,FALSE)*$J18,0)+IF($F18&lt;&gt;0,VLOOKUP($H18,'Allocation Factors - N'!$B$13:$U$173,6,FALSE)*$F18,0)</f>
        <v>3330.812237429448</v>
      </c>
      <c r="P18" s="76">
        <f ca="1">IF($J18&lt;&gt;0,VLOOKUP($L18,'Allocation Factors - N'!$B$13:$U$173,7,FALSE)*$J18,0)+IF($F18&lt;&gt;0,VLOOKUP($H18,'Allocation Factors - N'!$B$13:$U$173,7,FALSE)*$F18,0)</f>
        <v>1550.2719396533109</v>
      </c>
      <c r="Q18" s="76"/>
      <c r="R18" s="76"/>
      <c r="S18" s="76">
        <f ca="1">IF($J18&lt;&gt;0,VLOOKUP($L18,'Allocation Factors - N'!$B$13:$U$173,10,FALSE)*$J18,0)+IF($F18&lt;&gt;0,VLOOKUP($H18,'Allocation Factors - N'!$B$13:$U$173,10,FALSE)*$F18,0)</f>
        <v>0</v>
      </c>
      <c r="T18" s="76">
        <f ca="1">IF($J18&lt;&gt;0,VLOOKUP($L18,'Allocation Factors - N'!$B$13:$U$173,11,FALSE)*$J18,0)+IF($F18&lt;&gt;0,VLOOKUP($H18,'Allocation Factors - N'!$B$13:$U$173,11,FALSE)*$F18,0)</f>
        <v>0</v>
      </c>
      <c r="U18" s="76">
        <f ca="1">IF($J18&lt;&gt;0,VLOOKUP($L18,'Allocation Factors - N'!$B$13:$U$173,12,FALSE)*$J18,0)+IF($F18&lt;&gt;0,VLOOKUP($H18,'Allocation Factors - N'!$B$13:$U$173,12,FALSE)*$F18,0)</f>
        <v>0</v>
      </c>
      <c r="V18" s="76">
        <f ca="1">IF($J18&lt;&gt;0,VLOOKUP($L18,'Allocation Factors - N'!$B$13:$U$173,13,FALSE)*$J18,0)+IF($F18&lt;&gt;0,VLOOKUP($H18,'Allocation Factors - N'!$B$13:$U$173,13,FALSE)*$F18,0)</f>
        <v>0</v>
      </c>
      <c r="W18" s="76">
        <f ca="1">IF($J18&lt;&gt;0,VLOOKUP($L18,'Allocation Factors - N'!$B$13:$U$173,14,FALSE)*$J18,0)+IF($F18&lt;&gt;0,VLOOKUP($H18,'Allocation Factors - N'!$B$13:$U$173,14,FALSE)*$F18,0)</f>
        <v>0</v>
      </c>
      <c r="X18" s="76">
        <f ca="1">IF($J18&lt;&gt;0,VLOOKUP($L18,'Allocation Factors - N'!$B$13:$U$173,15,FALSE)*$J18,0)+IF($F18&lt;&gt;0,VLOOKUP($H18,'Allocation Factors - N'!$B$13:$U$173,15,FALSE)*$F18,0)</f>
        <v>0</v>
      </c>
      <c r="Y18" s="76">
        <f ca="1">IF($J18&lt;&gt;0,VLOOKUP($L18,'Allocation Factors - N'!$B$13:$U$173,16,FALSE)*$J18,0)+IF($F18&lt;&gt;0,VLOOKUP($H18,'Allocation Factors - N'!$B$13:$U$173,16,FALSE)*$F18,0)</f>
        <v>82.197490049613293</v>
      </c>
      <c r="Z18" s="76">
        <f ca="1">IF($J18&lt;&gt;0,VLOOKUP($L18,'Allocation Factors - N'!$B$13:$U$173,17,FALSE)*$J18,0)+IF($F18&lt;&gt;0,VLOOKUP($H18,'Allocation Factors - N'!$B$13:$U$173,17,FALSE)*$F18,0)</f>
        <v>0</v>
      </c>
      <c r="AA18" s="76">
        <f ca="1">IF($J18&lt;&gt;0,VLOOKUP($L18,'Allocation Factors - N'!$B$13:$U$173,18,FALSE)*$J18,0)+IF($F18&lt;&gt;0,VLOOKUP($H18,'Allocation Factors - N'!$B$13:$U$173,18,FALSE)*$F18,0)</f>
        <v>218.06415940524585</v>
      </c>
      <c r="AB18" s="76">
        <f ca="1">IF($J18&lt;&gt;0,VLOOKUP($L18,'Allocation Factors - N'!$B$13:$U$173,19,FALSE)*$J18,0)+IF($F18&lt;&gt;0,VLOOKUP($H18,'Allocation Factors - N'!$B$13:$U$173,19,FALSE)*$F18,0)</f>
        <v>0</v>
      </c>
      <c r="AC18" s="76">
        <f ca="1">IF($J18&lt;&gt;0,VLOOKUP($L18,'Allocation Factors - N'!$B$13:$U$173,20,FALSE)*$J18,0)+IF($F18&lt;&gt;0,VLOOKUP($H18,'Allocation Factors - N'!$B$13:$U$173,20,FALSE)*$F18,0)</f>
        <v>0</v>
      </c>
    </row>
    <row r="19" spans="1:29" x14ac:dyDescent="0.25">
      <c r="A19" s="2">
        <f t="shared" si="0"/>
        <v>5</v>
      </c>
      <c r="B19" s="31" t="s">
        <v>358</v>
      </c>
      <c r="D19" s="76">
        <f ca="1">'Rate Zone Allocation - Gas Cost'!P19</f>
        <v>2349.3688172958259</v>
      </c>
      <c r="F19" s="76"/>
      <c r="J19" s="76">
        <f t="shared" ca="1" si="1"/>
        <v>2349.3688172958259</v>
      </c>
      <c r="L19" s="2" t="s">
        <v>450</v>
      </c>
      <c r="N19" s="76">
        <f ca="1">IF($J19&lt;&gt;0,VLOOKUP($L19,'Allocation Factors - N'!$B$13:$U$173,5,FALSE)*$J19,0)+IF($F19&lt;&gt;0,VLOOKUP($H19,'Allocation Factors - N'!$B$13:$U$173,5,FALSE)*$F19,0)</f>
        <v>1698.826202629187</v>
      </c>
      <c r="O19" s="76">
        <f ca="1">IF($J19&lt;&gt;0,VLOOKUP($L19,'Allocation Factors - N'!$B$13:$U$173,6,FALSE)*$J19,0)+IF($F19&lt;&gt;0,VLOOKUP($H19,'Allocation Factors - N'!$B$13:$U$173,6,FALSE)*$F19,0)</f>
        <v>493.88143117002204</v>
      </c>
      <c r="P19" s="76">
        <f ca="1">IF($J19&lt;&gt;0,VLOOKUP($L19,'Allocation Factors - N'!$B$13:$U$173,7,FALSE)*$J19,0)+IF($F19&lt;&gt;0,VLOOKUP($H19,'Allocation Factors - N'!$B$13:$U$173,7,FALSE)*$F19,0)</f>
        <v>128.92991199392404</v>
      </c>
      <c r="Q19" s="76"/>
      <c r="R19" s="76"/>
      <c r="S19" s="76">
        <f ca="1">IF($J19&lt;&gt;0,VLOOKUP($L19,'Allocation Factors - N'!$B$13:$U$173,10,FALSE)*$J19,0)+IF($F19&lt;&gt;0,VLOOKUP($H19,'Allocation Factors - N'!$B$13:$U$173,10,FALSE)*$F19,0)</f>
        <v>0</v>
      </c>
      <c r="T19" s="76">
        <f ca="1">IF($J19&lt;&gt;0,VLOOKUP($L19,'Allocation Factors - N'!$B$13:$U$173,11,FALSE)*$J19,0)+IF($F19&lt;&gt;0,VLOOKUP($H19,'Allocation Factors - N'!$B$13:$U$173,11,FALSE)*$F19,0)</f>
        <v>0</v>
      </c>
      <c r="U19" s="76">
        <f ca="1">IF($J19&lt;&gt;0,VLOOKUP($L19,'Allocation Factors - N'!$B$13:$U$173,12,FALSE)*$J19,0)+IF($F19&lt;&gt;0,VLOOKUP($H19,'Allocation Factors - N'!$B$13:$U$173,12,FALSE)*$F19,0)</f>
        <v>0</v>
      </c>
      <c r="V19" s="76">
        <f ca="1">IF($J19&lt;&gt;0,VLOOKUP($L19,'Allocation Factors - N'!$B$13:$U$173,13,FALSE)*$J19,0)+IF($F19&lt;&gt;0,VLOOKUP($H19,'Allocation Factors - N'!$B$13:$U$173,13,FALSE)*$F19,0)</f>
        <v>0</v>
      </c>
      <c r="W19" s="76">
        <f ca="1">IF($J19&lt;&gt;0,VLOOKUP($L19,'Allocation Factors - N'!$B$13:$U$173,14,FALSE)*$J19,0)+IF($F19&lt;&gt;0,VLOOKUP($H19,'Allocation Factors - N'!$B$13:$U$173,14,FALSE)*$F19,0)</f>
        <v>0</v>
      </c>
      <c r="X19" s="76">
        <f ca="1">IF($J19&lt;&gt;0,VLOOKUP($L19,'Allocation Factors - N'!$B$13:$U$173,15,FALSE)*$J19,0)+IF($F19&lt;&gt;0,VLOOKUP($H19,'Allocation Factors - N'!$B$13:$U$173,15,FALSE)*$F19,0)</f>
        <v>0</v>
      </c>
      <c r="Y19" s="76">
        <f ca="1">IF($J19&lt;&gt;0,VLOOKUP($L19,'Allocation Factors - N'!$B$13:$U$173,16,FALSE)*$J19,0)+IF($F19&lt;&gt;0,VLOOKUP($H19,'Allocation Factors - N'!$B$13:$U$173,16,FALSE)*$F19,0)</f>
        <v>13.368528836563286</v>
      </c>
      <c r="Z19" s="76">
        <f ca="1">IF($J19&lt;&gt;0,VLOOKUP($L19,'Allocation Factors - N'!$B$13:$U$173,17,FALSE)*$J19,0)+IF($F19&lt;&gt;0,VLOOKUP($H19,'Allocation Factors - N'!$B$13:$U$173,17,FALSE)*$F19,0)</f>
        <v>0</v>
      </c>
      <c r="AA19" s="76">
        <f ca="1">IF($J19&lt;&gt;0,VLOOKUP($L19,'Allocation Factors - N'!$B$13:$U$173,18,FALSE)*$J19,0)+IF($F19&lt;&gt;0,VLOOKUP($H19,'Allocation Factors - N'!$B$13:$U$173,18,FALSE)*$F19,0)</f>
        <v>14.362742666130009</v>
      </c>
      <c r="AB19" s="76">
        <f ca="1">IF($J19&lt;&gt;0,VLOOKUP($L19,'Allocation Factors - N'!$B$13:$U$173,19,FALSE)*$J19,0)+IF($F19&lt;&gt;0,VLOOKUP($H19,'Allocation Factors - N'!$B$13:$U$173,19,FALSE)*$F19,0)</f>
        <v>0</v>
      </c>
      <c r="AC19" s="76">
        <f ca="1">IF($J19&lt;&gt;0,VLOOKUP($L19,'Allocation Factors - N'!$B$13:$U$173,20,FALSE)*$J19,0)+IF($F19&lt;&gt;0,VLOOKUP($H19,'Allocation Factors - N'!$B$13:$U$173,20,FALSE)*$F19,0)</f>
        <v>0</v>
      </c>
    </row>
    <row r="20" spans="1:29" x14ac:dyDescent="0.25">
      <c r="A20" s="2">
        <f t="shared" si="0"/>
        <v>6</v>
      </c>
      <c r="B20" s="31" t="s">
        <v>178</v>
      </c>
      <c r="D20" s="76">
        <f ca="1">'Rate Zone Allocation - Gas Cost'!P20</f>
        <v>0</v>
      </c>
      <c r="F20" s="76"/>
      <c r="J20" s="76">
        <f t="shared" ca="1" si="1"/>
        <v>0</v>
      </c>
      <c r="L20" s="2" t="s">
        <v>445</v>
      </c>
      <c r="N20" s="76">
        <f ca="1">IF($J20&lt;&gt;0,VLOOKUP($L20,'Allocation Factors - N'!$B$13:$U$173,5,FALSE)*$J20,0)+IF($F20&lt;&gt;0,VLOOKUP($H20,'Allocation Factors - N'!$B$13:$U$173,5,FALSE)*$F20,0)</f>
        <v>0</v>
      </c>
      <c r="O20" s="76">
        <f ca="1">IF($J20&lt;&gt;0,VLOOKUP($L20,'Allocation Factors - N'!$B$13:$U$173,6,FALSE)*$J20,0)+IF($F20&lt;&gt;0,VLOOKUP($H20,'Allocation Factors - N'!$B$13:$U$173,6,FALSE)*$F20,0)</f>
        <v>0</v>
      </c>
      <c r="P20" s="76">
        <f ca="1">IF($J20&lt;&gt;0,VLOOKUP($L20,'Allocation Factors - N'!$B$13:$U$173,7,FALSE)*$J20,0)+IF($F20&lt;&gt;0,VLOOKUP($H20,'Allocation Factors - N'!$B$13:$U$173,7,FALSE)*$F20,0)</f>
        <v>0</v>
      </c>
      <c r="Q20" s="76"/>
      <c r="R20" s="76"/>
      <c r="S20" s="76">
        <f ca="1">IF($J20&lt;&gt;0,VLOOKUP($L20,'Allocation Factors - N'!$B$13:$U$173,10,FALSE)*$J20,0)+IF($F20&lt;&gt;0,VLOOKUP($H20,'Allocation Factors - N'!$B$13:$U$173,10,FALSE)*$F20,0)</f>
        <v>0</v>
      </c>
      <c r="T20" s="76">
        <f ca="1">IF($J20&lt;&gt;0,VLOOKUP($L20,'Allocation Factors - N'!$B$13:$U$173,11,FALSE)*$J20,0)+IF($F20&lt;&gt;0,VLOOKUP($H20,'Allocation Factors - N'!$B$13:$U$173,11,FALSE)*$F20,0)</f>
        <v>0</v>
      </c>
      <c r="U20" s="76">
        <f ca="1">IF($J20&lt;&gt;0,VLOOKUP($L20,'Allocation Factors - N'!$B$13:$U$173,12,FALSE)*$J20,0)+IF($F20&lt;&gt;0,VLOOKUP($H20,'Allocation Factors - N'!$B$13:$U$173,12,FALSE)*$F20,0)</f>
        <v>0</v>
      </c>
      <c r="V20" s="76">
        <f ca="1">IF($J20&lt;&gt;0,VLOOKUP($L20,'Allocation Factors - N'!$B$13:$U$173,13,FALSE)*$J20,0)+IF($F20&lt;&gt;0,VLOOKUP($H20,'Allocation Factors - N'!$B$13:$U$173,13,FALSE)*$F20,0)</f>
        <v>0</v>
      </c>
      <c r="W20" s="76">
        <f ca="1">IF($J20&lt;&gt;0,VLOOKUP($L20,'Allocation Factors - N'!$B$13:$U$173,14,FALSE)*$J20,0)+IF($F20&lt;&gt;0,VLOOKUP($H20,'Allocation Factors - N'!$B$13:$U$173,14,FALSE)*$F20,0)</f>
        <v>0</v>
      </c>
      <c r="X20" s="76">
        <f ca="1">IF($J20&lt;&gt;0,VLOOKUP($L20,'Allocation Factors - N'!$B$13:$U$173,15,FALSE)*$J20,0)+IF($F20&lt;&gt;0,VLOOKUP($H20,'Allocation Factors - N'!$B$13:$U$173,15,FALSE)*$F20,0)</f>
        <v>0</v>
      </c>
      <c r="Y20" s="76">
        <f ca="1">IF($J20&lt;&gt;0,VLOOKUP($L20,'Allocation Factors - N'!$B$13:$U$173,16,FALSE)*$J20,0)+IF($F20&lt;&gt;0,VLOOKUP($H20,'Allocation Factors - N'!$B$13:$U$173,16,FALSE)*$F20,0)</f>
        <v>0</v>
      </c>
      <c r="Z20" s="76">
        <f ca="1">IF($J20&lt;&gt;0,VLOOKUP($L20,'Allocation Factors - N'!$B$13:$U$173,17,FALSE)*$J20,0)+IF($F20&lt;&gt;0,VLOOKUP($H20,'Allocation Factors - N'!$B$13:$U$173,17,FALSE)*$F20,0)</f>
        <v>0</v>
      </c>
      <c r="AA20" s="76">
        <f ca="1">IF($J20&lt;&gt;0,VLOOKUP($L20,'Allocation Factors - N'!$B$13:$U$173,18,FALSE)*$J20,0)+IF($F20&lt;&gt;0,VLOOKUP($H20,'Allocation Factors - N'!$B$13:$U$173,18,FALSE)*$F20,0)</f>
        <v>0</v>
      </c>
      <c r="AB20" s="76">
        <f ca="1">IF($J20&lt;&gt;0,VLOOKUP($L20,'Allocation Factors - N'!$B$13:$U$173,19,FALSE)*$J20,0)+IF($F20&lt;&gt;0,VLOOKUP($H20,'Allocation Factors - N'!$B$13:$U$173,19,FALSE)*$F20,0)</f>
        <v>0</v>
      </c>
      <c r="AC20" s="76">
        <f ca="1">IF($J20&lt;&gt;0,VLOOKUP($L20,'Allocation Factors - N'!$B$13:$U$173,20,FALSE)*$J20,0)+IF($F20&lt;&gt;0,VLOOKUP($H20,'Allocation Factors - N'!$B$13:$U$173,20,FALSE)*$F20,0)</f>
        <v>0</v>
      </c>
    </row>
    <row r="21" spans="1:29" x14ac:dyDescent="0.25">
      <c r="A21" s="2">
        <f t="shared" si="0"/>
        <v>7</v>
      </c>
      <c r="B21" s="31" t="s">
        <v>361</v>
      </c>
      <c r="D21" s="78">
        <f ca="1">SUM(D15:D20)</f>
        <v>152588.90587495122</v>
      </c>
      <c r="F21" s="78">
        <f>SUM(F15:F20)</f>
        <v>0</v>
      </c>
      <c r="J21" s="40">
        <f ca="1">SUM(J15:J20)</f>
        <v>152588.90587495122</v>
      </c>
      <c r="N21" s="40">
        <f t="shared" ref="N21:AA21" ca="1" si="2">SUM(N15:N20)</f>
        <v>121322.3720231769</v>
      </c>
      <c r="O21" s="40">
        <f t="shared" ca="1" si="2"/>
        <v>24548.431693204879</v>
      </c>
      <c r="P21" s="40">
        <f t="shared" ca="1" si="2"/>
        <v>3985.7048423666538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825.29344547919447</v>
      </c>
      <c r="Z21" s="40">
        <f t="shared" ca="1" si="2"/>
        <v>0</v>
      </c>
      <c r="AA21" s="40">
        <f t="shared" ca="1" si="2"/>
        <v>1907.1038707236082</v>
      </c>
      <c r="AB21" s="40">
        <f ca="1">SUM(AB15:AB20)</f>
        <v>0</v>
      </c>
      <c r="AC21" s="40">
        <f ca="1">SUM(AC15:AC20)</f>
        <v>0</v>
      </c>
    </row>
    <row r="22" spans="1:29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</row>
    <row r="23" spans="1:29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</row>
    <row r="24" spans="1:29" x14ac:dyDescent="0.25">
      <c r="A24" s="2">
        <f>A21+1</f>
        <v>8</v>
      </c>
      <c r="B24" s="31" t="s">
        <v>363</v>
      </c>
      <c r="D24" s="76">
        <f ca="1">'Rate Zone Allocation - Gas Cost'!P24</f>
        <v>492.5686177695224</v>
      </c>
      <c r="F24" s="76"/>
      <c r="J24" s="76">
        <f ca="1">D24-F24</f>
        <v>492.5686177695224</v>
      </c>
      <c r="L24" s="2" t="s">
        <v>447</v>
      </c>
      <c r="N24" s="76">
        <f ca="1">IF($J24&lt;&gt;0,VLOOKUP($L24,'Allocation Factors - N'!$B$13:$U$173,5,FALSE)*$J24,0)+IF($F24&lt;&gt;0,VLOOKUP($H24,'Allocation Factors - N'!$B$13:$U$173,5,FALSE)*$F24,0)</f>
        <v>349.67204869512079</v>
      </c>
      <c r="O24" s="76">
        <f ca="1">IF($J24&lt;&gt;0,VLOOKUP($L24,'Allocation Factors - N'!$B$13:$U$173,6,FALSE)*$J24,0)+IF($F24&lt;&gt;0,VLOOKUP($H24,'Allocation Factors - N'!$B$13:$U$173,6,FALSE)*$F24,0)</f>
        <v>105.54870083938536</v>
      </c>
      <c r="P24" s="76">
        <f ca="1">IF($J24&lt;&gt;0,VLOOKUP($L24,'Allocation Factors - N'!$B$13:$U$173,7,FALSE)*$J24,0)+IF($F24&lt;&gt;0,VLOOKUP($H24,'Allocation Factors - N'!$B$13:$U$173,7,FALSE)*$F24,0)</f>
        <v>14.184501712606806</v>
      </c>
      <c r="Q24" s="76"/>
      <c r="R24" s="76"/>
      <c r="S24" s="76">
        <f ca="1">IF($J24&lt;&gt;0,VLOOKUP($L24,'Allocation Factors - N'!$B$13:$U$173,10,FALSE)*$J24,0)+IF($F24&lt;&gt;0,VLOOKUP($H24,'Allocation Factors - N'!$B$13:$U$173,10,FALSE)*$F24,0)</f>
        <v>0</v>
      </c>
      <c r="T24" s="76">
        <f ca="1">IF($J24&lt;&gt;0,VLOOKUP($L24,'Allocation Factors - N'!$B$13:$U$173,11,FALSE)*$J24,0)+IF($F24&lt;&gt;0,VLOOKUP($H24,'Allocation Factors - N'!$B$13:$U$173,11,FALSE)*$F24,0)</f>
        <v>0</v>
      </c>
      <c r="U24" s="76">
        <f ca="1">IF($J24&lt;&gt;0,VLOOKUP($L24,'Allocation Factors - N'!$B$13:$U$173,12,FALSE)*$J24,0)+IF($F24&lt;&gt;0,VLOOKUP($H24,'Allocation Factors - N'!$B$13:$U$173,12,FALSE)*$F24,0)</f>
        <v>0</v>
      </c>
      <c r="V24" s="76">
        <f ca="1">IF($J24&lt;&gt;0,VLOOKUP($L24,'Allocation Factors - N'!$B$13:$U$173,13,FALSE)*$J24,0)+IF($F24&lt;&gt;0,VLOOKUP($H24,'Allocation Factors - N'!$B$13:$U$173,13,FALSE)*$F24,0)</f>
        <v>0</v>
      </c>
      <c r="W24" s="76">
        <f ca="1">IF($J24&lt;&gt;0,VLOOKUP($L24,'Allocation Factors - N'!$B$13:$U$173,14,FALSE)*$J24,0)+IF($F24&lt;&gt;0,VLOOKUP($H24,'Allocation Factors - N'!$B$13:$U$173,14,FALSE)*$F24,0)</f>
        <v>0</v>
      </c>
      <c r="X24" s="76">
        <f ca="1">IF($J24&lt;&gt;0,VLOOKUP($L24,'Allocation Factors - N'!$B$13:$U$173,15,FALSE)*$J24,0)+IF($F24&lt;&gt;0,VLOOKUP($H24,'Allocation Factors - N'!$B$13:$U$173,15,FALSE)*$F24,0)</f>
        <v>0</v>
      </c>
      <c r="Y24" s="76">
        <f ca="1">IF($J24&lt;&gt;0,VLOOKUP($L24,'Allocation Factors - N'!$B$13:$U$173,16,FALSE)*$J24,0)+IF($F24&lt;&gt;0,VLOOKUP($H24,'Allocation Factors - N'!$B$13:$U$173,16,FALSE)*$F24,0)</f>
        <v>0</v>
      </c>
      <c r="Z24" s="76">
        <f ca="1">IF($J24&lt;&gt;0,VLOOKUP($L24,'Allocation Factors - N'!$B$13:$U$173,17,FALSE)*$J24,0)+IF($F24&lt;&gt;0,VLOOKUP($H24,'Allocation Factors - N'!$B$13:$U$173,17,FALSE)*$F24,0)</f>
        <v>0</v>
      </c>
      <c r="AA24" s="76">
        <f ca="1">IF($J24&lt;&gt;0,VLOOKUP($L24,'Allocation Factors - N'!$B$13:$U$173,18,FALSE)*$J24,0)+IF($F24&lt;&gt;0,VLOOKUP($H24,'Allocation Factors - N'!$B$13:$U$173,18,FALSE)*$F24,0)</f>
        <v>23.163366522409426</v>
      </c>
      <c r="AB24" s="76">
        <f ca="1">IF($J24&lt;&gt;0,VLOOKUP($L24,'Allocation Factors - N'!$B$13:$U$173,19,FALSE)*$J24,0)+IF($F24&lt;&gt;0,VLOOKUP($H24,'Allocation Factors - N'!$B$13:$U$173,19,FALSE)*$F24,0)</f>
        <v>0</v>
      </c>
      <c r="AC24" s="76">
        <f ca="1">IF($J24&lt;&gt;0,VLOOKUP($L24,'Allocation Factors - N'!$B$13:$U$173,20,FALSE)*$J24,0)+IF($F24&lt;&gt;0,VLOOKUP($H24,'Allocation Factors - N'!$B$13:$U$173,20,FALSE)*$F24,0)</f>
        <v>0</v>
      </c>
    </row>
    <row r="25" spans="1:29" x14ac:dyDescent="0.25">
      <c r="A25" s="2">
        <f>A24+1</f>
        <v>9</v>
      </c>
      <c r="B25" s="31" t="s">
        <v>364</v>
      </c>
      <c r="D25" s="76">
        <f ca="1">'Rate Zone Allocation - Gas Cost'!P25</f>
        <v>171.62936006219579</v>
      </c>
      <c r="F25" s="76"/>
      <c r="H25" s="2" t="s">
        <v>451</v>
      </c>
      <c r="J25" s="76">
        <f t="shared" ref="J25:J27" ca="1" si="3">D25-F25</f>
        <v>171.62936006219579</v>
      </c>
      <c r="L25" s="2" t="s">
        <v>452</v>
      </c>
      <c r="N25" s="76">
        <f ca="1">IF($J25&lt;&gt;0,VLOOKUP($L25,'Allocation Factors - N'!$B$13:$U$173,5,FALSE)*$J25,0)+IF($F25&lt;&gt;0,VLOOKUP($H25,'Allocation Factors - N'!$B$13:$U$173,5,FALSE)*$F25,0)</f>
        <v>127.51224696548374</v>
      </c>
      <c r="O25" s="76">
        <f ca="1">IF($J25&lt;&gt;0,VLOOKUP($L25,'Allocation Factors - N'!$B$13:$U$173,6,FALSE)*$J25,0)+IF($F25&lt;&gt;0,VLOOKUP($H25,'Allocation Factors - N'!$B$13:$U$173,6,FALSE)*$F25,0)</f>
        <v>27.091287685026394</v>
      </c>
      <c r="P25" s="76">
        <f ca="1">IF($J25&lt;&gt;0,VLOOKUP($L25,'Allocation Factors - N'!$B$13:$U$173,7,FALSE)*$J25,0)+IF($F25&lt;&gt;0,VLOOKUP($H25,'Allocation Factors - N'!$B$13:$U$173,7,FALSE)*$F25,0)</f>
        <v>3.5512389633520374</v>
      </c>
      <c r="Q25" s="76"/>
      <c r="R25" s="76"/>
      <c r="S25" s="76">
        <f ca="1">IF($J25&lt;&gt;0,VLOOKUP($L25,'Allocation Factors - N'!$B$13:$U$173,10,FALSE)*$J25,0)+IF($F25&lt;&gt;0,VLOOKUP($H25,'Allocation Factors - N'!$B$13:$U$173,10,FALSE)*$F25,0)</f>
        <v>0</v>
      </c>
      <c r="T25" s="76">
        <f ca="1">IF($J25&lt;&gt;0,VLOOKUP($L25,'Allocation Factors - N'!$B$13:$U$173,11,FALSE)*$J25,0)+IF($F25&lt;&gt;0,VLOOKUP($H25,'Allocation Factors - N'!$B$13:$U$173,11,FALSE)*$F25,0)</f>
        <v>0</v>
      </c>
      <c r="U25" s="76">
        <f ca="1">IF($J25&lt;&gt;0,VLOOKUP($L25,'Allocation Factors - N'!$B$13:$U$173,12,FALSE)*$J25,0)+IF($F25&lt;&gt;0,VLOOKUP($H25,'Allocation Factors - N'!$B$13:$U$173,12,FALSE)*$F25,0)</f>
        <v>0</v>
      </c>
      <c r="V25" s="76">
        <f ca="1">IF($J25&lt;&gt;0,VLOOKUP($L25,'Allocation Factors - N'!$B$13:$U$173,13,FALSE)*$J25,0)+IF($F25&lt;&gt;0,VLOOKUP($H25,'Allocation Factors - N'!$B$13:$U$173,13,FALSE)*$F25,0)</f>
        <v>0</v>
      </c>
      <c r="W25" s="76">
        <f ca="1">IF($J25&lt;&gt;0,VLOOKUP($L25,'Allocation Factors - N'!$B$13:$U$173,14,FALSE)*$J25,0)+IF($F25&lt;&gt;0,VLOOKUP($H25,'Allocation Factors - N'!$B$13:$U$173,14,FALSE)*$F25,0)</f>
        <v>0</v>
      </c>
      <c r="X25" s="76">
        <f ca="1">IF($J25&lt;&gt;0,VLOOKUP($L25,'Allocation Factors - N'!$B$13:$U$173,15,FALSE)*$J25,0)+IF($F25&lt;&gt;0,VLOOKUP($H25,'Allocation Factors - N'!$B$13:$U$173,15,FALSE)*$F25,0)</f>
        <v>0</v>
      </c>
      <c r="Y25" s="76">
        <f ca="1">IF($J25&lt;&gt;0,VLOOKUP($L25,'Allocation Factors - N'!$B$13:$U$173,16,FALSE)*$J25,0)+IF($F25&lt;&gt;0,VLOOKUP($H25,'Allocation Factors - N'!$B$13:$U$173,16,FALSE)*$F25,0)</f>
        <v>0</v>
      </c>
      <c r="Z25" s="76">
        <f ca="1">IF($J25&lt;&gt;0,VLOOKUP($L25,'Allocation Factors - N'!$B$13:$U$173,17,FALSE)*$J25,0)+IF($F25&lt;&gt;0,VLOOKUP($H25,'Allocation Factors - N'!$B$13:$U$173,17,FALSE)*$F25,0)</f>
        <v>0</v>
      </c>
      <c r="AA25" s="76">
        <f ca="1">IF($J25&lt;&gt;0,VLOOKUP($L25,'Allocation Factors - N'!$B$13:$U$173,18,FALSE)*$J25,0)+IF($F25&lt;&gt;0,VLOOKUP($H25,'Allocation Factors - N'!$B$13:$U$173,18,FALSE)*$F25,0)</f>
        <v>13.474586448333618</v>
      </c>
      <c r="AB25" s="76">
        <f ca="1">IF($J25&lt;&gt;0,VLOOKUP($L25,'Allocation Factors - N'!$B$13:$U$173,19,FALSE)*$J25,0)+IF($F25&lt;&gt;0,VLOOKUP($H25,'Allocation Factors - N'!$B$13:$U$173,19,FALSE)*$F25,0)</f>
        <v>0</v>
      </c>
      <c r="AC25" s="76">
        <f ca="1">IF($J25&lt;&gt;0,VLOOKUP($L25,'Allocation Factors - N'!$B$13:$U$173,20,FALSE)*$J25,0)+IF($F25&lt;&gt;0,VLOOKUP($H25,'Allocation Factors - N'!$B$13:$U$173,20,FALSE)*$F25,0)</f>
        <v>0</v>
      </c>
    </row>
    <row r="26" spans="1:29" x14ac:dyDescent="0.25">
      <c r="A26" s="2">
        <f t="shared" ref="A26:A28" si="4">A25+1</f>
        <v>10</v>
      </c>
      <c r="B26" s="31" t="s">
        <v>367</v>
      </c>
      <c r="D26" s="76">
        <f ca="1">'Rate Zone Allocation - Gas Cost'!P26</f>
        <v>0</v>
      </c>
      <c r="F26" s="76"/>
      <c r="J26" s="76">
        <f t="shared" ca="1" si="3"/>
        <v>0</v>
      </c>
      <c r="L26" s="2" t="s">
        <v>453</v>
      </c>
      <c r="N26" s="76">
        <f ca="1">IF($J26&lt;&gt;0,VLOOKUP($L26,'Allocation Factors - N'!$B$13:$U$173,5,FALSE)*$J26,0)+IF($F26&lt;&gt;0,VLOOKUP($H26,'Allocation Factors - N'!$B$13:$U$173,5,FALSE)*$F26,0)</f>
        <v>0</v>
      </c>
      <c r="O26" s="76">
        <f ca="1">IF($J26&lt;&gt;0,VLOOKUP($L26,'Allocation Factors - N'!$B$13:$U$173,6,FALSE)*$J26,0)+IF($F26&lt;&gt;0,VLOOKUP($H26,'Allocation Factors - N'!$B$13:$U$173,6,FALSE)*$F26,0)</f>
        <v>0</v>
      </c>
      <c r="P26" s="76">
        <f ca="1">IF($J26&lt;&gt;0,VLOOKUP($L26,'Allocation Factors - N'!$B$13:$U$173,7,FALSE)*$J26,0)+IF($F26&lt;&gt;0,VLOOKUP($H26,'Allocation Factors - N'!$B$13:$U$173,7,FALSE)*$F26,0)</f>
        <v>0</v>
      </c>
      <c r="Q26" s="76"/>
      <c r="R26" s="76"/>
      <c r="S26" s="76">
        <f ca="1">IF($J26&lt;&gt;0,VLOOKUP($L26,'Allocation Factors - N'!$B$13:$U$173,10,FALSE)*$J26,0)+IF($F26&lt;&gt;0,VLOOKUP($H26,'Allocation Factors - N'!$B$13:$U$173,10,FALSE)*$F26,0)</f>
        <v>0</v>
      </c>
      <c r="T26" s="76">
        <f ca="1">IF($J26&lt;&gt;0,VLOOKUP($L26,'Allocation Factors - N'!$B$13:$U$173,11,FALSE)*$J26,0)+IF($F26&lt;&gt;0,VLOOKUP($H26,'Allocation Factors - N'!$B$13:$U$173,11,FALSE)*$F26,0)</f>
        <v>0</v>
      </c>
      <c r="U26" s="76">
        <f ca="1">IF($J26&lt;&gt;0,VLOOKUP($L26,'Allocation Factors - N'!$B$13:$U$173,12,FALSE)*$J26,0)+IF($F26&lt;&gt;0,VLOOKUP($H26,'Allocation Factors - N'!$B$13:$U$173,12,FALSE)*$F26,0)</f>
        <v>0</v>
      </c>
      <c r="V26" s="76">
        <f ca="1">IF($J26&lt;&gt;0,VLOOKUP($L26,'Allocation Factors - N'!$B$13:$U$173,13,FALSE)*$J26,0)+IF($F26&lt;&gt;0,VLOOKUP($H26,'Allocation Factors - N'!$B$13:$U$173,13,FALSE)*$F26,0)</f>
        <v>0</v>
      </c>
      <c r="W26" s="76">
        <f ca="1">IF($J26&lt;&gt;0,VLOOKUP($L26,'Allocation Factors - N'!$B$13:$U$173,14,FALSE)*$J26,0)+IF($F26&lt;&gt;0,VLOOKUP($H26,'Allocation Factors - N'!$B$13:$U$173,14,FALSE)*$F26,0)</f>
        <v>0</v>
      </c>
      <c r="X26" s="76">
        <f ca="1">IF($J26&lt;&gt;0,VLOOKUP($L26,'Allocation Factors - N'!$B$13:$U$173,15,FALSE)*$J26,0)+IF($F26&lt;&gt;0,VLOOKUP($H26,'Allocation Factors - N'!$B$13:$U$173,15,FALSE)*$F26,0)</f>
        <v>0</v>
      </c>
      <c r="Y26" s="76">
        <f ca="1">IF($J26&lt;&gt;0,VLOOKUP($L26,'Allocation Factors - N'!$B$13:$U$173,16,FALSE)*$J26,0)+IF($F26&lt;&gt;0,VLOOKUP($H26,'Allocation Factors - N'!$B$13:$U$173,16,FALSE)*$F26,0)</f>
        <v>0</v>
      </c>
      <c r="Z26" s="76">
        <f ca="1">IF($J26&lt;&gt;0,VLOOKUP($L26,'Allocation Factors - N'!$B$13:$U$173,17,FALSE)*$J26,0)+IF($F26&lt;&gt;0,VLOOKUP($H26,'Allocation Factors - N'!$B$13:$U$173,17,FALSE)*$F26,0)</f>
        <v>0</v>
      </c>
      <c r="AA26" s="76">
        <f ca="1">IF($J26&lt;&gt;0,VLOOKUP($L26,'Allocation Factors - N'!$B$13:$U$173,18,FALSE)*$J26,0)+IF($F26&lt;&gt;0,VLOOKUP($H26,'Allocation Factors - N'!$B$13:$U$173,18,FALSE)*$F26,0)</f>
        <v>0</v>
      </c>
      <c r="AB26" s="76">
        <f ca="1">IF($J26&lt;&gt;0,VLOOKUP($L26,'Allocation Factors - N'!$B$13:$U$173,19,FALSE)*$J26,0)+IF($F26&lt;&gt;0,VLOOKUP($H26,'Allocation Factors - N'!$B$13:$U$173,19,FALSE)*$F26,0)</f>
        <v>0</v>
      </c>
      <c r="AC26" s="76">
        <f ca="1">IF($J26&lt;&gt;0,VLOOKUP($L26,'Allocation Factors - N'!$B$13:$U$173,20,FALSE)*$J26,0)+IF($F26&lt;&gt;0,VLOOKUP($H26,'Allocation Factors - N'!$B$13:$U$173,20,FALSE)*$F26,0)</f>
        <v>0</v>
      </c>
    </row>
    <row r="27" spans="1:29" x14ac:dyDescent="0.25">
      <c r="A27" s="2">
        <f t="shared" si="4"/>
        <v>11</v>
      </c>
      <c r="B27" s="31" t="s">
        <v>369</v>
      </c>
      <c r="D27" s="76">
        <f ca="1">'Rate Zone Allocation - Gas Cost'!P27</f>
        <v>656.84290940717995</v>
      </c>
      <c r="F27" s="76"/>
      <c r="J27" s="76">
        <f t="shared" ca="1" si="3"/>
        <v>656.84290940717995</v>
      </c>
      <c r="L27" s="2" t="s">
        <v>454</v>
      </c>
      <c r="N27" s="76">
        <f ca="1">IF($J27&lt;&gt;0,VLOOKUP($L27,'Allocation Factors - N'!$B$13:$U$173,5,FALSE)*$J27,0)+IF($F27&lt;&gt;0,VLOOKUP($H27,'Allocation Factors - N'!$B$13:$U$173,5,FALSE)*$F27,0)</f>
        <v>467.06144065671231</v>
      </c>
      <c r="O27" s="76">
        <f ca="1">IF($J27&lt;&gt;0,VLOOKUP($L27,'Allocation Factors - N'!$B$13:$U$173,6,FALSE)*$J27,0)+IF($F27&lt;&gt;0,VLOOKUP($H27,'Allocation Factors - N'!$B$13:$U$173,6,FALSE)*$F27,0)</f>
        <v>135.78373844179501</v>
      </c>
      <c r="P27" s="76">
        <f ca="1">IF($J27&lt;&gt;0,VLOOKUP($L27,'Allocation Factors - N'!$B$13:$U$173,7,FALSE)*$J27,0)+IF($F27&lt;&gt;0,VLOOKUP($H27,'Allocation Factors - N'!$B$13:$U$173,7,FALSE)*$F27,0)</f>
        <v>35.150183877896318</v>
      </c>
      <c r="Q27" s="76"/>
      <c r="R27" s="76"/>
      <c r="S27" s="76">
        <f ca="1">IF($J27&lt;&gt;0,VLOOKUP($L27,'Allocation Factors - N'!$B$13:$U$173,10,FALSE)*$J27,0)+IF($F27&lt;&gt;0,VLOOKUP($H27,'Allocation Factors - N'!$B$13:$U$173,10,FALSE)*$F27,0)</f>
        <v>0</v>
      </c>
      <c r="T27" s="76">
        <f ca="1">IF($J27&lt;&gt;0,VLOOKUP($L27,'Allocation Factors - N'!$B$13:$U$173,11,FALSE)*$J27,0)+IF($F27&lt;&gt;0,VLOOKUP($H27,'Allocation Factors - N'!$B$13:$U$173,11,FALSE)*$F27,0)</f>
        <v>0</v>
      </c>
      <c r="U27" s="76">
        <f ca="1">IF($J27&lt;&gt;0,VLOOKUP($L27,'Allocation Factors - N'!$B$13:$U$173,12,FALSE)*$J27,0)+IF($F27&lt;&gt;0,VLOOKUP($H27,'Allocation Factors - N'!$B$13:$U$173,12,FALSE)*$F27,0)</f>
        <v>0</v>
      </c>
      <c r="V27" s="76">
        <f ca="1">IF($J27&lt;&gt;0,VLOOKUP($L27,'Allocation Factors - N'!$B$13:$U$173,13,FALSE)*$J27,0)+IF($F27&lt;&gt;0,VLOOKUP($H27,'Allocation Factors - N'!$B$13:$U$173,13,FALSE)*$F27,0)</f>
        <v>0</v>
      </c>
      <c r="W27" s="76">
        <f ca="1">IF($J27&lt;&gt;0,VLOOKUP($L27,'Allocation Factors - N'!$B$13:$U$173,14,FALSE)*$J27,0)+IF($F27&lt;&gt;0,VLOOKUP($H27,'Allocation Factors - N'!$B$13:$U$173,14,FALSE)*$F27,0)</f>
        <v>0</v>
      </c>
      <c r="X27" s="76">
        <f ca="1">IF($J27&lt;&gt;0,VLOOKUP($L27,'Allocation Factors - N'!$B$13:$U$173,15,FALSE)*$J27,0)+IF($F27&lt;&gt;0,VLOOKUP($H27,'Allocation Factors - N'!$B$13:$U$173,15,FALSE)*$F27,0)</f>
        <v>0</v>
      </c>
      <c r="Y27" s="76">
        <f ca="1">IF($J27&lt;&gt;0,VLOOKUP($L27,'Allocation Factors - N'!$B$13:$U$173,16,FALSE)*$J27,0)+IF($F27&lt;&gt;0,VLOOKUP($H27,'Allocation Factors - N'!$B$13:$U$173,16,FALSE)*$F27,0)</f>
        <v>3.6427895623212567</v>
      </c>
      <c r="Z27" s="76">
        <f ca="1">IF($J27&lt;&gt;0,VLOOKUP($L27,'Allocation Factors - N'!$B$13:$U$173,17,FALSE)*$J27,0)+IF($F27&lt;&gt;0,VLOOKUP($H27,'Allocation Factors - N'!$B$13:$U$173,17,FALSE)*$F27,0)</f>
        <v>0</v>
      </c>
      <c r="AA27" s="76">
        <f ca="1">IF($J27&lt;&gt;0,VLOOKUP($L27,'Allocation Factors - N'!$B$13:$U$173,18,FALSE)*$J27,0)+IF($F27&lt;&gt;0,VLOOKUP($H27,'Allocation Factors - N'!$B$13:$U$173,18,FALSE)*$F27,0)</f>
        <v>15.20475686845505</v>
      </c>
      <c r="AB27" s="76">
        <f ca="1">IF($J27&lt;&gt;0,VLOOKUP($L27,'Allocation Factors - N'!$B$13:$U$173,19,FALSE)*$J27,0)+IF($F27&lt;&gt;0,VLOOKUP($H27,'Allocation Factors - N'!$B$13:$U$173,19,FALSE)*$F27,0)</f>
        <v>0</v>
      </c>
      <c r="AC27" s="76">
        <f ca="1">IF($J27&lt;&gt;0,VLOOKUP($L27,'Allocation Factors - N'!$B$13:$U$173,20,FALSE)*$J27,0)+IF($F27&lt;&gt;0,VLOOKUP($H27,'Allocation Factors - N'!$B$13:$U$173,20,FALSE)*$F27,0)</f>
        <v>0</v>
      </c>
    </row>
    <row r="28" spans="1:29" x14ac:dyDescent="0.25">
      <c r="A28" s="2">
        <f t="shared" si="4"/>
        <v>12</v>
      </c>
      <c r="B28" s="31" t="s">
        <v>371</v>
      </c>
      <c r="D28" s="40">
        <f ca="1">SUM(D24:D27)</f>
        <v>1321.040887238898</v>
      </c>
      <c r="F28" s="40">
        <f>SUM(F24:F27)</f>
        <v>0</v>
      </c>
      <c r="H28" s="115"/>
      <c r="J28" s="40">
        <f ca="1">SUM(J24:J27)</f>
        <v>1321.040887238898</v>
      </c>
      <c r="N28" s="40">
        <f t="shared" ref="N28:AA28" ca="1" si="5">SUM(N24:N27)</f>
        <v>944.24573631731687</v>
      </c>
      <c r="O28" s="40">
        <f t="shared" ca="1" si="5"/>
        <v>268.4237269662068</v>
      </c>
      <c r="P28" s="40">
        <f t="shared" ca="1" si="5"/>
        <v>52.885924553855162</v>
      </c>
      <c r="Q28" s="40"/>
      <c r="R28" s="40"/>
      <c r="S28" s="40">
        <f t="shared" ca="1" si="5"/>
        <v>0</v>
      </c>
      <c r="T28" s="40">
        <f t="shared" ca="1" si="5"/>
        <v>0</v>
      </c>
      <c r="U28" s="40">
        <f t="shared" ca="1" si="5"/>
        <v>0</v>
      </c>
      <c r="V28" s="40">
        <f t="shared" ca="1" si="5"/>
        <v>0</v>
      </c>
      <c r="W28" s="40">
        <f t="shared" ca="1" si="5"/>
        <v>0</v>
      </c>
      <c r="X28" s="40">
        <f t="shared" ca="1" si="5"/>
        <v>0</v>
      </c>
      <c r="Y28" s="40">
        <f t="shared" ca="1" si="5"/>
        <v>3.6427895623212567</v>
      </c>
      <c r="Z28" s="40">
        <f t="shared" ca="1" si="5"/>
        <v>0</v>
      </c>
      <c r="AA28" s="40">
        <f t="shared" ca="1" si="5"/>
        <v>51.842709839198093</v>
      </c>
      <c r="AB28" s="40">
        <f ca="1">SUM(AB24:AB27)</f>
        <v>0</v>
      </c>
      <c r="AC28" s="40">
        <f ca="1">SUM(AC24:AC27)</f>
        <v>0</v>
      </c>
    </row>
    <row r="29" spans="1:29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</row>
    <row r="30" spans="1:29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x14ac:dyDescent="0.25">
      <c r="A31" s="2">
        <f>A28+1</f>
        <v>13</v>
      </c>
      <c r="B31" s="31" t="s">
        <v>373</v>
      </c>
      <c r="D31" s="76">
        <f ca="1">'Rate Zone Allocation - Gas Cost'!P31</f>
        <v>0</v>
      </c>
      <c r="F31" s="76"/>
      <c r="J31" s="76">
        <f ca="1">D31-F31</f>
        <v>0</v>
      </c>
      <c r="L31" s="2" t="s">
        <v>455</v>
      </c>
      <c r="N31" s="76">
        <f ca="1">IF($J31&lt;&gt;0,VLOOKUP($L31,'Allocation Factors - N'!$B$13:$U$173,5,FALSE)*$J31,0)+IF($F31&lt;&gt;0,VLOOKUP($H31,'Allocation Factors - N'!$B$13:$U$173,5,FALSE)*$F31,0)</f>
        <v>0</v>
      </c>
      <c r="O31" s="76">
        <f ca="1">IF($J31&lt;&gt;0,VLOOKUP($L31,'Allocation Factors - N'!$B$13:$U$173,6,FALSE)*$J31,0)+IF($F31&lt;&gt;0,VLOOKUP($H31,'Allocation Factors - N'!$B$13:$U$173,6,FALSE)*$F31,0)</f>
        <v>0</v>
      </c>
      <c r="P31" s="76">
        <f ca="1">IF($J31&lt;&gt;0,VLOOKUP($L31,'Allocation Factors - N'!$B$13:$U$173,7,FALSE)*$J31,0)+IF($F31&lt;&gt;0,VLOOKUP($H31,'Allocation Factors - N'!$B$13:$U$173,7,FALSE)*$F31,0)</f>
        <v>0</v>
      </c>
      <c r="Q31" s="76"/>
      <c r="R31" s="76"/>
      <c r="S31" s="76">
        <f ca="1">IF($J31&lt;&gt;0,VLOOKUP($L31,'Allocation Factors - N'!$B$13:$U$173,10,FALSE)*$J31,0)+IF($F31&lt;&gt;0,VLOOKUP($H31,'Allocation Factors - N'!$B$13:$U$173,10,FALSE)*$F31,0)</f>
        <v>0</v>
      </c>
      <c r="T31" s="76">
        <f ca="1">IF($J31&lt;&gt;0,VLOOKUP($L31,'Allocation Factors - N'!$B$13:$U$173,11,FALSE)*$J31,0)+IF($F31&lt;&gt;0,VLOOKUP($H31,'Allocation Factors - N'!$B$13:$U$173,11,FALSE)*$F31,0)</f>
        <v>0</v>
      </c>
      <c r="U31" s="76">
        <f ca="1">IF($J31&lt;&gt;0,VLOOKUP($L31,'Allocation Factors - N'!$B$13:$U$173,12,FALSE)*$J31,0)+IF($F31&lt;&gt;0,VLOOKUP($H31,'Allocation Factors - N'!$B$13:$U$173,12,FALSE)*$F31,0)</f>
        <v>0</v>
      </c>
      <c r="V31" s="76">
        <f ca="1">IF($J31&lt;&gt;0,VLOOKUP($L31,'Allocation Factors - N'!$B$13:$U$173,13,FALSE)*$J31,0)+IF($F31&lt;&gt;0,VLOOKUP($H31,'Allocation Factors - N'!$B$13:$U$173,13,FALSE)*$F31,0)</f>
        <v>0</v>
      </c>
      <c r="W31" s="76">
        <f ca="1">IF($J31&lt;&gt;0,VLOOKUP($L31,'Allocation Factors - N'!$B$13:$U$173,14,FALSE)*$J31,0)+IF($F31&lt;&gt;0,VLOOKUP($H31,'Allocation Factors - N'!$B$13:$U$173,14,FALSE)*$F31,0)</f>
        <v>0</v>
      </c>
      <c r="X31" s="76">
        <f ca="1">IF($J31&lt;&gt;0,VLOOKUP($L31,'Allocation Factors - N'!$B$13:$U$173,15,FALSE)*$J31,0)+IF($F31&lt;&gt;0,VLOOKUP($H31,'Allocation Factors - N'!$B$13:$U$173,15,FALSE)*$F31,0)</f>
        <v>0</v>
      </c>
      <c r="Y31" s="76">
        <f ca="1">IF($J31&lt;&gt;0,VLOOKUP($L31,'Allocation Factors - N'!$B$13:$U$173,16,FALSE)*$J31,0)+IF($F31&lt;&gt;0,VLOOKUP($H31,'Allocation Factors - N'!$B$13:$U$173,16,FALSE)*$F31,0)</f>
        <v>0</v>
      </c>
      <c r="Z31" s="76">
        <f ca="1">IF($J31&lt;&gt;0,VLOOKUP($L31,'Allocation Factors - N'!$B$13:$U$173,17,FALSE)*$J31,0)+IF($F31&lt;&gt;0,VLOOKUP($H31,'Allocation Factors - N'!$B$13:$U$173,17,FALSE)*$F31,0)</f>
        <v>0</v>
      </c>
      <c r="AA31" s="76">
        <f ca="1">IF($J31&lt;&gt;0,VLOOKUP($L31,'Allocation Factors - N'!$B$13:$U$173,18,FALSE)*$J31,0)+IF($F31&lt;&gt;0,VLOOKUP($H31,'Allocation Factors - N'!$B$13:$U$173,18,FALSE)*$F31,0)</f>
        <v>0</v>
      </c>
      <c r="AB31" s="76">
        <f ca="1">IF($J31&lt;&gt;0,VLOOKUP($L31,'Allocation Factors - N'!$B$13:$U$173,19,FALSE)*$J31,0)+IF($F31&lt;&gt;0,VLOOKUP($H31,'Allocation Factors - N'!$B$13:$U$173,19,FALSE)*$F31,0)</f>
        <v>0</v>
      </c>
      <c r="AC31" s="76">
        <f ca="1">IF($J31&lt;&gt;0,VLOOKUP($L31,'Allocation Factors - N'!$B$13:$U$173,20,FALSE)*$J31,0)+IF($F31&lt;&gt;0,VLOOKUP($H31,'Allocation Factors - N'!$B$13:$U$173,20,FALSE)*$F31,0)</f>
        <v>0</v>
      </c>
    </row>
    <row r="32" spans="1:29" x14ac:dyDescent="0.25">
      <c r="A32" s="2">
        <f>A31+1</f>
        <v>14</v>
      </c>
      <c r="B32" s="31" t="s">
        <v>375</v>
      </c>
      <c r="D32" s="76">
        <f ca="1">'Rate Zone Allocation - Gas Cost'!P32</f>
        <v>0</v>
      </c>
      <c r="F32" s="76"/>
      <c r="J32" s="76">
        <f t="shared" ref="J32:J38" ca="1" si="6">D32-F32</f>
        <v>0</v>
      </c>
      <c r="L32" s="2" t="s">
        <v>456</v>
      </c>
      <c r="N32" s="76">
        <f ca="1">IF($J32&lt;&gt;0,VLOOKUP($L32,'Allocation Factors - N'!$B$13:$U$173,5,FALSE)*$J32,0)+IF($F32&lt;&gt;0,VLOOKUP($H32,'Allocation Factors - N'!$B$13:$U$173,5,FALSE)*$F32,0)</f>
        <v>0</v>
      </c>
      <c r="O32" s="76">
        <f ca="1">IF($J32&lt;&gt;0,VLOOKUP($L32,'Allocation Factors - N'!$B$13:$U$173,6,FALSE)*$J32,0)+IF($F32&lt;&gt;0,VLOOKUP($H32,'Allocation Factors - N'!$B$13:$U$173,6,FALSE)*$F32,0)</f>
        <v>0</v>
      </c>
      <c r="P32" s="76">
        <f ca="1">IF($J32&lt;&gt;0,VLOOKUP($L32,'Allocation Factors - N'!$B$13:$U$173,7,FALSE)*$J32,0)+IF($F32&lt;&gt;0,VLOOKUP($H32,'Allocation Factors - N'!$B$13:$U$173,7,FALSE)*$F32,0)</f>
        <v>0</v>
      </c>
      <c r="Q32" s="76"/>
      <c r="R32" s="76"/>
      <c r="S32" s="76">
        <f ca="1">IF($J32&lt;&gt;0,VLOOKUP($L32,'Allocation Factors - N'!$B$13:$U$173,10,FALSE)*$J32,0)+IF($F32&lt;&gt;0,VLOOKUP($H32,'Allocation Factors - N'!$B$13:$U$173,10,FALSE)*$F32,0)</f>
        <v>0</v>
      </c>
      <c r="T32" s="76">
        <f ca="1">IF($J32&lt;&gt;0,VLOOKUP($L32,'Allocation Factors - N'!$B$13:$U$173,11,FALSE)*$J32,0)+IF($F32&lt;&gt;0,VLOOKUP($H32,'Allocation Factors - N'!$B$13:$U$173,11,FALSE)*$F32,0)</f>
        <v>0</v>
      </c>
      <c r="U32" s="76">
        <f ca="1">IF($J32&lt;&gt;0,VLOOKUP($L32,'Allocation Factors - N'!$B$13:$U$173,12,FALSE)*$J32,0)+IF($F32&lt;&gt;0,VLOOKUP($H32,'Allocation Factors - N'!$B$13:$U$173,12,FALSE)*$F32,0)</f>
        <v>0</v>
      </c>
      <c r="V32" s="76">
        <f ca="1">IF($J32&lt;&gt;0,VLOOKUP($L32,'Allocation Factors - N'!$B$13:$U$173,13,FALSE)*$J32,0)+IF($F32&lt;&gt;0,VLOOKUP($H32,'Allocation Factors - N'!$B$13:$U$173,13,FALSE)*$F32,0)</f>
        <v>0</v>
      </c>
      <c r="W32" s="76">
        <f ca="1">IF($J32&lt;&gt;0,VLOOKUP($L32,'Allocation Factors - N'!$B$13:$U$173,14,FALSE)*$J32,0)+IF($F32&lt;&gt;0,VLOOKUP($H32,'Allocation Factors - N'!$B$13:$U$173,14,FALSE)*$F32,0)</f>
        <v>0</v>
      </c>
      <c r="X32" s="76">
        <f ca="1">IF($J32&lt;&gt;0,VLOOKUP($L32,'Allocation Factors - N'!$B$13:$U$173,15,FALSE)*$J32,0)+IF($F32&lt;&gt;0,VLOOKUP($H32,'Allocation Factors - N'!$B$13:$U$173,15,FALSE)*$F32,0)</f>
        <v>0</v>
      </c>
      <c r="Y32" s="76">
        <f ca="1">IF($J32&lt;&gt;0,VLOOKUP($L32,'Allocation Factors - N'!$B$13:$U$173,16,FALSE)*$J32,0)+IF($F32&lt;&gt;0,VLOOKUP($H32,'Allocation Factors - N'!$B$13:$U$173,16,FALSE)*$F32,0)</f>
        <v>0</v>
      </c>
      <c r="Z32" s="76">
        <f ca="1">IF($J32&lt;&gt;0,VLOOKUP($L32,'Allocation Factors - N'!$B$13:$U$173,17,FALSE)*$J32,0)+IF($F32&lt;&gt;0,VLOOKUP($H32,'Allocation Factors - N'!$B$13:$U$173,17,FALSE)*$F32,0)</f>
        <v>0</v>
      </c>
      <c r="AA32" s="76">
        <f ca="1">IF($J32&lt;&gt;0,VLOOKUP($L32,'Allocation Factors - N'!$B$13:$U$173,18,FALSE)*$J32,0)+IF($F32&lt;&gt;0,VLOOKUP($H32,'Allocation Factors - N'!$B$13:$U$173,18,FALSE)*$F32,0)</f>
        <v>0</v>
      </c>
      <c r="AB32" s="76">
        <f ca="1">IF($J32&lt;&gt;0,VLOOKUP($L32,'Allocation Factors - N'!$B$13:$U$173,19,FALSE)*$J32,0)+IF($F32&lt;&gt;0,VLOOKUP($H32,'Allocation Factors - N'!$B$13:$U$173,19,FALSE)*$F32,0)</f>
        <v>0</v>
      </c>
      <c r="AC32" s="76">
        <f ca="1">IF($J32&lt;&gt;0,VLOOKUP($L32,'Allocation Factors - N'!$B$13:$U$173,20,FALSE)*$J32,0)+IF($F32&lt;&gt;0,VLOOKUP($H32,'Allocation Factors - N'!$B$13:$U$173,20,FALSE)*$F32,0)</f>
        <v>0</v>
      </c>
    </row>
    <row r="33" spans="1:29" x14ac:dyDescent="0.25">
      <c r="A33" s="2">
        <f t="shared" ref="A33:A39" si="7">A32+1</f>
        <v>15</v>
      </c>
      <c r="B33" s="31" t="s">
        <v>377</v>
      </c>
      <c r="D33" s="76">
        <f ca="1">'Rate Zone Allocation - Gas Cost'!P33</f>
        <v>0</v>
      </c>
      <c r="F33" s="76"/>
      <c r="J33" s="76">
        <f t="shared" ca="1" si="6"/>
        <v>0</v>
      </c>
      <c r="L33" s="2" t="s">
        <v>457</v>
      </c>
      <c r="N33" s="76">
        <f ca="1">IF($J33&lt;&gt;0,VLOOKUP($L33,'Allocation Factors - N'!$B$13:$U$173,5,FALSE)*$J33,0)+IF($F33&lt;&gt;0,VLOOKUP($H33,'Allocation Factors - N'!$B$13:$U$173,5,FALSE)*$F33,0)</f>
        <v>0</v>
      </c>
      <c r="O33" s="76">
        <f ca="1">IF($J33&lt;&gt;0,VLOOKUP($L33,'Allocation Factors - N'!$B$13:$U$173,6,FALSE)*$J33,0)+IF($F33&lt;&gt;0,VLOOKUP($H33,'Allocation Factors - N'!$B$13:$U$173,6,FALSE)*$F33,0)</f>
        <v>0</v>
      </c>
      <c r="P33" s="76">
        <f ca="1">IF($J33&lt;&gt;0,VLOOKUP($L33,'Allocation Factors - N'!$B$13:$U$173,7,FALSE)*$J33,0)+IF($F33&lt;&gt;0,VLOOKUP($H33,'Allocation Factors - N'!$B$13:$U$173,7,FALSE)*$F33,0)</f>
        <v>0</v>
      </c>
      <c r="Q33" s="76"/>
      <c r="R33" s="76"/>
      <c r="S33" s="76">
        <f ca="1">IF($J33&lt;&gt;0,VLOOKUP($L33,'Allocation Factors - N'!$B$13:$U$173,10,FALSE)*$J33,0)+IF($F33&lt;&gt;0,VLOOKUP($H33,'Allocation Factors - N'!$B$13:$U$173,10,FALSE)*$F33,0)</f>
        <v>0</v>
      </c>
      <c r="T33" s="76">
        <f ca="1">IF($J33&lt;&gt;0,VLOOKUP($L33,'Allocation Factors - N'!$B$13:$U$173,11,FALSE)*$J33,0)+IF($F33&lt;&gt;0,VLOOKUP($H33,'Allocation Factors - N'!$B$13:$U$173,11,FALSE)*$F33,0)</f>
        <v>0</v>
      </c>
      <c r="U33" s="76">
        <f ca="1">IF($J33&lt;&gt;0,VLOOKUP($L33,'Allocation Factors - N'!$B$13:$U$173,12,FALSE)*$J33,0)+IF($F33&lt;&gt;0,VLOOKUP($H33,'Allocation Factors - N'!$B$13:$U$173,12,FALSE)*$F33,0)</f>
        <v>0</v>
      </c>
      <c r="V33" s="76">
        <f ca="1">IF($J33&lt;&gt;0,VLOOKUP($L33,'Allocation Factors - N'!$B$13:$U$173,13,FALSE)*$J33,0)+IF($F33&lt;&gt;0,VLOOKUP($H33,'Allocation Factors - N'!$B$13:$U$173,13,FALSE)*$F33,0)</f>
        <v>0</v>
      </c>
      <c r="W33" s="76">
        <f ca="1">IF($J33&lt;&gt;0,VLOOKUP($L33,'Allocation Factors - N'!$B$13:$U$173,14,FALSE)*$J33,0)+IF($F33&lt;&gt;0,VLOOKUP($H33,'Allocation Factors - N'!$B$13:$U$173,14,FALSE)*$F33,0)</f>
        <v>0</v>
      </c>
      <c r="X33" s="76">
        <f ca="1">IF($J33&lt;&gt;0,VLOOKUP($L33,'Allocation Factors - N'!$B$13:$U$173,15,FALSE)*$J33,0)+IF($F33&lt;&gt;0,VLOOKUP($H33,'Allocation Factors - N'!$B$13:$U$173,15,FALSE)*$F33,0)</f>
        <v>0</v>
      </c>
      <c r="Y33" s="76">
        <f ca="1">IF($J33&lt;&gt;0,VLOOKUP($L33,'Allocation Factors - N'!$B$13:$U$173,16,FALSE)*$J33,0)+IF($F33&lt;&gt;0,VLOOKUP($H33,'Allocation Factors - N'!$B$13:$U$173,16,FALSE)*$F33,0)</f>
        <v>0</v>
      </c>
      <c r="Z33" s="76">
        <f ca="1">IF($J33&lt;&gt;0,VLOOKUP($L33,'Allocation Factors - N'!$B$13:$U$173,17,FALSE)*$J33,0)+IF($F33&lt;&gt;0,VLOOKUP($H33,'Allocation Factors - N'!$B$13:$U$173,17,FALSE)*$F33,0)</f>
        <v>0</v>
      </c>
      <c r="AA33" s="76">
        <f ca="1">IF($J33&lt;&gt;0,VLOOKUP($L33,'Allocation Factors - N'!$B$13:$U$173,18,FALSE)*$J33,0)+IF($F33&lt;&gt;0,VLOOKUP($H33,'Allocation Factors - N'!$B$13:$U$173,18,FALSE)*$F33,0)</f>
        <v>0</v>
      </c>
      <c r="AB33" s="76">
        <f ca="1">IF($J33&lt;&gt;0,VLOOKUP($L33,'Allocation Factors - N'!$B$13:$U$173,19,FALSE)*$J33,0)+IF($F33&lt;&gt;0,VLOOKUP($H33,'Allocation Factors - N'!$B$13:$U$173,19,FALSE)*$F33,0)</f>
        <v>0</v>
      </c>
      <c r="AC33" s="76">
        <f ca="1">IF($J33&lt;&gt;0,VLOOKUP($L33,'Allocation Factors - N'!$B$13:$U$173,20,FALSE)*$J33,0)+IF($F33&lt;&gt;0,VLOOKUP($H33,'Allocation Factors - N'!$B$13:$U$173,20,FALSE)*$F33,0)</f>
        <v>0</v>
      </c>
    </row>
    <row r="34" spans="1:29" x14ac:dyDescent="0.25">
      <c r="A34" s="2">
        <f t="shared" si="7"/>
        <v>16</v>
      </c>
      <c r="B34" s="31" t="s">
        <v>379</v>
      </c>
      <c r="D34" s="76">
        <f ca="1">'Rate Zone Allocation - Gas Cost'!P34</f>
        <v>0</v>
      </c>
      <c r="F34" s="76"/>
      <c r="J34" s="76">
        <f t="shared" ca="1" si="6"/>
        <v>0</v>
      </c>
      <c r="L34" s="2" t="s">
        <v>458</v>
      </c>
      <c r="N34" s="76">
        <f ca="1">IF($J34&lt;&gt;0,VLOOKUP($L34,'Allocation Factors - N'!$B$13:$U$173,5,FALSE)*$J34,0)+IF($F34&lt;&gt;0,VLOOKUP($H34,'Allocation Factors - N'!$B$13:$U$173,5,FALSE)*$F34,0)</f>
        <v>0</v>
      </c>
      <c r="O34" s="76">
        <f ca="1">IF($J34&lt;&gt;0,VLOOKUP($L34,'Allocation Factors - N'!$B$13:$U$173,6,FALSE)*$J34,0)+IF($F34&lt;&gt;0,VLOOKUP($H34,'Allocation Factors - N'!$B$13:$U$173,6,FALSE)*$F34,0)</f>
        <v>0</v>
      </c>
      <c r="P34" s="76">
        <f ca="1">IF($J34&lt;&gt;0,VLOOKUP($L34,'Allocation Factors - N'!$B$13:$U$173,7,FALSE)*$J34,0)+IF($F34&lt;&gt;0,VLOOKUP($H34,'Allocation Factors - N'!$B$13:$U$173,7,FALSE)*$F34,0)</f>
        <v>0</v>
      </c>
      <c r="Q34" s="76"/>
      <c r="R34" s="76"/>
      <c r="S34" s="76">
        <f ca="1">IF($J34&lt;&gt;0,VLOOKUP($L34,'Allocation Factors - N'!$B$13:$U$173,10,FALSE)*$J34,0)+IF($F34&lt;&gt;0,VLOOKUP($H34,'Allocation Factors - N'!$B$13:$U$173,10,FALSE)*$F34,0)</f>
        <v>0</v>
      </c>
      <c r="T34" s="76">
        <f ca="1">IF($J34&lt;&gt;0,VLOOKUP($L34,'Allocation Factors - N'!$B$13:$U$173,11,FALSE)*$J34,0)+IF($F34&lt;&gt;0,VLOOKUP($H34,'Allocation Factors - N'!$B$13:$U$173,11,FALSE)*$F34,0)</f>
        <v>0</v>
      </c>
      <c r="U34" s="76">
        <f ca="1">IF($J34&lt;&gt;0,VLOOKUP($L34,'Allocation Factors - N'!$B$13:$U$173,12,FALSE)*$J34,0)+IF($F34&lt;&gt;0,VLOOKUP($H34,'Allocation Factors - N'!$B$13:$U$173,12,FALSE)*$F34,0)</f>
        <v>0</v>
      </c>
      <c r="V34" s="76">
        <f ca="1">IF($J34&lt;&gt;0,VLOOKUP($L34,'Allocation Factors - N'!$B$13:$U$173,13,FALSE)*$J34,0)+IF($F34&lt;&gt;0,VLOOKUP($H34,'Allocation Factors - N'!$B$13:$U$173,13,FALSE)*$F34,0)</f>
        <v>0</v>
      </c>
      <c r="W34" s="76">
        <f ca="1">IF($J34&lt;&gt;0,VLOOKUP($L34,'Allocation Factors - N'!$B$13:$U$173,14,FALSE)*$J34,0)+IF($F34&lt;&gt;0,VLOOKUP($H34,'Allocation Factors - N'!$B$13:$U$173,14,FALSE)*$F34,0)</f>
        <v>0</v>
      </c>
      <c r="X34" s="76">
        <f ca="1">IF($J34&lt;&gt;0,VLOOKUP($L34,'Allocation Factors - N'!$B$13:$U$173,15,FALSE)*$J34,0)+IF($F34&lt;&gt;0,VLOOKUP($H34,'Allocation Factors - N'!$B$13:$U$173,15,FALSE)*$F34,0)</f>
        <v>0</v>
      </c>
      <c r="Y34" s="76">
        <f ca="1">IF($J34&lt;&gt;0,VLOOKUP($L34,'Allocation Factors - N'!$B$13:$U$173,16,FALSE)*$J34,0)+IF($F34&lt;&gt;0,VLOOKUP($H34,'Allocation Factors - N'!$B$13:$U$173,16,FALSE)*$F34,0)</f>
        <v>0</v>
      </c>
      <c r="Z34" s="76">
        <f ca="1">IF($J34&lt;&gt;0,VLOOKUP($L34,'Allocation Factors - N'!$B$13:$U$173,17,FALSE)*$J34,0)+IF($F34&lt;&gt;0,VLOOKUP($H34,'Allocation Factors - N'!$B$13:$U$173,17,FALSE)*$F34,0)</f>
        <v>0</v>
      </c>
      <c r="AA34" s="76">
        <f ca="1">IF($J34&lt;&gt;0,VLOOKUP($L34,'Allocation Factors - N'!$B$13:$U$173,18,FALSE)*$J34,0)+IF($F34&lt;&gt;0,VLOOKUP($H34,'Allocation Factors - N'!$B$13:$U$173,18,FALSE)*$F34,0)</f>
        <v>0</v>
      </c>
      <c r="AB34" s="76">
        <f ca="1">IF($J34&lt;&gt;0,VLOOKUP($L34,'Allocation Factors - N'!$B$13:$U$173,19,FALSE)*$J34,0)+IF($F34&lt;&gt;0,VLOOKUP($H34,'Allocation Factors - N'!$B$13:$U$173,19,FALSE)*$F34,0)</f>
        <v>0</v>
      </c>
      <c r="AC34" s="76">
        <f ca="1">IF($J34&lt;&gt;0,VLOOKUP($L34,'Allocation Factors - N'!$B$13:$U$173,20,FALSE)*$J34,0)+IF($F34&lt;&gt;0,VLOOKUP($H34,'Allocation Factors - N'!$B$13:$U$173,20,FALSE)*$F34,0)</f>
        <v>0</v>
      </c>
    </row>
    <row r="35" spans="1:29" x14ac:dyDescent="0.25">
      <c r="A35" s="2">
        <f t="shared" si="7"/>
        <v>17</v>
      </c>
      <c r="B35" s="31" t="s">
        <v>381</v>
      </c>
      <c r="D35" s="76">
        <f ca="1">'Rate Zone Allocation - Gas Cost'!P35</f>
        <v>0</v>
      </c>
      <c r="F35" s="76"/>
      <c r="J35" s="76">
        <f t="shared" ca="1" si="6"/>
        <v>0</v>
      </c>
      <c r="L35" s="2" t="s">
        <v>459</v>
      </c>
      <c r="N35" s="76">
        <f ca="1">IF($J35&lt;&gt;0,VLOOKUP($L35,'Allocation Factors - N'!$B$13:$U$173,5,FALSE)*$J35,0)+IF($F35&lt;&gt;0,VLOOKUP($H35,'Allocation Factors - N'!$B$13:$U$173,5,FALSE)*$F35,0)</f>
        <v>0</v>
      </c>
      <c r="O35" s="76">
        <f ca="1">IF($J35&lt;&gt;0,VLOOKUP($L35,'Allocation Factors - N'!$B$13:$U$173,6,FALSE)*$J35,0)+IF($F35&lt;&gt;0,VLOOKUP($H35,'Allocation Factors - N'!$B$13:$U$173,6,FALSE)*$F35,0)</f>
        <v>0</v>
      </c>
      <c r="P35" s="76">
        <f ca="1">IF($J35&lt;&gt;0,VLOOKUP($L35,'Allocation Factors - N'!$B$13:$U$173,7,FALSE)*$J35,0)+IF($F35&lt;&gt;0,VLOOKUP($H35,'Allocation Factors - N'!$B$13:$U$173,7,FALSE)*$F35,0)</f>
        <v>0</v>
      </c>
      <c r="Q35" s="76"/>
      <c r="R35" s="76"/>
      <c r="S35" s="76">
        <f ca="1">IF($J35&lt;&gt;0,VLOOKUP($L35,'Allocation Factors - N'!$B$13:$U$173,10,FALSE)*$J35,0)+IF($F35&lt;&gt;0,VLOOKUP($H35,'Allocation Factors - N'!$B$13:$U$173,10,FALSE)*$F35,0)</f>
        <v>0</v>
      </c>
      <c r="T35" s="76">
        <f ca="1">IF($J35&lt;&gt;0,VLOOKUP($L35,'Allocation Factors - N'!$B$13:$U$173,11,FALSE)*$J35,0)+IF($F35&lt;&gt;0,VLOOKUP($H35,'Allocation Factors - N'!$B$13:$U$173,11,FALSE)*$F35,0)</f>
        <v>0</v>
      </c>
      <c r="U35" s="76">
        <f ca="1">IF($J35&lt;&gt;0,VLOOKUP($L35,'Allocation Factors - N'!$B$13:$U$173,12,FALSE)*$J35,0)+IF($F35&lt;&gt;0,VLOOKUP($H35,'Allocation Factors - N'!$B$13:$U$173,12,FALSE)*$F35,0)</f>
        <v>0</v>
      </c>
      <c r="V35" s="76">
        <f ca="1">IF($J35&lt;&gt;0,VLOOKUP($L35,'Allocation Factors - N'!$B$13:$U$173,13,FALSE)*$J35,0)+IF($F35&lt;&gt;0,VLOOKUP($H35,'Allocation Factors - N'!$B$13:$U$173,13,FALSE)*$F35,0)</f>
        <v>0</v>
      </c>
      <c r="W35" s="76">
        <f ca="1">IF($J35&lt;&gt;0,VLOOKUP($L35,'Allocation Factors - N'!$B$13:$U$173,14,FALSE)*$J35,0)+IF($F35&lt;&gt;0,VLOOKUP($H35,'Allocation Factors - N'!$B$13:$U$173,14,FALSE)*$F35,0)</f>
        <v>0</v>
      </c>
      <c r="X35" s="76">
        <f ca="1">IF($J35&lt;&gt;0,VLOOKUP($L35,'Allocation Factors - N'!$B$13:$U$173,15,FALSE)*$J35,0)+IF($F35&lt;&gt;0,VLOOKUP($H35,'Allocation Factors - N'!$B$13:$U$173,15,FALSE)*$F35,0)</f>
        <v>0</v>
      </c>
      <c r="Y35" s="76">
        <f ca="1">IF($J35&lt;&gt;0,VLOOKUP($L35,'Allocation Factors - N'!$B$13:$U$173,16,FALSE)*$J35,0)+IF($F35&lt;&gt;0,VLOOKUP($H35,'Allocation Factors - N'!$B$13:$U$173,16,FALSE)*$F35,0)</f>
        <v>0</v>
      </c>
      <c r="Z35" s="76">
        <f ca="1">IF($J35&lt;&gt;0,VLOOKUP($L35,'Allocation Factors - N'!$B$13:$U$173,17,FALSE)*$J35,0)+IF($F35&lt;&gt;0,VLOOKUP($H35,'Allocation Factors - N'!$B$13:$U$173,17,FALSE)*$F35,0)</f>
        <v>0</v>
      </c>
      <c r="AA35" s="76">
        <f ca="1">IF($J35&lt;&gt;0,VLOOKUP($L35,'Allocation Factors - N'!$B$13:$U$173,18,FALSE)*$J35,0)+IF($F35&lt;&gt;0,VLOOKUP($H35,'Allocation Factors - N'!$B$13:$U$173,18,FALSE)*$F35,0)</f>
        <v>0</v>
      </c>
      <c r="AB35" s="76">
        <f ca="1">IF($J35&lt;&gt;0,VLOOKUP($L35,'Allocation Factors - N'!$B$13:$U$173,19,FALSE)*$J35,0)+IF($F35&lt;&gt;0,VLOOKUP($H35,'Allocation Factors - N'!$B$13:$U$173,19,FALSE)*$F35,0)</f>
        <v>0</v>
      </c>
      <c r="AC35" s="76">
        <f ca="1">IF($J35&lt;&gt;0,VLOOKUP($L35,'Allocation Factors - N'!$B$13:$U$173,20,FALSE)*$J35,0)+IF($F35&lt;&gt;0,VLOOKUP($H35,'Allocation Factors - N'!$B$13:$U$173,20,FALSE)*$F35,0)</f>
        <v>0</v>
      </c>
    </row>
    <row r="36" spans="1:29" x14ac:dyDescent="0.25">
      <c r="A36" s="2">
        <f t="shared" si="7"/>
        <v>18</v>
      </c>
      <c r="B36" s="31" t="s">
        <v>383</v>
      </c>
      <c r="D36" s="76">
        <f ca="1">'Rate Zone Allocation - Gas Cost'!P36</f>
        <v>0</v>
      </c>
      <c r="F36" s="76"/>
      <c r="J36" s="76">
        <f t="shared" ca="1" si="6"/>
        <v>0</v>
      </c>
      <c r="L36" s="2" t="s">
        <v>460</v>
      </c>
      <c r="N36" s="76">
        <f ca="1">IF($J36&lt;&gt;0,VLOOKUP($L36,'Allocation Factors - N'!$B$13:$U$173,5,FALSE)*$J36,0)+IF($F36&lt;&gt;0,VLOOKUP($H36,'Allocation Factors - N'!$B$13:$U$173,5,FALSE)*$F36,0)</f>
        <v>0</v>
      </c>
      <c r="O36" s="76">
        <f ca="1">IF($J36&lt;&gt;0,VLOOKUP($L36,'Allocation Factors - N'!$B$13:$U$173,6,FALSE)*$J36,0)+IF($F36&lt;&gt;0,VLOOKUP($H36,'Allocation Factors - N'!$B$13:$U$173,6,FALSE)*$F36,0)</f>
        <v>0</v>
      </c>
      <c r="P36" s="76">
        <f ca="1">IF($J36&lt;&gt;0,VLOOKUP($L36,'Allocation Factors - N'!$B$13:$U$173,7,FALSE)*$J36,0)+IF($F36&lt;&gt;0,VLOOKUP($H36,'Allocation Factors - N'!$B$13:$U$173,7,FALSE)*$F36,0)</f>
        <v>0</v>
      </c>
      <c r="Q36" s="76"/>
      <c r="R36" s="76"/>
      <c r="S36" s="76">
        <f ca="1">IF($J36&lt;&gt;0,VLOOKUP($L36,'Allocation Factors - N'!$B$13:$U$173,10,FALSE)*$J36,0)+IF($F36&lt;&gt;0,VLOOKUP($H36,'Allocation Factors - N'!$B$13:$U$173,10,FALSE)*$F36,0)</f>
        <v>0</v>
      </c>
      <c r="T36" s="76">
        <f ca="1">IF($J36&lt;&gt;0,VLOOKUP($L36,'Allocation Factors - N'!$B$13:$U$173,11,FALSE)*$J36,0)+IF($F36&lt;&gt;0,VLOOKUP($H36,'Allocation Factors - N'!$B$13:$U$173,11,FALSE)*$F36,0)</f>
        <v>0</v>
      </c>
      <c r="U36" s="76">
        <f ca="1">IF($J36&lt;&gt;0,VLOOKUP($L36,'Allocation Factors - N'!$B$13:$U$173,12,FALSE)*$J36,0)+IF($F36&lt;&gt;0,VLOOKUP($H36,'Allocation Factors - N'!$B$13:$U$173,12,FALSE)*$F36,0)</f>
        <v>0</v>
      </c>
      <c r="V36" s="76">
        <f ca="1">IF($J36&lt;&gt;0,VLOOKUP($L36,'Allocation Factors - N'!$B$13:$U$173,13,FALSE)*$J36,0)+IF($F36&lt;&gt;0,VLOOKUP($H36,'Allocation Factors - N'!$B$13:$U$173,13,FALSE)*$F36,0)</f>
        <v>0</v>
      </c>
      <c r="W36" s="76">
        <f ca="1">IF($J36&lt;&gt;0,VLOOKUP($L36,'Allocation Factors - N'!$B$13:$U$173,14,FALSE)*$J36,0)+IF($F36&lt;&gt;0,VLOOKUP($H36,'Allocation Factors - N'!$B$13:$U$173,14,FALSE)*$F36,0)</f>
        <v>0</v>
      </c>
      <c r="X36" s="76">
        <f ca="1">IF($J36&lt;&gt;0,VLOOKUP($L36,'Allocation Factors - N'!$B$13:$U$173,15,FALSE)*$J36,0)+IF($F36&lt;&gt;0,VLOOKUP($H36,'Allocation Factors - N'!$B$13:$U$173,15,FALSE)*$F36,0)</f>
        <v>0</v>
      </c>
      <c r="Y36" s="76">
        <f ca="1">IF($J36&lt;&gt;0,VLOOKUP($L36,'Allocation Factors - N'!$B$13:$U$173,16,FALSE)*$J36,0)+IF($F36&lt;&gt;0,VLOOKUP($H36,'Allocation Factors - N'!$B$13:$U$173,16,FALSE)*$F36,0)</f>
        <v>0</v>
      </c>
      <c r="Z36" s="76">
        <f ca="1">IF($J36&lt;&gt;0,VLOOKUP($L36,'Allocation Factors - N'!$B$13:$U$173,17,FALSE)*$J36,0)+IF($F36&lt;&gt;0,VLOOKUP($H36,'Allocation Factors - N'!$B$13:$U$173,17,FALSE)*$F36,0)</f>
        <v>0</v>
      </c>
      <c r="AA36" s="76">
        <f ca="1">IF($J36&lt;&gt;0,VLOOKUP($L36,'Allocation Factors - N'!$B$13:$U$173,18,FALSE)*$J36,0)+IF($F36&lt;&gt;0,VLOOKUP($H36,'Allocation Factors - N'!$B$13:$U$173,18,FALSE)*$F36,0)</f>
        <v>0</v>
      </c>
      <c r="AB36" s="76">
        <f ca="1">IF($J36&lt;&gt;0,VLOOKUP($L36,'Allocation Factors - N'!$B$13:$U$173,19,FALSE)*$J36,0)+IF($F36&lt;&gt;0,VLOOKUP($H36,'Allocation Factors - N'!$B$13:$U$173,19,FALSE)*$F36,0)</f>
        <v>0</v>
      </c>
      <c r="AC36" s="76">
        <f ca="1">IF($J36&lt;&gt;0,VLOOKUP($L36,'Allocation Factors - N'!$B$13:$U$173,20,FALSE)*$J36,0)+IF($F36&lt;&gt;0,VLOOKUP($H36,'Allocation Factors - N'!$B$13:$U$173,20,FALSE)*$F36,0)</f>
        <v>0</v>
      </c>
    </row>
    <row r="37" spans="1:29" x14ac:dyDescent="0.25">
      <c r="A37" s="2">
        <f t="shared" si="7"/>
        <v>19</v>
      </c>
      <c r="B37" s="31" t="s">
        <v>385</v>
      </c>
      <c r="D37" s="76">
        <f ca="1">'Rate Zone Allocation - Gas Cost'!P37</f>
        <v>0</v>
      </c>
      <c r="F37" s="76"/>
      <c r="J37" s="76">
        <f t="shared" ca="1" si="6"/>
        <v>0</v>
      </c>
      <c r="L37" s="2" t="s">
        <v>461</v>
      </c>
      <c r="N37" s="76">
        <f ca="1">IF($J37&lt;&gt;0,VLOOKUP($L37,'Allocation Factors - N'!$B$13:$U$173,5,FALSE)*$J37,0)+IF($F37&lt;&gt;0,VLOOKUP($H37,'Allocation Factors - N'!$B$13:$U$173,5,FALSE)*$F37,0)</f>
        <v>0</v>
      </c>
      <c r="O37" s="76">
        <f ca="1">IF($J37&lt;&gt;0,VLOOKUP($L37,'Allocation Factors - N'!$B$13:$U$173,6,FALSE)*$J37,0)+IF($F37&lt;&gt;0,VLOOKUP($H37,'Allocation Factors - N'!$B$13:$U$173,6,FALSE)*$F37,0)</f>
        <v>0</v>
      </c>
      <c r="P37" s="76">
        <f ca="1">IF($J37&lt;&gt;0,VLOOKUP($L37,'Allocation Factors - N'!$B$13:$U$173,7,FALSE)*$J37,0)+IF($F37&lt;&gt;0,VLOOKUP($H37,'Allocation Factors - N'!$B$13:$U$173,7,FALSE)*$F37,0)</f>
        <v>0</v>
      </c>
      <c r="Q37" s="76"/>
      <c r="R37" s="76"/>
      <c r="S37" s="76">
        <f ca="1">IF($J37&lt;&gt;0,VLOOKUP($L37,'Allocation Factors - N'!$B$13:$U$173,10,FALSE)*$J37,0)+IF($F37&lt;&gt;0,VLOOKUP($H37,'Allocation Factors - N'!$B$13:$U$173,10,FALSE)*$F37,0)</f>
        <v>0</v>
      </c>
      <c r="T37" s="76">
        <f ca="1">IF($J37&lt;&gt;0,VLOOKUP($L37,'Allocation Factors - N'!$B$13:$U$173,11,FALSE)*$J37,0)+IF($F37&lt;&gt;0,VLOOKUP($H37,'Allocation Factors - N'!$B$13:$U$173,11,FALSE)*$F37,0)</f>
        <v>0</v>
      </c>
      <c r="U37" s="76">
        <f ca="1">IF($J37&lt;&gt;0,VLOOKUP($L37,'Allocation Factors - N'!$B$13:$U$173,12,FALSE)*$J37,0)+IF($F37&lt;&gt;0,VLOOKUP($H37,'Allocation Factors - N'!$B$13:$U$173,12,FALSE)*$F37,0)</f>
        <v>0</v>
      </c>
      <c r="V37" s="76">
        <f ca="1">IF($J37&lt;&gt;0,VLOOKUP($L37,'Allocation Factors - N'!$B$13:$U$173,13,FALSE)*$J37,0)+IF($F37&lt;&gt;0,VLOOKUP($H37,'Allocation Factors - N'!$B$13:$U$173,13,FALSE)*$F37,0)</f>
        <v>0</v>
      </c>
      <c r="W37" s="76">
        <f ca="1">IF($J37&lt;&gt;0,VLOOKUP($L37,'Allocation Factors - N'!$B$13:$U$173,14,FALSE)*$J37,0)+IF($F37&lt;&gt;0,VLOOKUP($H37,'Allocation Factors - N'!$B$13:$U$173,14,FALSE)*$F37,0)</f>
        <v>0</v>
      </c>
      <c r="X37" s="76">
        <f ca="1">IF($J37&lt;&gt;0,VLOOKUP($L37,'Allocation Factors - N'!$B$13:$U$173,15,FALSE)*$J37,0)+IF($F37&lt;&gt;0,VLOOKUP($H37,'Allocation Factors - N'!$B$13:$U$173,15,FALSE)*$F37,0)</f>
        <v>0</v>
      </c>
      <c r="Y37" s="76">
        <f ca="1">IF($J37&lt;&gt;0,VLOOKUP($L37,'Allocation Factors - N'!$B$13:$U$173,16,FALSE)*$J37,0)+IF($F37&lt;&gt;0,VLOOKUP($H37,'Allocation Factors - N'!$B$13:$U$173,16,FALSE)*$F37,0)</f>
        <v>0</v>
      </c>
      <c r="Z37" s="76">
        <f ca="1">IF($J37&lt;&gt;0,VLOOKUP($L37,'Allocation Factors - N'!$B$13:$U$173,17,FALSE)*$J37,0)+IF($F37&lt;&gt;0,VLOOKUP($H37,'Allocation Factors - N'!$B$13:$U$173,17,FALSE)*$F37,0)</f>
        <v>0</v>
      </c>
      <c r="AA37" s="76">
        <f ca="1">IF($J37&lt;&gt;0,VLOOKUP($L37,'Allocation Factors - N'!$B$13:$U$173,18,FALSE)*$J37,0)+IF($F37&lt;&gt;0,VLOOKUP($H37,'Allocation Factors - N'!$B$13:$U$173,18,FALSE)*$F37,0)</f>
        <v>0</v>
      </c>
      <c r="AB37" s="76">
        <f ca="1">IF($J37&lt;&gt;0,VLOOKUP($L37,'Allocation Factors - N'!$B$13:$U$173,19,FALSE)*$J37,0)+IF($F37&lt;&gt;0,VLOOKUP($H37,'Allocation Factors - N'!$B$13:$U$173,19,FALSE)*$F37,0)</f>
        <v>0</v>
      </c>
      <c r="AC37" s="76">
        <f ca="1">IF($J37&lt;&gt;0,VLOOKUP($L37,'Allocation Factors - N'!$B$13:$U$173,20,FALSE)*$J37,0)+IF($F37&lt;&gt;0,VLOOKUP($H37,'Allocation Factors - N'!$B$13:$U$173,20,FALSE)*$F37,0)</f>
        <v>0</v>
      </c>
    </row>
    <row r="38" spans="1:29" x14ac:dyDescent="0.25">
      <c r="A38" s="2">
        <f t="shared" si="7"/>
        <v>20</v>
      </c>
      <c r="B38" s="31" t="s">
        <v>386</v>
      </c>
      <c r="D38" s="76">
        <f ca="1">'Rate Zone Allocation - Gas Cost'!P38</f>
        <v>664.44573542758917</v>
      </c>
      <c r="F38" s="76">
        <f>'Rate Zone Allocation Factors'!F16</f>
        <v>647.23650896029574</v>
      </c>
      <c r="H38" s="2" t="s">
        <v>462</v>
      </c>
      <c r="J38" s="76">
        <f t="shared" ca="1" si="6"/>
        <v>17.209226467293433</v>
      </c>
      <c r="L38" s="2" t="s">
        <v>463</v>
      </c>
      <c r="N38" s="76">
        <f ca="1">IF($J38&lt;&gt;0,VLOOKUP($L38,'Allocation Factors - N'!$B$13:$U$173,5,FALSE)*$J38,0)+IF($F38&lt;&gt;0,VLOOKUP($H38,'Allocation Factors - N'!$B$13:$U$173,5,FALSE)*$F38,0)</f>
        <v>476.91790309433037</v>
      </c>
      <c r="O38" s="76">
        <f ca="1">IF($J38&lt;&gt;0,VLOOKUP($L38,'Allocation Factors - N'!$B$13:$U$173,6,FALSE)*$J38,0)+IF($F38&lt;&gt;0,VLOOKUP($H38,'Allocation Factors - N'!$B$13:$U$173,6,FALSE)*$F38,0)</f>
        <v>138.64920152885509</v>
      </c>
      <c r="P38" s="76">
        <f ca="1">IF($J38&lt;&gt;0,VLOOKUP($L38,'Allocation Factors - N'!$B$13:$U$173,7,FALSE)*$J38,0)+IF($F38&lt;&gt;0,VLOOKUP($H38,'Allocation Factors - N'!$B$13:$U$173,7,FALSE)*$F38,0)</f>
        <v>36.04049960129106</v>
      </c>
      <c r="Q38" s="76"/>
      <c r="R38" s="76"/>
      <c r="S38" s="76">
        <f ca="1">IF($J38&lt;&gt;0,VLOOKUP($L38,'Allocation Factors - N'!$B$13:$U$173,10,FALSE)*$J38,0)+IF($F38&lt;&gt;0,VLOOKUP($H38,'Allocation Factors - N'!$B$13:$U$173,10,FALSE)*$F38,0)</f>
        <v>0</v>
      </c>
      <c r="T38" s="76">
        <f ca="1">IF($J38&lt;&gt;0,VLOOKUP($L38,'Allocation Factors - N'!$B$13:$U$173,11,FALSE)*$J38,0)+IF($F38&lt;&gt;0,VLOOKUP($H38,'Allocation Factors - N'!$B$13:$U$173,11,FALSE)*$F38,0)</f>
        <v>0</v>
      </c>
      <c r="U38" s="76">
        <f ca="1">IF($J38&lt;&gt;0,VLOOKUP($L38,'Allocation Factors - N'!$B$13:$U$173,12,FALSE)*$J38,0)+IF($F38&lt;&gt;0,VLOOKUP($H38,'Allocation Factors - N'!$B$13:$U$173,12,FALSE)*$F38,0)</f>
        <v>0</v>
      </c>
      <c r="V38" s="76">
        <f ca="1">IF($J38&lt;&gt;0,VLOOKUP($L38,'Allocation Factors - N'!$B$13:$U$173,13,FALSE)*$J38,0)+IF($F38&lt;&gt;0,VLOOKUP($H38,'Allocation Factors - N'!$B$13:$U$173,13,FALSE)*$F38,0)</f>
        <v>0</v>
      </c>
      <c r="W38" s="76">
        <f ca="1">IF($J38&lt;&gt;0,VLOOKUP($L38,'Allocation Factors - N'!$B$13:$U$173,14,FALSE)*$J38,0)+IF($F38&lt;&gt;0,VLOOKUP($H38,'Allocation Factors - N'!$B$13:$U$173,14,FALSE)*$F38,0)</f>
        <v>0</v>
      </c>
      <c r="X38" s="76">
        <f ca="1">IF($J38&lt;&gt;0,VLOOKUP($L38,'Allocation Factors - N'!$B$13:$U$173,15,FALSE)*$J38,0)+IF($F38&lt;&gt;0,VLOOKUP($H38,'Allocation Factors - N'!$B$13:$U$173,15,FALSE)*$F38,0)</f>
        <v>0</v>
      </c>
      <c r="Y38" s="76">
        <f ca="1">IF($J38&lt;&gt;0,VLOOKUP($L38,'Allocation Factors - N'!$B$13:$U$173,16,FALSE)*$J38,0)+IF($F38&lt;&gt;0,VLOOKUP($H38,'Allocation Factors - N'!$B$13:$U$173,16,FALSE)*$F38,0)</f>
        <v>3.7369796562253601</v>
      </c>
      <c r="Z38" s="76">
        <f ca="1">IF($J38&lt;&gt;0,VLOOKUP($L38,'Allocation Factors - N'!$B$13:$U$173,17,FALSE)*$J38,0)+IF($F38&lt;&gt;0,VLOOKUP($H38,'Allocation Factors - N'!$B$13:$U$173,17,FALSE)*$F38,0)</f>
        <v>0</v>
      </c>
      <c r="AA38" s="76">
        <f ca="1">IF($J38&lt;&gt;0,VLOOKUP($L38,'Allocation Factors - N'!$B$13:$U$173,18,FALSE)*$J38,0)+IF($F38&lt;&gt;0,VLOOKUP($H38,'Allocation Factors - N'!$B$13:$U$173,18,FALSE)*$F38,0)</f>
        <v>9.1011515468874933</v>
      </c>
      <c r="AB38" s="76">
        <f ca="1">IF($J38&lt;&gt;0,VLOOKUP($L38,'Allocation Factors - N'!$B$13:$U$173,19,FALSE)*$J38,0)+IF($F38&lt;&gt;0,VLOOKUP($H38,'Allocation Factors - N'!$B$13:$U$173,19,FALSE)*$F38,0)</f>
        <v>0</v>
      </c>
      <c r="AC38" s="76">
        <f ca="1">IF($J38&lt;&gt;0,VLOOKUP($L38,'Allocation Factors - N'!$B$13:$U$173,20,FALSE)*$J38,0)+IF($F38&lt;&gt;0,VLOOKUP($H38,'Allocation Factors - N'!$B$13:$U$173,20,FALSE)*$F38,0)</f>
        <v>0</v>
      </c>
    </row>
    <row r="39" spans="1:29" x14ac:dyDescent="0.25">
      <c r="A39" s="2">
        <f t="shared" si="7"/>
        <v>21</v>
      </c>
      <c r="B39" s="31" t="s">
        <v>389</v>
      </c>
      <c r="D39" s="40">
        <f ca="1">SUM(D31:D38)</f>
        <v>664.44573542758917</v>
      </c>
      <c r="F39" s="40">
        <f>SUM(F31:F38)</f>
        <v>647.23650896029574</v>
      </c>
      <c r="J39" s="40">
        <f ca="1">SUM(J31:J38)</f>
        <v>17.209226467293433</v>
      </c>
      <c r="N39" s="40">
        <f t="shared" ref="N39:AA39" ca="1" si="8">SUM(N31:N38)</f>
        <v>476.91790309433037</v>
      </c>
      <c r="O39" s="40">
        <f t="shared" ca="1" si="8"/>
        <v>138.64920152885509</v>
      </c>
      <c r="P39" s="40">
        <f t="shared" ca="1" si="8"/>
        <v>36.04049960129106</v>
      </c>
      <c r="Q39" s="40"/>
      <c r="R39" s="40"/>
      <c r="S39" s="40">
        <f t="shared" ca="1" si="8"/>
        <v>0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0</v>
      </c>
      <c r="X39" s="40">
        <f t="shared" ca="1" si="8"/>
        <v>0</v>
      </c>
      <c r="Y39" s="40">
        <f t="shared" ca="1" si="8"/>
        <v>3.7369796562253601</v>
      </c>
      <c r="Z39" s="40">
        <f t="shared" ca="1" si="8"/>
        <v>0</v>
      </c>
      <c r="AA39" s="40">
        <f t="shared" ca="1" si="8"/>
        <v>9.1011515468874933</v>
      </c>
      <c r="AB39" s="40">
        <f ca="1">SUM(AB31:AB38)</f>
        <v>0</v>
      </c>
      <c r="AC39" s="40">
        <f ca="1">SUM(AC31:AC38)</f>
        <v>0</v>
      </c>
    </row>
    <row r="40" spans="1:29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x14ac:dyDescent="0.25">
      <c r="D41" s="48"/>
    </row>
    <row r="42" spans="1:29" ht="13" thickBot="1" x14ac:dyDescent="0.3">
      <c r="A42" s="2">
        <f>A39+1</f>
        <v>22</v>
      </c>
      <c r="B42" s="31" t="s">
        <v>464</v>
      </c>
      <c r="D42" s="80">
        <f ca="1">D21+D28+D39</f>
        <v>154574.39249761769</v>
      </c>
      <c r="F42" s="80">
        <f>F21+F28+F39</f>
        <v>647.23650896029574</v>
      </c>
      <c r="J42" s="80">
        <f ca="1">J21+J28+J39</f>
        <v>153927.15598865741</v>
      </c>
      <c r="N42" s="80">
        <f ca="1">N21+N28+N39</f>
        <v>122743.53566258855</v>
      </c>
      <c r="O42" s="80">
        <f t="shared" ref="O42:AC42" ca="1" si="9">O21+O28+O39</f>
        <v>24955.504621699944</v>
      </c>
      <c r="P42" s="80">
        <f t="shared" ca="1" si="9"/>
        <v>4074.6312665218002</v>
      </c>
      <c r="Q42" s="80"/>
      <c r="R42" s="80"/>
      <c r="S42" s="80">
        <f t="shared" ca="1" si="9"/>
        <v>0</v>
      </c>
      <c r="T42" s="80">
        <f t="shared" ca="1" si="9"/>
        <v>0</v>
      </c>
      <c r="U42" s="80">
        <f t="shared" ca="1" si="9"/>
        <v>0</v>
      </c>
      <c r="V42" s="80">
        <f t="shared" ca="1" si="9"/>
        <v>0</v>
      </c>
      <c r="W42" s="80">
        <f t="shared" ca="1" si="9"/>
        <v>0</v>
      </c>
      <c r="X42" s="80">
        <f t="shared" ca="1" si="9"/>
        <v>0</v>
      </c>
      <c r="Y42" s="80">
        <f t="shared" ca="1" si="9"/>
        <v>832.67321469774106</v>
      </c>
      <c r="Z42" s="80">
        <f t="shared" ca="1" si="9"/>
        <v>0</v>
      </c>
      <c r="AA42" s="80">
        <f t="shared" ca="1" si="9"/>
        <v>1968.0477321096937</v>
      </c>
      <c r="AB42" s="80">
        <f t="shared" ca="1" si="9"/>
        <v>0</v>
      </c>
      <c r="AC42" s="80">
        <f t="shared" ca="1" si="9"/>
        <v>0</v>
      </c>
    </row>
    <row r="43" spans="1:29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</row>
    <row r="45" spans="1:29" x14ac:dyDescent="0.25">
      <c r="F45" s="48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sheetPr>
    <pageSetUpPr fitToPage="1"/>
  </sheetPr>
  <dimension ref="A3:AB236"/>
  <sheetViews>
    <sheetView topLeftCell="A65" zoomScale="80" zoomScaleNormal="80" workbookViewId="0">
      <selection activeCell="I88" sqref="I88"/>
    </sheetView>
  </sheetViews>
  <sheetFormatPr defaultColWidth="9.1796875" defaultRowHeight="12.5" x14ac:dyDescent="0.25"/>
  <cols>
    <col min="1" max="1" width="6.453125" style="43" customWidth="1"/>
    <col min="2" max="2" width="30.7265625" style="1" customWidth="1"/>
    <col min="3" max="3" width="8.26953125" style="18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9.1796875" style="1"/>
    <col min="14" max="14" width="9.1796875" style="1" customWidth="1"/>
    <col min="15" max="15" width="9.1796875" style="18" customWidth="1"/>
    <col min="16" max="16" width="26.54296875" style="1" bestFit="1" customWidth="1"/>
    <col min="17" max="17" width="1.7265625" style="43" customWidth="1"/>
    <col min="18" max="18" width="11.1796875" style="1" customWidth="1"/>
    <col min="19" max="19" width="1.7265625" style="1" customWidth="1"/>
    <col min="20" max="20" width="11.1796875" style="1" customWidth="1"/>
    <col min="21" max="21" width="1.7265625" style="1" customWidth="1"/>
    <col min="22" max="22" width="12.7265625" style="1" bestFit="1" customWidth="1"/>
    <col min="23" max="23" width="1.7265625" style="1" customWidth="1"/>
    <col min="24" max="24" width="12.26953125" style="1" bestFit="1" customWidth="1"/>
    <col min="25" max="28" width="9.1796875" style="1" customWidth="1"/>
    <col min="29" max="16384" width="9.1796875" style="1"/>
  </cols>
  <sheetData>
    <row r="3" spans="1:28" ht="13" x14ac:dyDescent="0.3">
      <c r="B3" s="51"/>
    </row>
    <row r="6" spans="1:28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5">
      <c r="B7" s="155" t="s">
        <v>163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9" spans="1:28" x14ac:dyDescent="0.25">
      <c r="A9" s="18" t="s">
        <v>6</v>
      </c>
      <c r="B9" s="18" t="s">
        <v>164</v>
      </c>
      <c r="F9" s="18"/>
      <c r="Q9" s="18"/>
      <c r="R9" s="43"/>
      <c r="V9" s="18"/>
    </row>
    <row r="10" spans="1:28" ht="15" customHeight="1" x14ac:dyDescent="0.25">
      <c r="A10" s="4" t="s">
        <v>11</v>
      </c>
      <c r="B10" s="4" t="s">
        <v>14</v>
      </c>
      <c r="C10" s="4"/>
      <c r="D10" s="4" t="s">
        <v>2</v>
      </c>
      <c r="F10" s="4" t="s">
        <v>17</v>
      </c>
      <c r="H10" s="16" t="s">
        <v>18</v>
      </c>
      <c r="J10" s="4" t="s">
        <v>19</v>
      </c>
      <c r="L10" s="4" t="s">
        <v>20</v>
      </c>
      <c r="Q10" s="18"/>
      <c r="R10" s="43"/>
      <c r="T10" s="18"/>
      <c r="V10" s="18"/>
      <c r="X10" s="108"/>
      <c r="Z10" s="18"/>
      <c r="AB10" s="18"/>
    </row>
    <row r="11" spans="1:28" x14ac:dyDescent="0.25">
      <c r="A11" s="18"/>
      <c r="D11" s="18" t="s">
        <v>22</v>
      </c>
      <c r="E11" s="18"/>
      <c r="F11" s="55" t="s">
        <v>23</v>
      </c>
      <c r="G11" s="18"/>
      <c r="H11" s="55" t="s">
        <v>24</v>
      </c>
      <c r="I11" s="18"/>
      <c r="J11" s="55" t="s">
        <v>165</v>
      </c>
      <c r="K11" s="18"/>
      <c r="L11" s="55" t="s">
        <v>26</v>
      </c>
      <c r="Q11" s="1"/>
      <c r="R11" s="43"/>
      <c r="T11" s="18"/>
      <c r="U11" s="18"/>
      <c r="V11" s="55"/>
      <c r="W11" s="18"/>
      <c r="X11" s="55"/>
      <c r="Y11" s="18"/>
      <c r="Z11" s="55"/>
      <c r="AA11" s="18"/>
      <c r="AB11" s="55"/>
    </row>
    <row r="12" spans="1:28" x14ac:dyDescent="0.25">
      <c r="Q12" s="1"/>
      <c r="R12" s="43"/>
    </row>
    <row r="13" spans="1:28" ht="15" customHeight="1" x14ac:dyDescent="0.35">
      <c r="A13" s="18">
        <v>1</v>
      </c>
      <c r="B13" s="2"/>
      <c r="C13" s="2" t="s">
        <v>166</v>
      </c>
      <c r="D13" s="20">
        <f>SUM(F13:L13)</f>
        <v>5865.9645385754357</v>
      </c>
      <c r="E13" s="41"/>
      <c r="F13" s="20">
        <v>4758.6044086021757</v>
      </c>
      <c r="G13" s="37"/>
      <c r="H13" s="20">
        <v>0</v>
      </c>
      <c r="I13" s="46"/>
      <c r="J13" s="20">
        <v>0</v>
      </c>
      <c r="K13" s="46"/>
      <c r="L13" s="20">
        <v>1107.36012997326</v>
      </c>
      <c r="Q13" s="2"/>
      <c r="R13" s="56"/>
      <c r="S13" s="30"/>
      <c r="T13" s="22"/>
      <c r="U13" s="41"/>
      <c r="V13" s="22"/>
      <c r="W13" s="37"/>
      <c r="X13" s="22"/>
      <c r="Y13" s="69"/>
      <c r="Z13" s="22"/>
      <c r="AA13" s="69"/>
      <c r="AB13" s="22"/>
    </row>
    <row r="14" spans="1:28" x14ac:dyDescent="0.25">
      <c r="A14" s="18">
        <f>A13+1</f>
        <v>2</v>
      </c>
      <c r="B14" s="2" t="s">
        <v>148</v>
      </c>
      <c r="C14" s="2"/>
      <c r="D14" s="17">
        <f>SUM(F14:L14)</f>
        <v>1</v>
      </c>
      <c r="F14" s="17">
        <f>IFERROR(F13/$D13,0)</f>
        <v>0.81122283936578565</v>
      </c>
      <c r="H14" s="24">
        <f>IFERROR(H13/$D13,0)</f>
        <v>0</v>
      </c>
      <c r="J14" s="24">
        <f>IFERROR(J13/$D13,0)</f>
        <v>0</v>
      </c>
      <c r="L14" s="24">
        <f>IFERROR(L13/$D13,0)</f>
        <v>0.18877716063421432</v>
      </c>
      <c r="Q14" s="2"/>
      <c r="R14" s="56"/>
      <c r="S14" s="17"/>
      <c r="T14" s="17"/>
      <c r="V14" s="17"/>
      <c r="X14" s="61"/>
      <c r="Z14" s="61"/>
      <c r="AB14" s="61"/>
    </row>
    <row r="15" spans="1:28" x14ac:dyDescent="0.25">
      <c r="A15" s="18"/>
      <c r="B15" s="31"/>
      <c r="C15" s="2"/>
      <c r="Q15" s="31"/>
      <c r="R15" s="56"/>
    </row>
    <row r="16" spans="1:28" ht="15" customHeight="1" x14ac:dyDescent="0.35">
      <c r="A16" s="18">
        <f>A14+1</f>
        <v>3</v>
      </c>
      <c r="B16" s="2"/>
      <c r="C16" s="2" t="s">
        <v>166</v>
      </c>
      <c r="D16" s="20">
        <f>SUM(F16:L16)</f>
        <v>1708.3898809221498</v>
      </c>
      <c r="E16" s="41"/>
      <c r="F16" s="76">
        <v>1295.4715209674002</v>
      </c>
      <c r="G16" s="41"/>
      <c r="H16" s="76">
        <v>0</v>
      </c>
      <c r="I16" s="57"/>
      <c r="J16" s="76">
        <v>0</v>
      </c>
      <c r="K16" s="57"/>
      <c r="L16" s="76">
        <v>412.91835995474958</v>
      </c>
      <c r="Q16" s="2"/>
      <c r="R16" s="56"/>
      <c r="S16" s="30"/>
      <c r="T16" s="22"/>
      <c r="U16" s="41"/>
      <c r="V16" s="22"/>
      <c r="W16" s="37"/>
      <c r="X16" s="22"/>
      <c r="Y16" s="69"/>
      <c r="Z16" s="22"/>
      <c r="AA16" s="69"/>
      <c r="AB16" s="22"/>
    </row>
    <row r="17" spans="1:28" x14ac:dyDescent="0.25">
      <c r="A17" s="18">
        <f>A16+1</f>
        <v>4</v>
      </c>
      <c r="B17" s="2" t="s">
        <v>135</v>
      </c>
      <c r="C17" s="2"/>
      <c r="D17" s="17">
        <f>SUM(F17:L17)</f>
        <v>1</v>
      </c>
      <c r="F17" s="17">
        <f>IFERROR(F16/$D16,0)</f>
        <v>0.75829969226236249</v>
      </c>
      <c r="H17" s="24">
        <f>IFERROR(H16/$D16,0)</f>
        <v>0</v>
      </c>
      <c r="J17" s="24">
        <f>IFERROR(J16/$D16,0)</f>
        <v>0</v>
      </c>
      <c r="L17" s="24">
        <f>IFERROR(L16/$D16,0)</f>
        <v>0.24170030773763754</v>
      </c>
      <c r="Q17" s="2"/>
      <c r="R17" s="56"/>
      <c r="S17" s="17"/>
      <c r="T17" s="17"/>
      <c r="V17" s="61"/>
      <c r="X17" s="61"/>
      <c r="Z17" s="61"/>
      <c r="AB17" s="61"/>
    </row>
    <row r="18" spans="1:28" ht="14.5" x14ac:dyDescent="0.35">
      <c r="A18" s="18"/>
      <c r="B18" s="57"/>
      <c r="C18" s="148"/>
      <c r="E18"/>
      <c r="Q18" s="57"/>
      <c r="R18" s="58"/>
      <c r="S18"/>
      <c r="T18"/>
      <c r="U18"/>
      <c r="V18"/>
      <c r="W18"/>
      <c r="X18"/>
      <c r="Y18"/>
      <c r="Z18"/>
      <c r="AA18"/>
      <c r="AB18"/>
    </row>
    <row r="19" spans="1:28" ht="15" customHeight="1" x14ac:dyDescent="0.35">
      <c r="A19" s="18">
        <f>A17+1</f>
        <v>5</v>
      </c>
      <c r="B19" s="2"/>
      <c r="C19" s="2" t="s">
        <v>166</v>
      </c>
      <c r="D19" s="20">
        <f>SUM(F19:L19)</f>
        <v>2531.2823068200137</v>
      </c>
      <c r="E19" s="41"/>
      <c r="F19" s="20">
        <v>2104.1517941099964</v>
      </c>
      <c r="G19" s="37"/>
      <c r="H19" s="20">
        <v>0</v>
      </c>
      <c r="I19" s="46"/>
      <c r="J19" s="20">
        <v>0</v>
      </c>
      <c r="K19" s="46"/>
      <c r="L19" s="20">
        <v>427.13051271001717</v>
      </c>
      <c r="Q19" s="2"/>
      <c r="R19" s="56"/>
      <c r="S19" s="30"/>
      <c r="T19" s="22"/>
      <c r="U19" s="41"/>
      <c r="V19" s="22"/>
      <c r="W19" s="37"/>
      <c r="X19" s="22"/>
      <c r="Y19" s="69"/>
      <c r="Z19" s="22"/>
      <c r="AA19" s="69"/>
      <c r="AB19" s="22"/>
    </row>
    <row r="20" spans="1:28" x14ac:dyDescent="0.25">
      <c r="A20" s="18">
        <f>A19+1</f>
        <v>6</v>
      </c>
      <c r="B20" s="2" t="s">
        <v>145</v>
      </c>
      <c r="C20" s="2"/>
      <c r="D20" s="17">
        <f>SUM(F20:L20)</f>
        <v>1</v>
      </c>
      <c r="F20" s="17">
        <f>IFERROR(F19/$D19,0)</f>
        <v>0.83125923506864374</v>
      </c>
      <c r="H20" s="24">
        <f>IFERROR(H19/$D19,0)</f>
        <v>0</v>
      </c>
      <c r="J20" s="24">
        <f>IFERROR(J19/$D19,0)</f>
        <v>0</v>
      </c>
      <c r="L20" s="24">
        <f>IFERROR(L19/$D19,0)</f>
        <v>0.16874076493135629</v>
      </c>
      <c r="Q20" s="2"/>
      <c r="R20" s="56"/>
      <c r="S20" s="17"/>
      <c r="T20" s="17"/>
      <c r="V20" s="17"/>
      <c r="X20" s="61"/>
      <c r="Z20" s="61"/>
      <c r="AB20" s="61"/>
    </row>
    <row r="21" spans="1:28" ht="14.5" x14ac:dyDescent="0.35">
      <c r="A21" s="18"/>
      <c r="B21" s="57"/>
      <c r="C21" s="148"/>
      <c r="E21"/>
      <c r="Q21" s="57"/>
      <c r="R21" s="58"/>
      <c r="S21"/>
      <c r="T21"/>
      <c r="U21"/>
      <c r="V21"/>
      <c r="W21"/>
      <c r="X21"/>
      <c r="Y21"/>
      <c r="Z21"/>
      <c r="AA21"/>
      <c r="AB21"/>
    </row>
    <row r="22" spans="1:28" ht="15" customHeight="1" x14ac:dyDescent="0.35">
      <c r="A22" s="18">
        <f>A20+1</f>
        <v>7</v>
      </c>
      <c r="B22" s="2"/>
      <c r="C22" s="2" t="s">
        <v>166</v>
      </c>
      <c r="D22" s="20">
        <f>SUM(F22:L22)</f>
        <v>2940.7050695282501</v>
      </c>
      <c r="E22" s="41"/>
      <c r="F22" s="20">
        <v>2546.4739944630078</v>
      </c>
      <c r="G22" s="37"/>
      <c r="H22" s="20">
        <v>0</v>
      </c>
      <c r="I22" s="46"/>
      <c r="J22" s="20">
        <v>0</v>
      </c>
      <c r="K22" s="46"/>
      <c r="L22" s="20">
        <v>394.23107506524224</v>
      </c>
      <c r="Q22" s="2"/>
      <c r="R22" s="56"/>
      <c r="T22" s="22"/>
      <c r="U22" s="41"/>
      <c r="V22" s="22"/>
      <c r="W22" s="37"/>
      <c r="X22" s="22"/>
      <c r="Y22" s="69"/>
      <c r="Z22" s="22"/>
      <c r="AA22" s="69"/>
      <c r="AB22" s="22"/>
    </row>
    <row r="23" spans="1:28" x14ac:dyDescent="0.25">
      <c r="A23" s="18">
        <f>A22+1</f>
        <v>8</v>
      </c>
      <c r="B23" s="2" t="s">
        <v>128</v>
      </c>
      <c r="C23" s="2"/>
      <c r="D23" s="17">
        <f>SUM(F23:L23)</f>
        <v>1</v>
      </c>
      <c r="F23" s="17">
        <f>IFERROR(F22/$D22,0)</f>
        <v>0.86593994782057992</v>
      </c>
      <c r="H23" s="24">
        <f>IFERROR(H22/$D22,0)</f>
        <v>0</v>
      </c>
      <c r="J23" s="24">
        <f>IFERROR(J22/$D22,0)</f>
        <v>0</v>
      </c>
      <c r="L23" s="24">
        <f>IFERROR(L22/$D22,0)</f>
        <v>0.13406005217942005</v>
      </c>
      <c r="Q23" s="2"/>
      <c r="R23" s="56"/>
      <c r="T23" s="17"/>
      <c r="V23" s="17"/>
      <c r="X23" s="61"/>
      <c r="Z23" s="61"/>
      <c r="AB23" s="61"/>
    </row>
    <row r="24" spans="1:28" x14ac:dyDescent="0.25">
      <c r="A24" s="18"/>
      <c r="B24" s="2"/>
      <c r="C24" s="2"/>
      <c r="Q24" s="2"/>
      <c r="R24" s="56"/>
    </row>
    <row r="25" spans="1:28" ht="15" customHeight="1" x14ac:dyDescent="0.35">
      <c r="A25" s="18">
        <f>A23+1</f>
        <v>9</v>
      </c>
      <c r="B25" s="2"/>
      <c r="C25" s="2" t="s">
        <v>166</v>
      </c>
      <c r="D25" s="20">
        <f>SUM(F25:L25)</f>
        <v>10151.221525209376</v>
      </c>
      <c r="E25" s="41"/>
      <c r="F25" s="20">
        <v>10151.221525209376</v>
      </c>
      <c r="G25" s="37"/>
      <c r="H25" s="20">
        <v>0</v>
      </c>
      <c r="I25" s="46"/>
      <c r="J25" s="20">
        <v>0</v>
      </c>
      <c r="K25" s="46"/>
      <c r="L25" s="20">
        <v>0</v>
      </c>
      <c r="Q25" s="2"/>
      <c r="R25" s="56"/>
      <c r="S25" s="30"/>
      <c r="T25" s="22"/>
      <c r="U25" s="41"/>
      <c r="V25" s="22"/>
      <c r="W25" s="37"/>
      <c r="X25" s="22"/>
      <c r="Y25" s="69"/>
      <c r="Z25" s="22"/>
      <c r="AA25" s="69"/>
      <c r="AB25" s="22"/>
    </row>
    <row r="26" spans="1:28" x14ac:dyDescent="0.25">
      <c r="A26" s="18">
        <f>A25+1</f>
        <v>10</v>
      </c>
      <c r="B26" s="2" t="s">
        <v>142</v>
      </c>
      <c r="C26" s="2"/>
      <c r="D26" s="17">
        <f>SUM(F26:L26)</f>
        <v>1</v>
      </c>
      <c r="F26" s="17">
        <f>IFERROR(F25/$D25,0)</f>
        <v>1</v>
      </c>
      <c r="H26" s="24">
        <f>IFERROR(H25/$D25,0)</f>
        <v>0</v>
      </c>
      <c r="J26" s="24">
        <f>IFERROR(J25/$D25,0)</f>
        <v>0</v>
      </c>
      <c r="L26" s="24">
        <f>IFERROR(L25/$D25,0)</f>
        <v>0</v>
      </c>
      <c r="Q26" s="2"/>
      <c r="R26" s="56"/>
      <c r="S26" s="17"/>
      <c r="T26" s="17"/>
      <c r="V26" s="17"/>
      <c r="X26" s="61"/>
      <c r="Z26" s="61"/>
      <c r="AB26" s="61"/>
    </row>
    <row r="27" spans="1:28" x14ac:dyDescent="0.25">
      <c r="A27" s="18"/>
      <c r="B27" s="31"/>
      <c r="C27" s="2"/>
      <c r="Q27" s="31"/>
      <c r="R27" s="56"/>
    </row>
    <row r="28" spans="1:28" x14ac:dyDescent="0.25">
      <c r="A28" s="18">
        <f>A26+1</f>
        <v>11</v>
      </c>
      <c r="B28" s="2"/>
      <c r="C28" s="2" t="s">
        <v>166</v>
      </c>
      <c r="D28" s="20">
        <f>SUM(F28:L28)</f>
        <v>24266.295497726831</v>
      </c>
      <c r="F28" s="20">
        <v>0</v>
      </c>
      <c r="G28" s="20"/>
      <c r="H28" s="20">
        <v>5732.3451400983267</v>
      </c>
      <c r="I28" s="20"/>
      <c r="J28" s="20">
        <v>18533.950357628506</v>
      </c>
      <c r="L28" s="20">
        <v>0</v>
      </c>
      <c r="O28" s="1"/>
      <c r="Q28" s="2"/>
      <c r="R28" s="56"/>
      <c r="T28" s="22"/>
      <c r="V28" s="22"/>
      <c r="W28" s="22"/>
      <c r="X28" s="22"/>
      <c r="Y28" s="22"/>
      <c r="Z28" s="22"/>
      <c r="AB28" s="22"/>
    </row>
    <row r="29" spans="1:28" x14ac:dyDescent="0.25">
      <c r="A29" s="18">
        <f>A28+1</f>
        <v>12</v>
      </c>
      <c r="B29" s="2" t="s">
        <v>100</v>
      </c>
      <c r="C29" s="2"/>
      <c r="D29" s="17">
        <f>SUM(F29:L29)</f>
        <v>1</v>
      </c>
      <c r="F29" s="17">
        <f>IFERROR(F28/$D28,0)</f>
        <v>0</v>
      </c>
      <c r="H29" s="24">
        <f>IFERROR(H28/$D28,0)</f>
        <v>0.23622662720130932</v>
      </c>
      <c r="J29" s="24">
        <f>IFERROR(J28/$D28,0)</f>
        <v>0.76377337279869073</v>
      </c>
      <c r="L29" s="24">
        <f>IFERROR(L28/$D28,0)</f>
        <v>0</v>
      </c>
      <c r="O29" s="1"/>
      <c r="Q29" s="2"/>
      <c r="R29" s="56"/>
      <c r="T29" s="17"/>
      <c r="V29" s="61"/>
      <c r="X29" s="61"/>
      <c r="Z29" s="61"/>
      <c r="AB29" s="61"/>
    </row>
    <row r="30" spans="1:28" x14ac:dyDescent="0.25">
      <c r="A30" s="18"/>
      <c r="B30" s="31"/>
      <c r="C30" s="2"/>
      <c r="O30" s="1"/>
      <c r="Q30" s="31"/>
      <c r="R30" s="56"/>
    </row>
    <row r="31" spans="1:28" x14ac:dyDescent="0.25">
      <c r="A31" s="18">
        <f>A29+1</f>
        <v>13</v>
      </c>
      <c r="B31" s="2"/>
      <c r="C31" s="2" t="s">
        <v>166</v>
      </c>
      <c r="D31" s="20">
        <f>SUM(F31:L31)</f>
        <v>1791346.1557923509</v>
      </c>
      <c r="F31" s="20">
        <v>0</v>
      </c>
      <c r="G31" s="20"/>
      <c r="H31" s="20">
        <v>376124.00347801467</v>
      </c>
      <c r="I31" s="20"/>
      <c r="J31" s="20">
        <v>1377669.9119118378</v>
      </c>
      <c r="L31" s="20">
        <v>37552.240402498588</v>
      </c>
      <c r="O31" s="1"/>
      <c r="Q31" s="2"/>
      <c r="R31" s="56"/>
      <c r="T31" s="22"/>
      <c r="V31" s="22"/>
      <c r="W31" s="22"/>
      <c r="X31" s="22"/>
      <c r="Y31" s="22"/>
      <c r="Z31" s="22"/>
      <c r="AB31" s="22"/>
    </row>
    <row r="32" spans="1:28" x14ac:dyDescent="0.25">
      <c r="A32" s="18">
        <f>A31+1</f>
        <v>14</v>
      </c>
      <c r="B32" s="2" t="s">
        <v>44</v>
      </c>
      <c r="C32" s="2"/>
      <c r="D32" s="17">
        <f>SUM(F32:L32)</f>
        <v>1.0000000000000002</v>
      </c>
      <c r="F32" s="17">
        <f>IFERROR(F31/$D31,0)</f>
        <v>0</v>
      </c>
      <c r="H32" s="24">
        <f>IFERROR(H31/$D31,0)</f>
        <v>0.20996723735488573</v>
      </c>
      <c r="J32" s="24">
        <f>IFERROR(J31/$D31,0)</f>
        <v>0.76906962256128819</v>
      </c>
      <c r="L32" s="24">
        <f>IFERROR(L31/$D31,0)</f>
        <v>2.0963140083826191E-2</v>
      </c>
      <c r="O32" s="1"/>
      <c r="Q32" s="2"/>
      <c r="R32" s="56"/>
      <c r="T32" s="17"/>
      <c r="V32" s="61"/>
      <c r="X32" s="61"/>
      <c r="Z32" s="61"/>
      <c r="AB32" s="61"/>
    </row>
    <row r="33" spans="1:28" x14ac:dyDescent="0.25">
      <c r="A33" s="18"/>
      <c r="B33" s="31"/>
      <c r="C33" s="2"/>
      <c r="O33" s="1"/>
      <c r="Q33" s="31"/>
      <c r="R33" s="56"/>
    </row>
    <row r="34" spans="1:28" x14ac:dyDescent="0.25">
      <c r="A34" s="18">
        <f>A32+1</f>
        <v>15</v>
      </c>
      <c r="B34" s="2"/>
      <c r="C34" s="2" t="s">
        <v>166</v>
      </c>
      <c r="D34" s="20">
        <f>SUM(F34:L34)</f>
        <v>-690225.13613837515</v>
      </c>
      <c r="F34" s="20">
        <v>0</v>
      </c>
      <c r="G34" s="20"/>
      <c r="H34" s="20">
        <v>-153844.17287634028</v>
      </c>
      <c r="I34" s="20"/>
      <c r="J34" s="20">
        <v>-529309.68232222274</v>
      </c>
      <c r="L34" s="20">
        <v>-7071.2809398120917</v>
      </c>
      <c r="O34" s="1"/>
      <c r="Q34" s="2"/>
      <c r="R34" s="56"/>
      <c r="T34" s="22"/>
      <c r="V34" s="22"/>
      <c r="W34" s="22"/>
      <c r="X34" s="22"/>
      <c r="Y34" s="22"/>
      <c r="Z34" s="22"/>
      <c r="AB34" s="22"/>
    </row>
    <row r="35" spans="1:28" x14ac:dyDescent="0.25">
      <c r="A35" s="18">
        <f>A34+1</f>
        <v>16</v>
      </c>
      <c r="B35" s="2" t="s">
        <v>64</v>
      </c>
      <c r="C35" s="2"/>
      <c r="D35" s="17">
        <f>SUM(F35:L35)</f>
        <v>1</v>
      </c>
      <c r="F35" s="17">
        <f>IFERROR(F34/$D34,0)</f>
        <v>0</v>
      </c>
      <c r="H35" s="24">
        <f>IFERROR(H34/$D34,0)</f>
        <v>0.22288984393854047</v>
      </c>
      <c r="J35" s="24">
        <f>IFERROR(J34/$D34,0)</f>
        <v>0.76686526556185519</v>
      </c>
      <c r="L35" s="24">
        <f>IFERROR(L34/$D34,0)</f>
        <v>1.0244890499604253E-2</v>
      </c>
      <c r="O35" s="1"/>
      <c r="Q35" s="2"/>
      <c r="R35" s="56"/>
      <c r="T35" s="17"/>
      <c r="V35" s="61"/>
      <c r="X35" s="61"/>
      <c r="Z35" s="61"/>
      <c r="AB35" s="61"/>
    </row>
    <row r="36" spans="1:28" x14ac:dyDescent="0.25">
      <c r="A36" s="18"/>
      <c r="B36" s="31"/>
      <c r="C36" s="2"/>
      <c r="O36" s="1"/>
      <c r="Q36" s="31"/>
      <c r="R36" s="56"/>
    </row>
    <row r="37" spans="1:28" x14ac:dyDescent="0.25">
      <c r="A37" s="18">
        <f>A35+1</f>
        <v>17</v>
      </c>
      <c r="B37" s="2"/>
      <c r="C37" s="2" t="s">
        <v>166</v>
      </c>
      <c r="D37" s="59">
        <f>SUM(F37:L37)</f>
        <v>1</v>
      </c>
      <c r="F37" s="59">
        <v>0</v>
      </c>
      <c r="G37" s="59"/>
      <c r="H37" s="59">
        <v>0.39326014506907819</v>
      </c>
      <c r="I37" s="59"/>
      <c r="J37" s="59">
        <v>0.60673985493092175</v>
      </c>
      <c r="K37" s="14"/>
      <c r="L37" s="59">
        <v>0</v>
      </c>
      <c r="O37" s="1"/>
      <c r="Q37" s="2"/>
      <c r="R37" s="56"/>
      <c r="T37" s="23"/>
      <c r="V37" s="23"/>
      <c r="W37" s="23"/>
      <c r="X37" s="23"/>
      <c r="Y37" s="23"/>
      <c r="Z37" s="23"/>
      <c r="AA37" s="14"/>
      <c r="AB37" s="23"/>
    </row>
    <row r="38" spans="1:28" x14ac:dyDescent="0.25">
      <c r="A38" s="18">
        <f>A37+1</f>
        <v>18</v>
      </c>
      <c r="B38" s="2" t="s">
        <v>115</v>
      </c>
      <c r="C38" s="2"/>
      <c r="D38" s="17">
        <f>SUM(F38:L38)</f>
        <v>1</v>
      </c>
      <c r="F38" s="17">
        <f>IFERROR(F37/$D37,0)</f>
        <v>0</v>
      </c>
      <c r="H38" s="24">
        <f>IFERROR(H37/$D37,0)</f>
        <v>0.39326014506907819</v>
      </c>
      <c r="J38" s="24">
        <f>IFERROR(J37/$D37,0)</f>
        <v>0.60673985493092175</v>
      </c>
      <c r="L38" s="24">
        <f>IFERROR(L37/$D37,0)</f>
        <v>0</v>
      </c>
      <c r="O38" s="1"/>
      <c r="Q38" s="1"/>
      <c r="Z38" s="61"/>
      <c r="AB38" s="61"/>
    </row>
    <row r="39" spans="1:28" x14ac:dyDescent="0.25">
      <c r="A39" s="18"/>
      <c r="B39" s="31"/>
      <c r="C39" s="2"/>
      <c r="O39" s="1"/>
      <c r="Q39" s="1"/>
    </row>
    <row r="40" spans="1:28" x14ac:dyDescent="0.25">
      <c r="A40" s="18">
        <f>A38+1</f>
        <v>19</v>
      </c>
      <c r="B40" s="2"/>
      <c r="C40" s="2" t="s">
        <v>166</v>
      </c>
      <c r="D40" s="20">
        <f>SUM(F40:L40)</f>
        <v>672899.26923475764</v>
      </c>
      <c r="F40" s="20">
        <v>0</v>
      </c>
      <c r="G40" s="20"/>
      <c r="H40" s="20">
        <v>24853.346732706683</v>
      </c>
      <c r="I40" s="20"/>
      <c r="J40" s="20">
        <v>82421.141572556502</v>
      </c>
      <c r="L40" s="20">
        <v>565624.78092949442</v>
      </c>
      <c r="O40" s="1"/>
      <c r="Q40" s="1"/>
      <c r="Y40" s="22"/>
      <c r="Z40" s="22"/>
      <c r="AB40" s="22"/>
    </row>
    <row r="41" spans="1:28" x14ac:dyDescent="0.25">
      <c r="A41" s="18">
        <f>A40+1</f>
        <v>20</v>
      </c>
      <c r="B41" s="2" t="s">
        <v>83</v>
      </c>
      <c r="C41" s="2"/>
      <c r="D41" s="17">
        <f>SUM(F41:L41)</f>
        <v>1</v>
      </c>
      <c r="F41" s="17">
        <f>IFERROR(F40/$D40,0)</f>
        <v>0</v>
      </c>
      <c r="H41" s="24">
        <f>IFERROR(H40/$D40,0)</f>
        <v>3.6934720944147695E-2</v>
      </c>
      <c r="J41" s="24">
        <f>IFERROR(J40/$D40,0)</f>
        <v>0.12248659694085927</v>
      </c>
      <c r="L41" s="24">
        <f>IFERROR(L40/$D40,0)</f>
        <v>0.84057868211499298</v>
      </c>
      <c r="O41" s="1"/>
      <c r="Q41" s="1"/>
      <c r="Z41" s="61"/>
      <c r="AB41" s="61"/>
    </row>
    <row r="42" spans="1:28" x14ac:dyDescent="0.25">
      <c r="A42" s="18"/>
      <c r="B42" s="31"/>
      <c r="C42" s="2"/>
      <c r="O42" s="1"/>
      <c r="Q42" s="1"/>
      <c r="Z42" s="61"/>
      <c r="AB42" s="61"/>
    </row>
    <row r="43" spans="1:28" x14ac:dyDescent="0.25">
      <c r="A43" s="18">
        <f>A41+1</f>
        <v>21</v>
      </c>
      <c r="B43" s="2"/>
      <c r="C43" s="2" t="s">
        <v>167</v>
      </c>
      <c r="D43" s="20">
        <f>SUM(F43:L43)</f>
        <v>1</v>
      </c>
      <c r="E43" s="20"/>
      <c r="F43" s="20">
        <v>0</v>
      </c>
      <c r="G43" s="20"/>
      <c r="H43" s="20">
        <v>0</v>
      </c>
      <c r="I43" s="20"/>
      <c r="J43" s="20">
        <v>0</v>
      </c>
      <c r="L43" s="20">
        <v>1</v>
      </c>
      <c r="Q43" s="1"/>
      <c r="Y43" s="22"/>
      <c r="Z43" s="22"/>
      <c r="AB43" s="22"/>
    </row>
    <row r="44" spans="1:28" x14ac:dyDescent="0.25">
      <c r="A44" s="18">
        <f>A43+1</f>
        <v>22</v>
      </c>
      <c r="B44" s="2" t="s">
        <v>50</v>
      </c>
      <c r="C44" s="2"/>
      <c r="D44" s="17">
        <f>SUM(F44:L44)</f>
        <v>1</v>
      </c>
      <c r="F44" s="17">
        <f>IFERROR(F43/$D43,0)</f>
        <v>0</v>
      </c>
      <c r="H44" s="24">
        <f>IFERROR(H43/$D43,0)</f>
        <v>0</v>
      </c>
      <c r="J44" s="24">
        <f>IFERROR(J43/$D43,0)</f>
        <v>0</v>
      </c>
      <c r="L44" s="24">
        <f>IFERROR(L43/$D43,0)</f>
        <v>1</v>
      </c>
      <c r="Q44" s="1"/>
      <c r="Z44" s="61"/>
      <c r="AB44" s="61"/>
    </row>
    <row r="45" spans="1:28" x14ac:dyDescent="0.25">
      <c r="A45" s="18"/>
      <c r="B45" s="31"/>
      <c r="C45" s="2"/>
      <c r="P45" s="74" t="s">
        <v>57</v>
      </c>
      <c r="Q45" s="1"/>
    </row>
    <row r="46" spans="1:28" x14ac:dyDescent="0.25">
      <c r="A46" s="18">
        <f>A44+1</f>
        <v>23</v>
      </c>
      <c r="B46" s="2"/>
      <c r="C46" s="2" t="s">
        <v>167</v>
      </c>
      <c r="D46" s="20">
        <f>SUM(F46:L46)</f>
        <v>1</v>
      </c>
      <c r="F46" s="20">
        <v>1</v>
      </c>
      <c r="G46" s="20"/>
      <c r="H46" s="20">
        <v>0</v>
      </c>
      <c r="I46" s="20"/>
      <c r="J46" s="20">
        <v>0</v>
      </c>
      <c r="L46" s="20">
        <v>0</v>
      </c>
      <c r="Q46" s="1"/>
      <c r="R46" s="18"/>
      <c r="V46" s="18"/>
      <c r="X46" s="18"/>
      <c r="Y46" s="22"/>
      <c r="Z46" s="22"/>
      <c r="AB46" s="22"/>
    </row>
    <row r="47" spans="1:28" x14ac:dyDescent="0.25">
      <c r="A47" s="18">
        <f>A46+1</f>
        <v>24</v>
      </c>
      <c r="B47" s="2" t="s">
        <v>98</v>
      </c>
      <c r="C47" s="2"/>
      <c r="D47" s="17">
        <f>SUM(F47:L47)</f>
        <v>1</v>
      </c>
      <c r="F47" s="17">
        <f>IFERROR(F46/$D46,0)</f>
        <v>1</v>
      </c>
      <c r="H47" s="24">
        <f>IFERROR(H46/$D46,0)</f>
        <v>0</v>
      </c>
      <c r="J47" s="24">
        <f>IFERROR(J46/$D46,0)</f>
        <v>0</v>
      </c>
      <c r="L47" s="24">
        <f>IFERROR(L46/$D46,0)</f>
        <v>0</v>
      </c>
      <c r="Q47" s="1"/>
      <c r="R47" s="4" t="s">
        <v>17</v>
      </c>
      <c r="T47" s="16" t="s">
        <v>18</v>
      </c>
      <c r="V47" s="4" t="s">
        <v>19</v>
      </c>
      <c r="X47" s="4" t="s">
        <v>20</v>
      </c>
      <c r="Z47" s="61"/>
      <c r="AB47" s="61"/>
    </row>
    <row r="48" spans="1:28" x14ac:dyDescent="0.25">
      <c r="A48" s="18"/>
      <c r="B48" s="31"/>
      <c r="C48" s="2"/>
      <c r="Q48" s="1"/>
    </row>
    <row r="49" spans="1:28" x14ac:dyDescent="0.25">
      <c r="A49" s="18">
        <f>A47+1</f>
        <v>25</v>
      </c>
      <c r="B49" s="2"/>
      <c r="C49" s="2" t="s">
        <v>166</v>
      </c>
      <c r="D49" s="20">
        <f>SUM(F49:L49)</f>
        <v>194713.51793516785</v>
      </c>
      <c r="E49" s="20"/>
      <c r="F49" s="20">
        <v>0</v>
      </c>
      <c r="G49" s="20"/>
      <c r="H49" s="20">
        <v>7271.6222767735126</v>
      </c>
      <c r="I49" s="20"/>
      <c r="J49" s="20">
        <v>17848.649151574664</v>
      </c>
      <c r="K49" s="20"/>
      <c r="L49" s="20">
        <v>169593.24650681968</v>
      </c>
      <c r="P49" s="1" t="s">
        <v>168</v>
      </c>
      <c r="Q49" s="1"/>
      <c r="R49" s="45">
        <v>0</v>
      </c>
      <c r="S49" s="20"/>
      <c r="T49" s="45">
        <f ca="1">Function!R75-Function!R74-Function!R70</f>
        <v>590896.92459393083</v>
      </c>
      <c r="U49" s="20"/>
      <c r="V49" s="45">
        <f ca="1">Function!T75-Function!T74-Function!T70</f>
        <v>2566542.7304912265</v>
      </c>
      <c r="W49" s="20"/>
      <c r="X49" s="45">
        <f ca="1">Function!V75-Function!V74-Function!V70</f>
        <v>11511856.863178229</v>
      </c>
      <c r="Y49" s="22"/>
      <c r="Z49" s="22"/>
      <c r="AA49" s="22"/>
      <c r="AB49" s="22"/>
    </row>
    <row r="50" spans="1:28" x14ac:dyDescent="0.25">
      <c r="A50" s="18">
        <f>A49+1</f>
        <v>26</v>
      </c>
      <c r="B50" s="2" t="s">
        <v>129</v>
      </c>
      <c r="C50" s="2"/>
      <c r="D50" s="17">
        <f>SUM(F50:L50)</f>
        <v>1</v>
      </c>
      <c r="F50" s="17">
        <f>IFERROR(F49/$D49,0)</f>
        <v>0</v>
      </c>
      <c r="H50" s="24">
        <f>IFERROR(H49/$D49,0)</f>
        <v>3.7345235985077753E-2</v>
      </c>
      <c r="J50" s="24">
        <f>IFERROR(J49/$D49,0)</f>
        <v>9.1666204487752007E-2</v>
      </c>
      <c r="L50" s="24">
        <f>IFERROR(L49/$D49,0)</f>
        <v>0.87098855952717025</v>
      </c>
      <c r="Q50" s="1"/>
      <c r="R50" s="24">
        <f ca="1">R49/SUM($R$49:$X$49)</f>
        <v>0</v>
      </c>
      <c r="S50" s="24"/>
      <c r="T50" s="24">
        <f ca="1">T49/SUM($R$49:$X$49)</f>
        <v>4.0281203932189903E-2</v>
      </c>
      <c r="U50" s="24"/>
      <c r="V50" s="24">
        <f ca="1">V49/SUM($R$49:$X$49)</f>
        <v>0.17496017803552211</v>
      </c>
      <c r="W50" s="24"/>
      <c r="X50" s="24">
        <f ca="1">X49/SUM($R$49:$X$49)</f>
        <v>0.78475861803228797</v>
      </c>
      <c r="Z50" s="61"/>
      <c r="AB50" s="61"/>
    </row>
    <row r="51" spans="1:28" ht="14.5" x14ac:dyDescent="0.35">
      <c r="A51" s="18"/>
      <c r="B51" s="31"/>
      <c r="C51" s="2"/>
      <c r="P51"/>
      <c r="Q51"/>
      <c r="R51"/>
      <c r="S51"/>
      <c r="T51"/>
      <c r="U51"/>
      <c r="V51"/>
      <c r="W51"/>
      <c r="X51"/>
    </row>
    <row r="52" spans="1:28" x14ac:dyDescent="0.25">
      <c r="A52" s="18">
        <f>A50+1</f>
        <v>27</v>
      </c>
      <c r="B52" s="2"/>
      <c r="C52" s="2" t="s">
        <v>167</v>
      </c>
      <c r="D52" s="59">
        <f ca="1">SUM(F52:L52)</f>
        <v>100</v>
      </c>
      <c r="E52" s="59"/>
      <c r="F52" s="59">
        <f ca="1">R55*100</f>
        <v>0</v>
      </c>
      <c r="G52" s="59"/>
      <c r="H52" s="59">
        <f ca="1">T55*100</f>
        <v>5.2395678364505009</v>
      </c>
      <c r="I52" s="59"/>
      <c r="J52" s="59">
        <f ca="1">V55*100</f>
        <v>12.341710778030492</v>
      </c>
      <c r="K52" s="59"/>
      <c r="L52" s="59">
        <f ca="1">X55*100</f>
        <v>82.418721385519007</v>
      </c>
      <c r="P52" s="1" t="s">
        <v>149</v>
      </c>
      <c r="Q52" s="1"/>
      <c r="R52" s="45">
        <v>0</v>
      </c>
      <c r="S52" s="20"/>
      <c r="T52" s="45">
        <f ca="1">Function!R162-Function!R157-Function!R148-SUM(Function!R116:R122)</f>
        <v>56407.791993552397</v>
      </c>
      <c r="U52" s="20"/>
      <c r="V52" s="45">
        <f ca="1">Function!T162-Function!T157-Function!T148-SUM(Function!T116:T122)</f>
        <v>62846.785857431358</v>
      </c>
      <c r="W52" s="20"/>
      <c r="X52" s="45">
        <f ca="1">Function!V162-Function!V157-Function!V148-SUM(Function!V116:V122)</f>
        <v>755147.19532746845</v>
      </c>
      <c r="Y52" s="23"/>
      <c r="Z52" s="23"/>
      <c r="AA52" s="23"/>
      <c r="AB52" s="23"/>
    </row>
    <row r="53" spans="1:28" x14ac:dyDescent="0.25">
      <c r="A53" s="18">
        <f>A52+1</f>
        <v>28</v>
      </c>
      <c r="B53" s="2" t="s">
        <v>57</v>
      </c>
      <c r="C53" s="2"/>
      <c r="D53" s="17">
        <f ca="1">SUM(F53:L53)</f>
        <v>1</v>
      </c>
      <c r="F53" s="17">
        <f ca="1">IFERROR(F52/$D52,0)</f>
        <v>0</v>
      </c>
      <c r="H53" s="24">
        <f ca="1">IFERROR(H52/$D52,0)</f>
        <v>5.2395678364505011E-2</v>
      </c>
      <c r="J53" s="24">
        <f ca="1">IFERROR(J52/$D52,0)</f>
        <v>0.12341710778030493</v>
      </c>
      <c r="L53" s="24">
        <f ca="1">IFERROR(L52/$D52,0)</f>
        <v>0.82418721385519012</v>
      </c>
      <c r="Q53" s="1"/>
      <c r="R53" s="24">
        <f ca="1">R52/SUM($R$52:$X$52)</f>
        <v>0</v>
      </c>
      <c r="S53" s="24"/>
      <c r="T53" s="24">
        <f ca="1">T52/SUM($R$52:$X$52)</f>
        <v>6.4510152796820125E-2</v>
      </c>
      <c r="U53" s="24"/>
      <c r="V53" s="24">
        <f ca="1">V52/SUM($R$52:$X$52)</f>
        <v>7.1874037525087767E-2</v>
      </c>
      <c r="W53" s="24"/>
      <c r="X53" s="24">
        <f ca="1">X52/SUM($R$52:$X$52)</f>
        <v>0.86361580967809215</v>
      </c>
      <c r="Z53" s="61"/>
      <c r="AB53" s="61"/>
    </row>
    <row r="54" spans="1:28" x14ac:dyDescent="0.25">
      <c r="A54" s="18"/>
      <c r="B54" s="31"/>
      <c r="C54" s="2"/>
      <c r="Q54" s="1"/>
    </row>
    <row r="55" spans="1:28" ht="13" x14ac:dyDescent="0.3">
      <c r="A55" s="18">
        <f>A53+1</f>
        <v>29</v>
      </c>
      <c r="B55" s="2"/>
      <c r="C55" s="2" t="s">
        <v>166</v>
      </c>
      <c r="D55" s="20">
        <f>SUM(F55:L55)</f>
        <v>11889.66570427777</v>
      </c>
      <c r="F55" s="20">
        <v>0</v>
      </c>
      <c r="G55" s="20"/>
      <c r="H55" s="20">
        <v>0</v>
      </c>
      <c r="I55" s="20"/>
      <c r="J55" s="20">
        <v>1282.137342137049</v>
      </c>
      <c r="K55" s="20"/>
      <c r="L55" s="20">
        <v>10607.528362140722</v>
      </c>
      <c r="P55" s="31" t="s">
        <v>169</v>
      </c>
      <c r="Q55" s="110"/>
      <c r="R55" s="154">
        <f ca="1">0.5*R50+0.5*R53</f>
        <v>0</v>
      </c>
      <c r="S55" s="102"/>
      <c r="T55" s="154">
        <f ca="1">0.5*T50+0.5*T53</f>
        <v>5.2395678364505011E-2</v>
      </c>
      <c r="U55" s="101"/>
      <c r="V55" s="154">
        <f ca="1">0.5*V50+0.5*V53</f>
        <v>0.12341710778030493</v>
      </c>
      <c r="W55" s="101"/>
      <c r="X55" s="154">
        <f ca="1">0.5*X50+0.5*X53</f>
        <v>0.82418721385519</v>
      </c>
      <c r="Y55" s="22"/>
      <c r="Z55" s="22"/>
      <c r="AA55" s="22"/>
      <c r="AB55" s="22"/>
    </row>
    <row r="56" spans="1:28" x14ac:dyDescent="0.25">
      <c r="A56" s="18">
        <f>A55+1</f>
        <v>30</v>
      </c>
      <c r="B56" s="2" t="s">
        <v>109</v>
      </c>
      <c r="C56" s="2"/>
      <c r="D56" s="17">
        <f>SUM(F56:L56)</f>
        <v>1</v>
      </c>
      <c r="F56" s="17">
        <f>IFERROR(F55/$D55,0)</f>
        <v>0</v>
      </c>
      <c r="H56" s="24">
        <f>IFERROR(H55/$D55,0)</f>
        <v>0</v>
      </c>
      <c r="J56" s="24">
        <f>IFERROR(J55/$D55,0)</f>
        <v>0.10783628186247073</v>
      </c>
      <c r="L56" s="24">
        <f>IFERROR(L55/$D55,0)</f>
        <v>0.89216371813752937</v>
      </c>
      <c r="Q56" s="1"/>
      <c r="Z56" s="61"/>
      <c r="AB56" s="61"/>
    </row>
    <row r="57" spans="1:28" x14ac:dyDescent="0.25">
      <c r="A57" s="18"/>
      <c r="Q57" s="1"/>
    </row>
    <row r="58" spans="1:28" x14ac:dyDescent="0.25">
      <c r="A58" s="18">
        <f>A56+1</f>
        <v>31</v>
      </c>
      <c r="B58" s="2"/>
      <c r="C58" s="2" t="s">
        <v>167</v>
      </c>
      <c r="D58" s="20">
        <f ca="1">SUM(F58:L58)</f>
        <v>302587.37595488032</v>
      </c>
      <c r="F58" s="20">
        <f ca="1">Function!AF162</f>
        <v>0</v>
      </c>
      <c r="G58" s="20">
        <f>Function!AG162</f>
        <v>0</v>
      </c>
      <c r="H58" s="20">
        <f ca="1">Function!AH162</f>
        <v>18114.010056501611</v>
      </c>
      <c r="I58" s="20"/>
      <c r="J58" s="20">
        <f ca="1">Function!AJ162</f>
        <v>21572.951217688635</v>
      </c>
      <c r="L58" s="20">
        <f ca="1">Function!AL162</f>
        <v>262900.4146806901</v>
      </c>
      <c r="Q58" s="1"/>
      <c r="Y58" s="22"/>
      <c r="Z58" s="22"/>
      <c r="AB58" s="22"/>
    </row>
    <row r="59" spans="1:28" x14ac:dyDescent="0.25">
      <c r="A59" s="18">
        <f>A58+1</f>
        <v>32</v>
      </c>
      <c r="B59" s="2" t="s">
        <v>146</v>
      </c>
      <c r="C59" s="2"/>
      <c r="D59" s="17">
        <f ca="1">SUM(F59:L59)</f>
        <v>1</v>
      </c>
      <c r="F59" s="17">
        <f ca="1">IFERROR(F58/$D58,0)</f>
        <v>0</v>
      </c>
      <c r="H59" s="24">
        <f ca="1">IFERROR(H58/$D58,0)</f>
        <v>5.9863733572291009E-2</v>
      </c>
      <c r="J59" s="24">
        <f ca="1">IFERROR(J58/$D58,0)</f>
        <v>7.1294947945566109E-2</v>
      </c>
      <c r="L59" s="24">
        <f ca="1">IFERROR(L58/$D58,0)</f>
        <v>0.86884131848214297</v>
      </c>
      <c r="Q59" s="1"/>
      <c r="Z59" s="61"/>
      <c r="AB59" s="61"/>
    </row>
    <row r="60" spans="1:28" x14ac:dyDescent="0.25">
      <c r="A60" s="18"/>
      <c r="B60" s="31"/>
      <c r="C60" s="2"/>
      <c r="Q60" s="31"/>
      <c r="R60" s="56"/>
    </row>
    <row r="61" spans="1:28" x14ac:dyDescent="0.25">
      <c r="A61" s="18">
        <f>A59+1</f>
        <v>33</v>
      </c>
      <c r="B61" s="2"/>
      <c r="C61" s="2" t="s">
        <v>166</v>
      </c>
      <c r="D61" s="20">
        <f>SUM(F61:L61)</f>
        <v>203561.2984920314</v>
      </c>
      <c r="F61" s="20">
        <v>0</v>
      </c>
      <c r="G61" s="20"/>
      <c r="H61" s="20">
        <v>13017.78562077151</v>
      </c>
      <c r="I61" s="20"/>
      <c r="J61" s="20">
        <v>79166.942309318154</v>
      </c>
      <c r="L61" s="20">
        <v>111376.57056194174</v>
      </c>
      <c r="O61" s="1"/>
      <c r="Q61" s="2"/>
      <c r="R61" s="56"/>
      <c r="T61" s="22"/>
      <c r="V61" s="22"/>
      <c r="W61" s="22"/>
      <c r="X61" s="22"/>
      <c r="Y61" s="22"/>
      <c r="Z61" s="22"/>
      <c r="AB61" s="22"/>
    </row>
    <row r="62" spans="1:28" x14ac:dyDescent="0.25">
      <c r="A62" s="18">
        <f>A61+1</f>
        <v>34</v>
      </c>
      <c r="B62" s="2" t="s">
        <v>34</v>
      </c>
      <c r="C62" s="2"/>
      <c r="D62" s="17">
        <f>SUM(F62:L62)</f>
        <v>1</v>
      </c>
      <c r="F62" s="17">
        <f>IFERROR(F61/$D61,0)</f>
        <v>0</v>
      </c>
      <c r="H62" s="24">
        <f>IFERROR(H61/$D61,0)</f>
        <v>6.3950199361108434E-2</v>
      </c>
      <c r="J62" s="24">
        <f>IFERROR(J61/$D61,0)</f>
        <v>0.38890959576197248</v>
      </c>
      <c r="L62" s="24">
        <f>IFERROR(L61/$D61,0)</f>
        <v>0.54714020487691906</v>
      </c>
      <c r="O62" s="1"/>
      <c r="Q62" s="2"/>
      <c r="R62" s="56"/>
      <c r="T62" s="17"/>
      <c r="V62" s="61"/>
      <c r="X62" s="61"/>
      <c r="Z62" s="61"/>
      <c r="AB62" s="61"/>
    </row>
    <row r="63" spans="1:28" x14ac:dyDescent="0.25">
      <c r="A63" s="18"/>
      <c r="B63" s="31"/>
      <c r="C63" s="2"/>
      <c r="O63" s="1"/>
      <c r="Q63" s="31"/>
      <c r="R63" s="56"/>
    </row>
    <row r="64" spans="1:28" customFormat="1" ht="14.5" x14ac:dyDescent="0.35">
      <c r="A64" s="18">
        <f>A62+1</f>
        <v>35</v>
      </c>
      <c r="B64" s="2"/>
      <c r="C64" s="2" t="s">
        <v>166</v>
      </c>
      <c r="D64" s="20">
        <f>SUM(F64:L64)</f>
        <v>232661.74701999093</v>
      </c>
      <c r="E64" s="1"/>
      <c r="F64" s="20">
        <v>0</v>
      </c>
      <c r="G64" s="20"/>
      <c r="H64" s="20">
        <v>74787.01496</v>
      </c>
      <c r="I64" s="20"/>
      <c r="J64" s="20">
        <v>66946.67524576078</v>
      </c>
      <c r="K64" s="1"/>
      <c r="L64" s="20">
        <v>90928.056814230149</v>
      </c>
      <c r="M64" s="1"/>
      <c r="N64" s="1"/>
      <c r="O64" s="18"/>
      <c r="P64" s="1"/>
      <c r="Q64" s="2"/>
      <c r="R64" s="56"/>
      <c r="S64" s="1"/>
      <c r="T64" s="22"/>
      <c r="U64" s="1"/>
      <c r="V64" s="22"/>
      <c r="W64" s="22"/>
      <c r="X64" s="22"/>
      <c r="Y64" s="22"/>
      <c r="Z64" s="22"/>
      <c r="AA64" s="1"/>
      <c r="AB64" s="22"/>
    </row>
    <row r="65" spans="1:28" customFormat="1" ht="14.5" x14ac:dyDescent="0.35">
      <c r="A65" s="18">
        <f>A64+1</f>
        <v>36</v>
      </c>
      <c r="B65" s="2" t="s">
        <v>36</v>
      </c>
      <c r="C65" s="2"/>
      <c r="D65" s="17">
        <f>SUM(F65:L65)</f>
        <v>1</v>
      </c>
      <c r="E65" s="1"/>
      <c r="F65" s="17">
        <f>IFERROR(F64/$D64,0)</f>
        <v>0</v>
      </c>
      <c r="G65" s="1"/>
      <c r="H65" s="24">
        <f>IFERROR(H64/$D64,0)</f>
        <v>0.32144095846393733</v>
      </c>
      <c r="I65" s="1"/>
      <c r="J65" s="24">
        <f>IFERROR(J64/$D64,0)</f>
        <v>0.28774251076180796</v>
      </c>
      <c r="K65" s="1"/>
      <c r="L65" s="24">
        <f>IFERROR(L64/$D64,0)</f>
        <v>0.39081653077425471</v>
      </c>
      <c r="M65" s="1"/>
      <c r="N65" s="1"/>
      <c r="O65" s="18"/>
      <c r="P65" s="1"/>
      <c r="Q65" s="2"/>
      <c r="R65" s="56"/>
      <c r="S65" s="1"/>
      <c r="T65" s="17"/>
      <c r="U65" s="1"/>
      <c r="V65" s="61"/>
      <c r="W65" s="1"/>
      <c r="X65" s="61"/>
      <c r="Y65" s="1"/>
      <c r="Z65" s="61"/>
      <c r="AA65" s="1"/>
      <c r="AB65" s="61"/>
    </row>
    <row r="66" spans="1:28" customFormat="1" ht="14.5" x14ac:dyDescent="0.35">
      <c r="A66" s="18"/>
      <c r="B66" s="3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8"/>
      <c r="P66" s="1"/>
      <c r="Q66" s="31"/>
      <c r="R66" s="5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customFormat="1" ht="14.5" x14ac:dyDescent="0.35">
      <c r="A67" s="18">
        <f>A65+1</f>
        <v>37</v>
      </c>
      <c r="B67" s="2"/>
      <c r="C67" s="2" t="s">
        <v>166</v>
      </c>
      <c r="D67" s="20">
        <f>SUM(F67:L67)</f>
        <v>-87329.187361001794</v>
      </c>
      <c r="E67" s="1"/>
      <c r="F67" s="20">
        <v>0</v>
      </c>
      <c r="G67" s="20"/>
      <c r="H67" s="20">
        <v>-48713.415889674274</v>
      </c>
      <c r="I67" s="20"/>
      <c r="J67" s="20">
        <v>-17684.967853226444</v>
      </c>
      <c r="K67" s="1"/>
      <c r="L67" s="20">
        <v>-20930.803618101087</v>
      </c>
      <c r="M67" s="1"/>
      <c r="N67" s="1"/>
      <c r="O67" s="18"/>
      <c r="P67" s="1"/>
      <c r="Q67" s="2"/>
      <c r="R67" s="56"/>
      <c r="S67" s="1"/>
      <c r="T67" s="22"/>
      <c r="U67" s="1"/>
      <c r="V67" s="22"/>
      <c r="W67" s="22"/>
      <c r="X67" s="22"/>
      <c r="Y67" s="22"/>
      <c r="Z67" s="22"/>
      <c r="AA67" s="1"/>
      <c r="AB67" s="22"/>
    </row>
    <row r="68" spans="1:28" customFormat="1" ht="14.5" x14ac:dyDescent="0.35">
      <c r="A68" s="18">
        <f>A67+1</f>
        <v>38</v>
      </c>
      <c r="B68" s="2" t="s">
        <v>60</v>
      </c>
      <c r="C68" s="2"/>
      <c r="D68" s="17">
        <f>SUM(F68:L68)</f>
        <v>1.0000000000000002</v>
      </c>
      <c r="E68" s="1"/>
      <c r="F68" s="17">
        <f>IFERROR(F67/$D67,0)</f>
        <v>0</v>
      </c>
      <c r="G68" s="1"/>
      <c r="H68" s="24">
        <f>IFERROR(H67/$D67,0)</f>
        <v>0.55781368591353697</v>
      </c>
      <c r="I68" s="1"/>
      <c r="J68" s="24">
        <f>IFERROR(J67/$D67,0)</f>
        <v>0.20250924562162984</v>
      </c>
      <c r="K68" s="1"/>
      <c r="L68" s="24">
        <f>IFERROR(L67/$D67,0)</f>
        <v>0.23967706846483336</v>
      </c>
      <c r="M68" s="1"/>
      <c r="N68" s="1"/>
      <c r="O68" s="18"/>
      <c r="P68" s="1"/>
      <c r="Q68" s="2"/>
      <c r="R68" s="56"/>
      <c r="S68" s="1"/>
      <c r="T68" s="17"/>
      <c r="U68" s="1"/>
      <c r="V68" s="61"/>
      <c r="W68" s="1"/>
      <c r="X68" s="61"/>
      <c r="Y68" s="1"/>
      <c r="Z68" s="61"/>
      <c r="AA68" s="1"/>
      <c r="AB68" s="61"/>
    </row>
    <row r="69" spans="1:28" customFormat="1" ht="14.5" x14ac:dyDescent="0.35">
      <c r="A69" s="18"/>
      <c r="B69" s="3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8"/>
      <c r="P69" s="1"/>
      <c r="Q69" s="31"/>
      <c r="R69" s="5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customFormat="1" ht="14.5" x14ac:dyDescent="0.35">
      <c r="A70" s="18">
        <f>A68+1</f>
        <v>39</v>
      </c>
      <c r="B70" s="2"/>
      <c r="C70" s="2" t="s">
        <v>166</v>
      </c>
      <c r="D70" s="20">
        <f>SUM(F70:L70)</f>
        <v>48836.701068879993</v>
      </c>
      <c r="E70" s="1"/>
      <c r="F70" s="20">
        <v>0</v>
      </c>
      <c r="G70" s="20"/>
      <c r="H70" s="20">
        <v>3243.4526964799998</v>
      </c>
      <c r="I70" s="20"/>
      <c r="J70" s="20">
        <v>29360.673046399999</v>
      </c>
      <c r="K70" s="1"/>
      <c r="L70" s="20">
        <v>16232.575325999998</v>
      </c>
      <c r="M70" s="1"/>
      <c r="N70" s="1"/>
      <c r="O70" s="18"/>
      <c r="P70" s="1"/>
      <c r="Q70" s="2"/>
      <c r="R70" s="56"/>
      <c r="S70" s="1"/>
      <c r="T70" s="22"/>
      <c r="U70" s="1"/>
      <c r="V70" s="22"/>
      <c r="W70" s="22"/>
      <c r="X70" s="22"/>
      <c r="Y70" s="22"/>
      <c r="Z70" s="22"/>
      <c r="AA70" s="1"/>
      <c r="AB70" s="22"/>
    </row>
    <row r="71" spans="1:28" customFormat="1" ht="14.5" x14ac:dyDescent="0.35">
      <c r="A71" s="18">
        <f>A70+1</f>
        <v>40</v>
      </c>
      <c r="B71" s="2" t="s">
        <v>54</v>
      </c>
      <c r="C71" s="2"/>
      <c r="D71" s="17">
        <f>SUM(F71:L71)</f>
        <v>1</v>
      </c>
      <c r="E71" s="1"/>
      <c r="F71" s="17">
        <f>IFERROR(F70/$D70,0)</f>
        <v>0</v>
      </c>
      <c r="G71" s="1"/>
      <c r="H71" s="24">
        <f>IFERROR(H70/$D70,0)</f>
        <v>6.6414246365768786E-2</v>
      </c>
      <c r="I71" s="1"/>
      <c r="J71" s="24">
        <f>IFERROR(J70/$D70,0)</f>
        <v>0.60120099031646879</v>
      </c>
      <c r="K71" s="1"/>
      <c r="L71" s="24">
        <f>IFERROR(L70/$D70,0)</f>
        <v>0.33238476331776257</v>
      </c>
      <c r="M71" s="1"/>
      <c r="N71" s="1"/>
      <c r="O71" s="18"/>
      <c r="P71" s="1"/>
      <c r="Q71" s="2"/>
      <c r="R71" s="56"/>
      <c r="S71" s="1"/>
      <c r="T71" s="17"/>
      <c r="U71" s="1"/>
      <c r="V71" s="61"/>
      <c r="W71" s="1"/>
      <c r="X71" s="61"/>
      <c r="Y71" s="1"/>
      <c r="Z71" s="61"/>
      <c r="AA71" s="1"/>
      <c r="AB71" s="61"/>
    </row>
    <row r="72" spans="1:28" ht="14.5" x14ac:dyDescent="0.35">
      <c r="A72" s="18"/>
      <c r="B72" s="31"/>
      <c r="C72" s="148"/>
      <c r="Q72" s="31"/>
      <c r="R72" s="58"/>
    </row>
    <row r="73" spans="1:28" x14ac:dyDescent="0.25">
      <c r="A73" s="18">
        <f>A71+1</f>
        <v>41</v>
      </c>
      <c r="B73" s="2"/>
      <c r="C73" s="2" t="s">
        <v>166</v>
      </c>
      <c r="D73" s="20">
        <f>SUM(F73:L73)</f>
        <v>10785857.555032887</v>
      </c>
      <c r="F73" s="20">
        <v>0</v>
      </c>
      <c r="G73" s="20"/>
      <c r="H73" s="20">
        <v>0</v>
      </c>
      <c r="I73" s="20"/>
      <c r="J73" s="20">
        <v>1996976.7673333893</v>
      </c>
      <c r="L73" s="20">
        <v>8788880.7876994964</v>
      </c>
      <c r="O73" s="1"/>
      <c r="Q73" s="2"/>
      <c r="R73" s="56"/>
      <c r="T73" s="22"/>
      <c r="V73" s="22"/>
      <c r="W73" s="22"/>
      <c r="X73" s="22"/>
      <c r="Y73" s="22"/>
      <c r="Z73" s="22"/>
      <c r="AB73" s="22"/>
    </row>
    <row r="74" spans="1:28" x14ac:dyDescent="0.25">
      <c r="A74" s="18">
        <f>A73+1</f>
        <v>42</v>
      </c>
      <c r="B74" s="2" t="s">
        <v>42</v>
      </c>
      <c r="C74" s="2"/>
      <c r="D74" s="17">
        <f>SUM(F74:L74)</f>
        <v>0.99999999999999989</v>
      </c>
      <c r="F74" s="17">
        <f>IFERROR(F73/$D73,0)</f>
        <v>0</v>
      </c>
      <c r="H74" s="24">
        <f>IFERROR(H73/$D73,0)</f>
        <v>0</v>
      </c>
      <c r="J74" s="24">
        <f>IFERROR(J73/$D73,0)</f>
        <v>0.18514770449583418</v>
      </c>
      <c r="L74" s="24">
        <f>IFERROR(L73/$D73,0)</f>
        <v>0.81485229550416571</v>
      </c>
      <c r="O74" s="1"/>
      <c r="Q74" s="2"/>
      <c r="R74" s="56"/>
      <c r="T74" s="17"/>
      <c r="V74" s="61"/>
      <c r="X74" s="61"/>
      <c r="Z74" s="61"/>
      <c r="AB74" s="61"/>
    </row>
    <row r="75" spans="1:28" x14ac:dyDescent="0.25">
      <c r="A75" s="18"/>
      <c r="B75" s="31"/>
      <c r="C75" s="2"/>
      <c r="O75" s="1"/>
      <c r="Q75" s="31"/>
      <c r="R75" s="56"/>
    </row>
    <row r="76" spans="1:28" x14ac:dyDescent="0.25">
      <c r="A76" s="18">
        <f>A74+1</f>
        <v>43</v>
      </c>
      <c r="B76" s="2"/>
      <c r="C76" s="2" t="s">
        <v>166</v>
      </c>
      <c r="D76" s="20">
        <f>SUM(F76:L76)</f>
        <v>-3864910.4766098866</v>
      </c>
      <c r="F76" s="20">
        <v>0</v>
      </c>
      <c r="G76" s="20"/>
      <c r="H76" s="20">
        <v>0</v>
      </c>
      <c r="I76" s="20"/>
      <c r="J76" s="20">
        <v>-700300.98840433965</v>
      </c>
      <c r="L76" s="20">
        <v>-3164609.488205547</v>
      </c>
      <c r="Q76" s="2"/>
      <c r="R76" s="56"/>
      <c r="T76" s="22"/>
      <c r="V76" s="22"/>
      <c r="W76" s="22"/>
      <c r="X76" s="22"/>
      <c r="Y76" s="22"/>
      <c r="Z76" s="22"/>
      <c r="AB76" s="22"/>
    </row>
    <row r="77" spans="1:28" x14ac:dyDescent="0.25">
      <c r="A77" s="18">
        <f>A76+1</f>
        <v>44</v>
      </c>
      <c r="B77" s="2" t="s">
        <v>63</v>
      </c>
      <c r="C77" s="2"/>
      <c r="D77" s="17">
        <f>SUM(F77:L77)</f>
        <v>1</v>
      </c>
      <c r="F77" s="17">
        <f>IFERROR(F76/$D76,0)</f>
        <v>0</v>
      </c>
      <c r="H77" s="24">
        <f>IFERROR(H76/$D76,0)</f>
        <v>0</v>
      </c>
      <c r="J77" s="24">
        <f>IFERROR(J76/$D76,0)</f>
        <v>0.1811946208437433</v>
      </c>
      <c r="L77" s="24">
        <f>IFERROR(L76/$D76,0)</f>
        <v>0.81880537915625673</v>
      </c>
      <c r="Q77" s="2"/>
      <c r="R77" s="56"/>
      <c r="T77" s="17"/>
      <c r="V77" s="61"/>
      <c r="X77" s="61"/>
      <c r="Z77" s="61"/>
      <c r="AB77" s="61"/>
    </row>
    <row r="78" spans="1:28" x14ac:dyDescent="0.25">
      <c r="A78" s="18"/>
      <c r="B78" s="31"/>
      <c r="C78" s="2"/>
      <c r="Q78" s="31"/>
      <c r="R78" s="56"/>
    </row>
    <row r="79" spans="1:28" x14ac:dyDescent="0.25">
      <c r="A79" s="18">
        <f>A77+1</f>
        <v>45</v>
      </c>
      <c r="B79" s="2"/>
      <c r="C79" s="2" t="s">
        <v>166</v>
      </c>
      <c r="D79" s="20">
        <f>SUM(F79:L79)</f>
        <v>1330757.548565086</v>
      </c>
      <c r="F79" s="20">
        <v>0</v>
      </c>
      <c r="G79" s="20"/>
      <c r="H79" s="20">
        <v>40301.815387977447</v>
      </c>
      <c r="I79" s="20"/>
      <c r="J79" s="20">
        <v>251233.18487320881</v>
      </c>
      <c r="L79" s="20">
        <v>1039222.5483038996</v>
      </c>
      <c r="Q79" s="2"/>
      <c r="R79" s="56"/>
      <c r="T79" s="22"/>
      <c r="V79" s="22"/>
      <c r="W79" s="22"/>
      <c r="X79" s="22"/>
      <c r="Y79" s="22"/>
      <c r="Z79" s="22"/>
      <c r="AB79" s="22"/>
    </row>
    <row r="80" spans="1:28" x14ac:dyDescent="0.25">
      <c r="A80" s="18">
        <f>A79+1</f>
        <v>46</v>
      </c>
      <c r="B80" s="2" t="s">
        <v>40</v>
      </c>
      <c r="C80" s="2"/>
      <c r="D80" s="17">
        <f>SUM(F80:L80)</f>
        <v>0.99999999999999989</v>
      </c>
      <c r="F80" s="17">
        <f>IFERROR(F79/$D79,0)</f>
        <v>0</v>
      </c>
      <c r="H80" s="24">
        <f>IFERROR(H79/$D79,0)</f>
        <v>3.0284867015358003E-2</v>
      </c>
      <c r="J80" s="24">
        <f>IFERROR(J79/$D79,0)</f>
        <v>0.18878959968636336</v>
      </c>
      <c r="L80" s="24">
        <f>IFERROR(L79/$D79,0)</f>
        <v>0.78092553329827852</v>
      </c>
      <c r="Q80" s="2"/>
      <c r="R80" s="56"/>
      <c r="T80" s="17"/>
      <c r="V80" s="61"/>
      <c r="X80" s="61"/>
      <c r="Z80" s="61"/>
      <c r="AB80" s="61"/>
    </row>
    <row r="81" spans="1:28" x14ac:dyDescent="0.25">
      <c r="A81" s="18"/>
      <c r="B81" s="31"/>
      <c r="C81" s="2"/>
      <c r="Q81" s="31"/>
      <c r="R81" s="56"/>
    </row>
    <row r="82" spans="1:28" x14ac:dyDescent="0.25">
      <c r="A82" s="18">
        <f>A80+1</f>
        <v>47</v>
      </c>
      <c r="B82" s="2"/>
      <c r="C82" s="2" t="s">
        <v>166</v>
      </c>
      <c r="D82" s="20">
        <f>SUM(F82:L82)</f>
        <v>-493428.31677845947</v>
      </c>
      <c r="F82" s="20">
        <v>0</v>
      </c>
      <c r="G82" s="20"/>
      <c r="H82" s="20">
        <v>-30169.664755768776</v>
      </c>
      <c r="I82" s="20"/>
      <c r="J82" s="20">
        <v>-91934.117047230378</v>
      </c>
      <c r="L82" s="20">
        <v>-371324.53497546032</v>
      </c>
      <c r="O82" s="1"/>
      <c r="Q82" s="2"/>
      <c r="R82" s="56"/>
      <c r="T82" s="22"/>
      <c r="V82" s="22"/>
      <c r="W82" s="22"/>
      <c r="X82" s="22"/>
      <c r="Y82" s="22"/>
      <c r="Z82" s="22"/>
      <c r="AB82" s="22"/>
    </row>
    <row r="83" spans="1:28" x14ac:dyDescent="0.25">
      <c r="A83" s="18">
        <f>A82+1</f>
        <v>48</v>
      </c>
      <c r="B83" s="2" t="s">
        <v>62</v>
      </c>
      <c r="C83" s="2"/>
      <c r="D83" s="17">
        <f>SUM(F83:L83)</f>
        <v>1</v>
      </c>
      <c r="F83" s="17">
        <f>IFERROR(F82/$D82,0)</f>
        <v>0</v>
      </c>
      <c r="H83" s="24">
        <f>IFERROR(H82/$D82,0)</f>
        <v>6.1142953758193855E-2</v>
      </c>
      <c r="J83" s="24">
        <f>IFERROR(J82/$D82,0)</f>
        <v>0.18631706758837507</v>
      </c>
      <c r="L83" s="24">
        <f>IFERROR(L82/$D82,0)</f>
        <v>0.75253997865343114</v>
      </c>
      <c r="O83" s="1"/>
      <c r="Q83" s="2"/>
      <c r="R83" s="56"/>
      <c r="T83" s="17"/>
      <c r="V83" s="61"/>
      <c r="X83" s="61"/>
      <c r="Z83" s="61"/>
      <c r="AB83" s="61"/>
    </row>
    <row r="84" spans="1:28" x14ac:dyDescent="0.25">
      <c r="A84" s="18"/>
      <c r="B84" s="31"/>
      <c r="C84" s="2"/>
      <c r="O84" s="1"/>
      <c r="Q84" s="31"/>
      <c r="R84" s="56"/>
    </row>
    <row r="85" spans="1:28" ht="15" customHeight="1" x14ac:dyDescent="0.25">
      <c r="A85" s="18">
        <f>A83+1</f>
        <v>49</v>
      </c>
      <c r="B85" s="2"/>
      <c r="C85" s="2" t="s">
        <v>167</v>
      </c>
      <c r="D85" s="20">
        <f ca="1">SUM(F85:L85)</f>
        <v>15081377.38392988</v>
      </c>
      <c r="F85" s="20">
        <f ca="1">Function!P79-Function!P74-Function!P70</f>
        <v>0</v>
      </c>
      <c r="G85" s="20"/>
      <c r="H85" s="20">
        <f ca="1">Function!R79-Function!R74-Function!R70</f>
        <v>612488.18109155924</v>
      </c>
      <c r="I85" s="20"/>
      <c r="J85" s="20">
        <f ca="1">Function!T79-Function!T74-Function!T70</f>
        <v>2617400.5591033897</v>
      </c>
      <c r="L85" s="20">
        <f ca="1">Function!V79-Function!V74-Function!V70</f>
        <v>11851488.643734932</v>
      </c>
      <c r="Q85" s="2"/>
      <c r="R85" s="56"/>
      <c r="T85" s="22"/>
      <c r="V85" s="22"/>
      <c r="W85" s="22"/>
      <c r="X85" s="22"/>
      <c r="Y85" s="22"/>
      <c r="Z85" s="22"/>
      <c r="AB85" s="22"/>
    </row>
    <row r="86" spans="1:28" x14ac:dyDescent="0.25">
      <c r="A86" s="18">
        <f>A85+1</f>
        <v>50</v>
      </c>
      <c r="B86" s="2" t="s">
        <v>72</v>
      </c>
      <c r="C86" s="2"/>
      <c r="D86" s="17">
        <f ca="1">SUM(F86:L86)</f>
        <v>1</v>
      </c>
      <c r="F86" s="17">
        <f ca="1">IFERROR(F85/$D85,0)</f>
        <v>0</v>
      </c>
      <c r="H86" s="24">
        <f ca="1">IFERROR(H85/$D85,0)</f>
        <v>4.0612217670794606E-2</v>
      </c>
      <c r="J86" s="24">
        <f ca="1">IFERROR(J85/$D85,0)</f>
        <v>0.17355182437728719</v>
      </c>
      <c r="L86" s="24">
        <f ca="1">IFERROR(L85/$D85,0)</f>
        <v>0.78583595795191818</v>
      </c>
      <c r="Q86" s="2"/>
      <c r="R86" s="56"/>
      <c r="T86" s="17"/>
      <c r="V86" s="61"/>
      <c r="X86" s="61"/>
      <c r="Z86" s="61"/>
      <c r="AB86" s="61"/>
    </row>
    <row r="87" spans="1:28" x14ac:dyDescent="0.25">
      <c r="A87" s="18"/>
      <c r="B87" s="31"/>
      <c r="C87" s="2"/>
      <c r="N87" s="47"/>
      <c r="Q87" s="31"/>
      <c r="R87" s="56"/>
    </row>
    <row r="88" spans="1:28" ht="15" customHeight="1" x14ac:dyDescent="0.25">
      <c r="A88" s="18">
        <f>A86+1</f>
        <v>51</v>
      </c>
      <c r="B88" s="2"/>
      <c r="C88" s="2" t="s">
        <v>167</v>
      </c>
      <c r="D88" s="20">
        <f ca="1">SUM(F88:L88)</f>
        <v>659905.15618078888</v>
      </c>
      <c r="F88" s="20">
        <v>0</v>
      </c>
      <c r="G88" s="20"/>
      <c r="H88" s="20">
        <f ca="1">SUM(Function!R124:R147,Function!R149:R156,Function!R159)</f>
        <v>42684.892213755382</v>
      </c>
      <c r="I88" s="20"/>
      <c r="J88" s="20">
        <f ca="1">SUM(Function!T124:T147,Function!T149:T156,Function!T159)</f>
        <v>47557.406264227742</v>
      </c>
      <c r="L88" s="20">
        <f ca="1">SUM(Function!V124:V147,Function!V149:V156,Function!V159)-L16-L19-L22</f>
        <v>569662.85770280578</v>
      </c>
      <c r="N88" s="15"/>
      <c r="P88" s="13"/>
      <c r="Q88" s="2"/>
      <c r="R88" s="56"/>
      <c r="T88" s="22"/>
      <c r="V88" s="22"/>
      <c r="W88" s="22"/>
      <c r="X88" s="22"/>
      <c r="Y88" s="22"/>
      <c r="Z88" s="22"/>
      <c r="AB88" s="22"/>
    </row>
    <row r="89" spans="1:28" x14ac:dyDescent="0.25">
      <c r="A89" s="18">
        <f>A88+1</f>
        <v>52</v>
      </c>
      <c r="B89" s="2" t="s">
        <v>149</v>
      </c>
      <c r="C89" s="2"/>
      <c r="D89" s="17">
        <f ca="1">SUM(F89:L89)</f>
        <v>1</v>
      </c>
      <c r="F89" s="17">
        <f ca="1">IFERROR(F88/$D88,0)</f>
        <v>0</v>
      </c>
      <c r="H89" s="24">
        <f ca="1">IFERROR(H88/$D88,0)</f>
        <v>6.4683374290928172E-2</v>
      </c>
      <c r="J89" s="24">
        <f ca="1">IFERROR(J88/$D88,0)</f>
        <v>7.2067032389119295E-2</v>
      </c>
      <c r="L89" s="24">
        <f ca="1">IFERROR(L88/$D88,0)</f>
        <v>0.86324959331995255</v>
      </c>
      <c r="Q89" s="2"/>
      <c r="R89" s="56"/>
      <c r="T89" s="17"/>
      <c r="V89" s="61"/>
      <c r="X89" s="61"/>
      <c r="Z89" s="61"/>
      <c r="AB89" s="61"/>
    </row>
    <row r="90" spans="1:28" x14ac:dyDescent="0.25">
      <c r="A90" s="18"/>
      <c r="B90" s="31"/>
      <c r="C90" s="2"/>
      <c r="Q90" s="31"/>
      <c r="R90" s="56"/>
    </row>
    <row r="91" spans="1:28" ht="15" customHeight="1" x14ac:dyDescent="0.25">
      <c r="A91" s="18">
        <f>A89+1</f>
        <v>53</v>
      </c>
      <c r="B91" s="2"/>
      <c r="C91" s="2" t="s">
        <v>166</v>
      </c>
      <c r="D91" s="20">
        <f>SUM(F91:L91)</f>
        <v>18719.620992596843</v>
      </c>
      <c r="F91" s="20">
        <v>0</v>
      </c>
      <c r="G91" s="20"/>
      <c r="H91" s="20">
        <v>1352.477336310033</v>
      </c>
      <c r="I91" s="20"/>
      <c r="J91" s="20">
        <v>5269.502984558193</v>
      </c>
      <c r="L91" s="20">
        <v>12097.640671728617</v>
      </c>
      <c r="Q91" s="2"/>
      <c r="R91" s="56"/>
      <c r="T91" s="22"/>
      <c r="V91" s="22"/>
      <c r="W91" s="22"/>
      <c r="X91" s="22"/>
      <c r="Y91" s="22"/>
      <c r="Z91" s="22"/>
      <c r="AB91" s="22"/>
    </row>
    <row r="92" spans="1:28" x14ac:dyDescent="0.25">
      <c r="A92" s="18">
        <f>A91+1</f>
        <v>54</v>
      </c>
      <c r="B92" s="2" t="s">
        <v>104</v>
      </c>
      <c r="C92" s="2"/>
      <c r="D92" s="17">
        <f>SUM(F92:L92)</f>
        <v>1</v>
      </c>
      <c r="F92" s="17">
        <f>IFERROR(F91/$D91,0)</f>
        <v>0</v>
      </c>
      <c r="H92" s="24">
        <f>IFERROR(H91/$D91,0)</f>
        <v>7.2249183722517943E-2</v>
      </c>
      <c r="J92" s="24">
        <f>IFERROR(J91/$D91,0)</f>
        <v>0.28149624325418521</v>
      </c>
      <c r="L92" s="24">
        <f>IFERROR(L91/$D91,0)</f>
        <v>0.64625457302329681</v>
      </c>
      <c r="Q92" s="2"/>
      <c r="R92" s="56"/>
      <c r="T92" s="17"/>
      <c r="V92" s="17"/>
      <c r="X92" s="61"/>
      <c r="Z92" s="61"/>
      <c r="AB92" s="61"/>
    </row>
    <row r="93" spans="1:28" x14ac:dyDescent="0.25">
      <c r="A93" s="18"/>
      <c r="B93" s="31"/>
      <c r="C93" s="2"/>
      <c r="Q93" s="31"/>
      <c r="R93" s="56"/>
    </row>
    <row r="94" spans="1:28" ht="15" customHeight="1" x14ac:dyDescent="0.25">
      <c r="A94" s="18">
        <f>A92+1</f>
        <v>55</v>
      </c>
      <c r="B94" s="2"/>
      <c r="C94" s="2" t="s">
        <v>166</v>
      </c>
      <c r="D94" s="20">
        <f>SUM(F94:L94)</f>
        <v>118389.16895486812</v>
      </c>
      <c r="F94" s="20">
        <v>0</v>
      </c>
      <c r="G94" s="20"/>
      <c r="H94" s="20">
        <v>4084.6733599950676</v>
      </c>
      <c r="I94" s="20"/>
      <c r="J94" s="20">
        <v>24483.257915889248</v>
      </c>
      <c r="L94" s="20">
        <v>89821.237678983802</v>
      </c>
      <c r="Q94" s="2"/>
      <c r="R94" s="56"/>
      <c r="T94" s="22"/>
      <c r="V94" s="22"/>
      <c r="W94" s="22"/>
      <c r="X94" s="22"/>
      <c r="Y94" s="22"/>
      <c r="Z94" s="22"/>
      <c r="AB94" s="22"/>
    </row>
    <row r="95" spans="1:28" x14ac:dyDescent="0.25">
      <c r="A95" s="18">
        <f>A94+1</f>
        <v>56</v>
      </c>
      <c r="B95" s="2" t="s">
        <v>89</v>
      </c>
      <c r="C95" s="2"/>
      <c r="D95" s="17">
        <f>SUM(F95:L95)</f>
        <v>1</v>
      </c>
      <c r="F95" s="17">
        <f>IFERROR(F94/$D94,0)</f>
        <v>0</v>
      </c>
      <c r="H95" s="24">
        <f>IFERROR(H94/$D94,0)</f>
        <v>3.4502086601792194E-2</v>
      </c>
      <c r="J95" s="24">
        <f>IFERROR(J94/$D94,0)</f>
        <v>0.20680319096777058</v>
      </c>
      <c r="L95" s="24">
        <f>IFERROR(L94/$D94,0)</f>
        <v>0.75869472243043723</v>
      </c>
      <c r="Q95" s="2"/>
      <c r="R95" s="56"/>
      <c r="T95" s="17"/>
      <c r="V95" s="61"/>
      <c r="X95" s="61"/>
      <c r="Z95" s="61"/>
      <c r="AB95" s="61"/>
    </row>
    <row r="96" spans="1:28" ht="14.5" x14ac:dyDescent="0.35">
      <c r="A96" s="18"/>
      <c r="B96" s="31"/>
      <c r="C96" s="148"/>
      <c r="Q96" s="31"/>
      <c r="R96" s="58"/>
    </row>
    <row r="97" spans="1:28" x14ac:dyDescent="0.25">
      <c r="A97" s="18">
        <f>A95+1</f>
        <v>57</v>
      </c>
      <c r="B97" s="2"/>
      <c r="C97" s="2" t="s">
        <v>167</v>
      </c>
      <c r="D97" s="20">
        <f ca="1">SUM(F97:L97)</f>
        <v>15519249.032609718</v>
      </c>
      <c r="F97" s="20">
        <f ca="1">Function!P92</f>
        <v>0</v>
      </c>
      <c r="G97" s="20"/>
      <c r="H97" s="20">
        <f ca="1">Function!R92</f>
        <v>1128725.1756033166</v>
      </c>
      <c r="I97" s="20"/>
      <c r="J97" s="20">
        <f ca="1">Function!T92</f>
        <v>2606329.5708189611</v>
      </c>
      <c r="L97" s="20">
        <f ca="1">Function!V92</f>
        <v>11784194.28618744</v>
      </c>
      <c r="Q97" s="2"/>
      <c r="R97" s="56"/>
      <c r="T97" s="22"/>
      <c r="V97" s="22"/>
      <c r="W97" s="22"/>
      <c r="X97" s="22"/>
      <c r="Y97" s="22"/>
      <c r="Z97" s="22"/>
      <c r="AB97" s="22"/>
    </row>
    <row r="98" spans="1:28" x14ac:dyDescent="0.25">
      <c r="A98" s="18">
        <f>A97+1</f>
        <v>58</v>
      </c>
      <c r="B98" s="2" t="s">
        <v>87</v>
      </c>
      <c r="C98" s="2"/>
      <c r="D98" s="17">
        <f ca="1">SUM(F98:L98)</f>
        <v>1</v>
      </c>
      <c r="F98" s="17">
        <f ca="1">IFERROR(F97/$D97,0)</f>
        <v>0</v>
      </c>
      <c r="H98" s="24">
        <f ca="1">IFERROR(H97/$D97,0)</f>
        <v>7.2730656826988885E-2</v>
      </c>
      <c r="J98" s="24">
        <f ca="1">IFERROR(J97/$D97,0)</f>
        <v>0.16794173257626246</v>
      </c>
      <c r="L98" s="24">
        <f ca="1">IFERROR(L97/$D97,0)</f>
        <v>0.75932761059674869</v>
      </c>
      <c r="Q98" s="2"/>
      <c r="R98" s="56"/>
      <c r="T98" s="17"/>
      <c r="V98" s="61"/>
      <c r="X98" s="61"/>
      <c r="Z98" s="61"/>
      <c r="AB98" s="61"/>
    </row>
    <row r="99" spans="1:28" x14ac:dyDescent="0.25">
      <c r="A99" s="18"/>
      <c r="B99" s="31"/>
      <c r="C99" s="2"/>
      <c r="Q99" s="31"/>
      <c r="R99" s="56"/>
    </row>
    <row r="100" spans="1:28" ht="15" customHeight="1" x14ac:dyDescent="0.25">
      <c r="A100" s="18">
        <f>A98+1</f>
        <v>59</v>
      </c>
      <c r="B100" s="2"/>
      <c r="C100" s="2" t="s">
        <v>167</v>
      </c>
      <c r="D100" s="20">
        <f ca="1">SUM(F100:L100)</f>
        <v>13187.390277739607</v>
      </c>
      <c r="F100" s="20">
        <f ca="1">SUM(Function!P124,Function!P126:P131)</f>
        <v>0</v>
      </c>
      <c r="G100" s="20"/>
      <c r="H100" s="20">
        <f ca="1">SUM(Function!R124,Function!R126:R131)</f>
        <v>10889.315564516064</v>
      </c>
      <c r="I100" s="20"/>
      <c r="J100" s="20">
        <f ca="1">SUM(Function!T124,Function!T126:T131)</f>
        <v>2298.0747132235433</v>
      </c>
      <c r="L100" s="20">
        <f ca="1">SUM(Function!V124,Function!V126:V131)</f>
        <v>0</v>
      </c>
      <c r="Q100" s="2"/>
      <c r="R100" s="56"/>
      <c r="T100" s="22"/>
      <c r="V100" s="22"/>
      <c r="W100" s="22"/>
      <c r="X100" s="22"/>
      <c r="Y100" s="22"/>
      <c r="Z100" s="22"/>
      <c r="AB100" s="22"/>
    </row>
    <row r="101" spans="1:28" ht="13" x14ac:dyDescent="0.3">
      <c r="A101" s="18">
        <f>A100+1</f>
        <v>60</v>
      </c>
      <c r="B101" s="18" t="s">
        <v>112</v>
      </c>
      <c r="C101" s="54"/>
      <c r="D101" s="17">
        <f ca="1">SUM(F101:L101)</f>
        <v>1</v>
      </c>
      <c r="F101" s="17">
        <f ca="1">IFERROR(F100/$D100,0)</f>
        <v>0</v>
      </c>
      <c r="H101" s="24">
        <f ca="1">IFERROR(H100/$D100,0)</f>
        <v>0.82573696047331624</v>
      </c>
      <c r="J101" s="24">
        <f ca="1">IFERROR(J100/$D100,0)</f>
        <v>0.17426303952668384</v>
      </c>
      <c r="L101" s="24">
        <f ca="1">IFERROR(L100/$D100,0)</f>
        <v>0</v>
      </c>
      <c r="Q101" s="60"/>
      <c r="R101" s="44"/>
      <c r="T101" s="17"/>
      <c r="V101" s="61"/>
      <c r="X101" s="61"/>
      <c r="Z101" s="61"/>
      <c r="AB101" s="61"/>
    </row>
    <row r="102" spans="1:28" ht="13" x14ac:dyDescent="0.3">
      <c r="A102" s="18"/>
      <c r="B102" s="60"/>
      <c r="C102" s="54"/>
      <c r="Q102" s="60"/>
      <c r="R102" s="44"/>
      <c r="T102" s="17"/>
      <c r="V102" s="61"/>
      <c r="X102" s="61"/>
      <c r="Z102" s="61"/>
      <c r="AB102" s="61"/>
    </row>
    <row r="103" spans="1:28" x14ac:dyDescent="0.25">
      <c r="A103" s="18">
        <f>A101+1</f>
        <v>61</v>
      </c>
      <c r="B103" s="2"/>
      <c r="C103" s="2" t="s">
        <v>167</v>
      </c>
      <c r="D103" s="20">
        <f>SUM(F103:L103)</f>
        <v>1</v>
      </c>
      <c r="F103" s="20">
        <v>0</v>
      </c>
      <c r="G103" s="20"/>
      <c r="H103" s="20">
        <v>1</v>
      </c>
      <c r="I103" s="20"/>
      <c r="J103" s="20">
        <v>0</v>
      </c>
      <c r="L103" s="20">
        <v>0</v>
      </c>
      <c r="Q103" s="2"/>
      <c r="R103" s="56"/>
      <c r="T103" s="22"/>
      <c r="V103" s="22"/>
      <c r="W103" s="22"/>
      <c r="X103" s="22"/>
      <c r="Y103" s="22"/>
      <c r="Z103" s="22"/>
      <c r="AB103" s="22"/>
    </row>
    <row r="104" spans="1:28" x14ac:dyDescent="0.25">
      <c r="A104" s="18">
        <f>A103+1</f>
        <v>62</v>
      </c>
      <c r="B104" s="2" t="s">
        <v>46</v>
      </c>
      <c r="C104" s="2"/>
      <c r="D104" s="17">
        <f>SUM(F104:L104)</f>
        <v>1</v>
      </c>
      <c r="F104" s="17">
        <f>IFERROR(F103/$D103,0)</f>
        <v>0</v>
      </c>
      <c r="H104" s="24">
        <f>IFERROR(H103/$D103,0)</f>
        <v>1</v>
      </c>
      <c r="J104" s="24">
        <f>IFERROR(J103/$D103,0)</f>
        <v>0</v>
      </c>
      <c r="L104" s="24">
        <f>IFERROR(L103/$D103,0)</f>
        <v>0</v>
      </c>
      <c r="Q104" s="2"/>
      <c r="R104" s="56"/>
      <c r="T104" s="17"/>
      <c r="V104" s="61"/>
      <c r="X104" s="61"/>
      <c r="Z104" s="61"/>
      <c r="AB104" s="61"/>
    </row>
    <row r="105" spans="1:28" x14ac:dyDescent="0.25">
      <c r="A105" s="18"/>
      <c r="B105" s="31"/>
      <c r="C105" s="2"/>
      <c r="Q105" s="31"/>
      <c r="R105" s="56"/>
    </row>
    <row r="106" spans="1:28" x14ac:dyDescent="0.25">
      <c r="A106" s="18">
        <f>A104+1</f>
        <v>63</v>
      </c>
      <c r="B106" s="2"/>
      <c r="C106" s="2" t="s">
        <v>166</v>
      </c>
      <c r="D106" s="20">
        <f>SUM(F106:L106)</f>
        <v>626100.87781287322</v>
      </c>
      <c r="F106" s="20">
        <v>0</v>
      </c>
      <c r="G106" s="20"/>
      <c r="H106" s="20">
        <v>79798.549934962299</v>
      </c>
      <c r="I106" s="20"/>
      <c r="J106" s="20">
        <v>211517.76996137522</v>
      </c>
      <c r="L106" s="20">
        <v>334784.5579165357</v>
      </c>
      <c r="Q106" s="2"/>
      <c r="R106" s="56"/>
      <c r="T106" s="22"/>
      <c r="V106" s="22"/>
      <c r="W106" s="22"/>
      <c r="X106" s="22"/>
      <c r="Y106" s="22"/>
      <c r="Z106" s="22"/>
      <c r="AB106" s="22"/>
    </row>
    <row r="107" spans="1:28" x14ac:dyDescent="0.25">
      <c r="A107" s="18">
        <f>A106+1</f>
        <v>64</v>
      </c>
      <c r="B107" s="2" t="s">
        <v>38</v>
      </c>
      <c r="C107" s="2"/>
      <c r="D107" s="17">
        <f>SUM(F107:L107)</f>
        <v>1</v>
      </c>
      <c r="F107" s="17">
        <f>IFERROR(F106/$D106,0)</f>
        <v>0</v>
      </c>
      <c r="H107" s="24">
        <f>IFERROR(H106/$D106,0)</f>
        <v>0.12745318328528554</v>
      </c>
      <c r="J107" s="24">
        <f>IFERROR(J106/$D106,0)</f>
        <v>0.33783337071856478</v>
      </c>
      <c r="L107" s="24">
        <f>IFERROR(L106/$D106,0)</f>
        <v>0.53471344599614967</v>
      </c>
      <c r="Q107" s="2"/>
      <c r="R107" s="56"/>
      <c r="T107" s="17"/>
      <c r="V107" s="61"/>
      <c r="X107" s="61"/>
      <c r="Z107" s="61"/>
      <c r="AB107" s="61"/>
    </row>
    <row r="108" spans="1:28" ht="14.5" x14ac:dyDescent="0.35">
      <c r="A108" s="18"/>
      <c r="B108" s="31"/>
      <c r="C108" s="148"/>
      <c r="Q108" s="31"/>
      <c r="R108" s="58"/>
    </row>
    <row r="109" spans="1:28" x14ac:dyDescent="0.25">
      <c r="A109" s="18">
        <f>A107+1</f>
        <v>65</v>
      </c>
      <c r="B109" s="2"/>
      <c r="C109" s="2" t="s">
        <v>166</v>
      </c>
      <c r="D109" s="20">
        <f>SUM(F109:L109)</f>
        <v>-215727.48722479556</v>
      </c>
      <c r="F109" s="20">
        <v>0</v>
      </c>
      <c r="G109" s="20"/>
      <c r="H109" s="20">
        <v>-30467.610982604227</v>
      </c>
      <c r="I109" s="20"/>
      <c r="J109" s="20">
        <v>-77738.765516644649</v>
      </c>
      <c r="L109" s="20">
        <v>-107521.11072554668</v>
      </c>
      <c r="Q109" s="2"/>
      <c r="R109" s="56"/>
      <c r="T109" s="22"/>
      <c r="V109" s="22"/>
      <c r="W109" s="22"/>
      <c r="X109" s="22"/>
      <c r="Y109" s="22"/>
      <c r="Z109" s="22"/>
      <c r="AB109" s="22"/>
    </row>
    <row r="110" spans="1:28" x14ac:dyDescent="0.25">
      <c r="A110" s="18">
        <f>A109+1</f>
        <v>66</v>
      </c>
      <c r="B110" s="2" t="s">
        <v>61</v>
      </c>
      <c r="C110" s="2"/>
      <c r="D110" s="17">
        <f>SUM(F110:L110)</f>
        <v>1</v>
      </c>
      <c r="F110" s="17">
        <f>IFERROR(F109/$D109,0)</f>
        <v>0</v>
      </c>
      <c r="H110" s="24">
        <f>IFERROR(H109/$D109,0)</f>
        <v>0.14123193745290286</v>
      </c>
      <c r="J110" s="24">
        <f>IFERROR(J109/$D109,0)</f>
        <v>0.36035632972277726</v>
      </c>
      <c r="L110" s="24">
        <f>IFERROR(L109/$D109,0)</f>
        <v>0.49841173282431983</v>
      </c>
      <c r="Q110" s="2"/>
      <c r="R110" s="56"/>
      <c r="T110" s="17"/>
      <c r="V110" s="61"/>
      <c r="X110" s="61"/>
      <c r="Z110" s="61"/>
      <c r="AB110" s="61"/>
    </row>
    <row r="111" spans="1:28" ht="14.5" x14ac:dyDescent="0.35">
      <c r="A111" s="18"/>
      <c r="B111" s="31"/>
      <c r="C111" s="148"/>
      <c r="Q111" s="31"/>
      <c r="R111" s="58"/>
    </row>
    <row r="112" spans="1:28" x14ac:dyDescent="0.25">
      <c r="A112" s="18">
        <f>A110+1</f>
        <v>67</v>
      </c>
      <c r="B112" s="2"/>
      <c r="C112" s="2" t="s">
        <v>167</v>
      </c>
      <c r="D112" s="20">
        <f>SUM(F112:L112)</f>
        <v>1</v>
      </c>
      <c r="F112" s="20">
        <v>0</v>
      </c>
      <c r="G112" s="20"/>
      <c r="H112" s="20">
        <v>0</v>
      </c>
      <c r="I112" s="20"/>
      <c r="J112" s="20">
        <v>1</v>
      </c>
      <c r="L112" s="20">
        <v>0</v>
      </c>
      <c r="Q112" s="2"/>
      <c r="R112" s="56"/>
      <c r="T112" s="22"/>
      <c r="V112" s="22"/>
      <c r="W112" s="22"/>
      <c r="X112" s="22"/>
      <c r="Y112" s="22"/>
      <c r="Z112" s="22"/>
      <c r="AB112" s="22"/>
    </row>
    <row r="113" spans="1:28" x14ac:dyDescent="0.25">
      <c r="A113" s="18">
        <f>A112+1</f>
        <v>68</v>
      </c>
      <c r="B113" s="2" t="s">
        <v>107</v>
      </c>
      <c r="C113" s="2"/>
      <c r="D113" s="17">
        <f>SUM(F113:L113)</f>
        <v>1</v>
      </c>
      <c r="F113" s="17">
        <f>IFERROR(F112/$D112,0)</f>
        <v>0</v>
      </c>
      <c r="H113" s="24">
        <f>IFERROR(H112/$D112,0)</f>
        <v>0</v>
      </c>
      <c r="J113" s="24">
        <f>IFERROR(J112/$D112,0)</f>
        <v>1</v>
      </c>
      <c r="L113" s="24">
        <f>IFERROR(L112/$D112,0)</f>
        <v>0</v>
      </c>
      <c r="Q113" s="2"/>
      <c r="R113" s="56"/>
      <c r="T113" s="17"/>
      <c r="V113" s="61"/>
      <c r="X113" s="61"/>
      <c r="Z113" s="61"/>
      <c r="AB113" s="61"/>
    </row>
    <row r="114" spans="1:28" x14ac:dyDescent="0.25">
      <c r="A114" s="18"/>
      <c r="B114" s="2"/>
      <c r="C114" s="2"/>
      <c r="Q114" s="2"/>
      <c r="R114" s="56"/>
      <c r="T114" s="17"/>
      <c r="V114" s="61"/>
      <c r="X114" s="61"/>
      <c r="Z114" s="61"/>
      <c r="AB114" s="61"/>
    </row>
    <row r="115" spans="1:28" x14ac:dyDescent="0.25">
      <c r="A115" s="18">
        <f>A113+1</f>
        <v>69</v>
      </c>
      <c r="B115" s="2"/>
      <c r="C115" s="2" t="s">
        <v>166</v>
      </c>
      <c r="D115" s="20">
        <f>SUM(F115:L115)</f>
        <v>34752.332684064371</v>
      </c>
      <c r="F115" s="20">
        <v>0</v>
      </c>
      <c r="G115" s="20"/>
      <c r="H115" s="20">
        <v>7509.5099837752905</v>
      </c>
      <c r="I115" s="20"/>
      <c r="J115" s="20">
        <v>10628.237275639083</v>
      </c>
      <c r="L115" s="20">
        <v>16614.585424649998</v>
      </c>
      <c r="Q115" s="2"/>
      <c r="R115" s="56"/>
      <c r="T115" s="22"/>
      <c r="V115" s="22"/>
      <c r="W115" s="22"/>
      <c r="X115" s="22"/>
      <c r="Y115" s="22"/>
      <c r="Z115" s="22"/>
      <c r="AB115" s="22"/>
    </row>
    <row r="116" spans="1:28" x14ac:dyDescent="0.25">
      <c r="A116" s="18">
        <f>A115+1</f>
        <v>70</v>
      </c>
      <c r="B116" s="2" t="s">
        <v>102</v>
      </c>
      <c r="C116" s="2"/>
      <c r="D116" s="17">
        <f>SUM(F116:L116)</f>
        <v>1</v>
      </c>
      <c r="F116" s="17">
        <f>IFERROR(F115/$D115,0)</f>
        <v>0</v>
      </c>
      <c r="H116" s="24">
        <f>IFERROR(H115/$D115,0)</f>
        <v>0.21608650135933938</v>
      </c>
      <c r="J116" s="24">
        <f>IFERROR(J115/$D115,0)</f>
        <v>0.30582802519361946</v>
      </c>
      <c r="L116" s="24">
        <f>IFERROR(L115/$D115,0)</f>
        <v>0.47808547344704116</v>
      </c>
      <c r="Q116" s="2"/>
      <c r="R116" s="56"/>
      <c r="T116" s="17"/>
      <c r="V116" s="61"/>
      <c r="X116" s="61"/>
      <c r="Z116" s="61"/>
      <c r="AB116" s="61"/>
    </row>
    <row r="117" spans="1:28" x14ac:dyDescent="0.25">
      <c r="Q117" s="31"/>
      <c r="R117" s="56"/>
    </row>
    <row r="118" spans="1:28" x14ac:dyDescent="0.25">
      <c r="D118" s="17"/>
      <c r="F118" s="24"/>
      <c r="H118" s="24"/>
      <c r="J118" s="24"/>
      <c r="L118" s="24"/>
      <c r="Q118" s="2"/>
      <c r="R118" s="56"/>
      <c r="T118" s="17"/>
      <c r="V118" s="61"/>
      <c r="X118" s="61"/>
      <c r="Z118" s="61"/>
      <c r="AB118" s="61"/>
    </row>
    <row r="119" spans="1:28" x14ac:dyDescent="0.25">
      <c r="F119" s="20"/>
      <c r="H119" s="20"/>
      <c r="J119" s="20"/>
      <c r="L119" s="20"/>
      <c r="V119" s="22"/>
    </row>
    <row r="120" spans="1:28" x14ac:dyDescent="0.25">
      <c r="Q120" s="1"/>
    </row>
    <row r="121" spans="1:28" x14ac:dyDescent="0.25">
      <c r="L121" s="8"/>
      <c r="Q121" s="1"/>
    </row>
    <row r="127" spans="1:28" x14ac:dyDescent="0.25">
      <c r="A127" s="54"/>
      <c r="B127" s="18"/>
    </row>
    <row r="128" spans="1:28" ht="13" x14ac:dyDescent="0.3">
      <c r="A128" s="54"/>
      <c r="B128" s="60"/>
    </row>
    <row r="129" spans="1:14" x14ac:dyDescent="0.25">
      <c r="A129" s="44"/>
      <c r="N129" s="31"/>
    </row>
    <row r="130" spans="1:14" x14ac:dyDescent="0.25">
      <c r="A130" s="54"/>
      <c r="B130" s="18"/>
    </row>
    <row r="131" spans="1:14" ht="13" x14ac:dyDescent="0.3">
      <c r="A131" s="54"/>
      <c r="B131" s="60"/>
    </row>
    <row r="132" spans="1:14" x14ac:dyDescent="0.25">
      <c r="A132" s="44"/>
    </row>
    <row r="133" spans="1:14" x14ac:dyDescent="0.25">
      <c r="A133" s="54"/>
      <c r="B133" s="18"/>
    </row>
    <row r="134" spans="1:14" ht="14.5" x14ac:dyDescent="0.35">
      <c r="A134" s="54"/>
      <c r="B134" s="60"/>
      <c r="M134"/>
    </row>
    <row r="135" spans="1:14" ht="14.5" x14ac:dyDescent="0.35">
      <c r="A135" s="146"/>
      <c r="M135"/>
    </row>
    <row r="136" spans="1:14" ht="14.5" x14ac:dyDescent="0.35">
      <c r="A136" s="54"/>
      <c r="B136" s="18"/>
      <c r="M136"/>
    </row>
    <row r="137" spans="1:14" ht="14.5" x14ac:dyDescent="0.35">
      <c r="A137" s="54"/>
      <c r="B137" s="60"/>
      <c r="M137"/>
    </row>
    <row r="138" spans="1:14" ht="14.5" x14ac:dyDescent="0.35">
      <c r="A138" s="44"/>
      <c r="M138"/>
    </row>
    <row r="139" spans="1:14" ht="14.5" x14ac:dyDescent="0.35">
      <c r="A139" s="54"/>
      <c r="B139" s="18"/>
      <c r="M139"/>
    </row>
    <row r="140" spans="1:14" ht="14.5" x14ac:dyDescent="0.35">
      <c r="A140" s="54"/>
      <c r="B140" s="60"/>
      <c r="M140"/>
    </row>
    <row r="141" spans="1:14" ht="14.5" x14ac:dyDescent="0.35">
      <c r="A141" s="44"/>
      <c r="M141"/>
    </row>
    <row r="142" spans="1:14" x14ac:dyDescent="0.25">
      <c r="A142" s="54"/>
      <c r="B142" s="18"/>
    </row>
    <row r="143" spans="1:14" ht="13" x14ac:dyDescent="0.3">
      <c r="A143" s="54"/>
      <c r="B143" s="60"/>
    </row>
    <row r="144" spans="1:14" x14ac:dyDescent="0.25">
      <c r="A144" s="44"/>
    </row>
    <row r="145" spans="1:2" x14ac:dyDescent="0.25">
      <c r="A145" s="54"/>
      <c r="B145" s="18"/>
    </row>
    <row r="146" spans="1:2" ht="13" x14ac:dyDescent="0.3">
      <c r="A146" s="54"/>
      <c r="B146" s="60"/>
    </row>
    <row r="147" spans="1:2" x14ac:dyDescent="0.25">
      <c r="A147" s="44"/>
    </row>
    <row r="148" spans="1:2" x14ac:dyDescent="0.25">
      <c r="A148" s="54"/>
      <c r="B148" s="18"/>
    </row>
    <row r="149" spans="1:2" ht="13" x14ac:dyDescent="0.3">
      <c r="A149" s="54"/>
      <c r="B149" s="60"/>
    </row>
    <row r="150" spans="1:2" ht="14.5" x14ac:dyDescent="0.35">
      <c r="A150" s="146"/>
    </row>
    <row r="151" spans="1:2" x14ac:dyDescent="0.25">
      <c r="A151" s="54"/>
      <c r="B151" s="18"/>
    </row>
    <row r="152" spans="1:2" ht="13" x14ac:dyDescent="0.3">
      <c r="A152" s="54"/>
      <c r="B152" s="60"/>
    </row>
    <row r="153" spans="1:2" x14ac:dyDescent="0.25">
      <c r="A153" s="44"/>
    </row>
    <row r="154" spans="1:2" x14ac:dyDescent="0.25">
      <c r="A154" s="54"/>
      <c r="B154" s="18"/>
    </row>
    <row r="155" spans="1:2" ht="13" x14ac:dyDescent="0.3">
      <c r="A155" s="54"/>
      <c r="B155" s="60"/>
    </row>
    <row r="156" spans="1:2" x14ac:dyDescent="0.25">
      <c r="A156" s="44"/>
    </row>
    <row r="157" spans="1:2" x14ac:dyDescent="0.25">
      <c r="A157" s="54"/>
      <c r="B157" s="18"/>
    </row>
    <row r="158" spans="1:2" ht="13" x14ac:dyDescent="0.3">
      <c r="A158" s="54"/>
      <c r="B158" s="60"/>
    </row>
    <row r="159" spans="1:2" x14ac:dyDescent="0.25">
      <c r="A159" s="44"/>
    </row>
    <row r="160" spans="1:2" x14ac:dyDescent="0.25">
      <c r="A160" s="54"/>
      <c r="B160" s="18"/>
    </row>
    <row r="161" spans="1:2" ht="13" x14ac:dyDescent="0.3">
      <c r="A161" s="54"/>
      <c r="B161" s="60"/>
    </row>
    <row r="162" spans="1:2" ht="14.5" x14ac:dyDescent="0.35">
      <c r="A162" s="146"/>
    </row>
    <row r="163" spans="1:2" x14ac:dyDescent="0.25">
      <c r="A163" s="54"/>
      <c r="B163" s="18"/>
    </row>
    <row r="164" spans="1:2" ht="13" x14ac:dyDescent="0.3">
      <c r="A164" s="54"/>
      <c r="B164" s="60"/>
    </row>
    <row r="165" spans="1:2" x14ac:dyDescent="0.25">
      <c r="A165" s="44"/>
    </row>
    <row r="166" spans="1:2" x14ac:dyDescent="0.25">
      <c r="A166" s="54"/>
      <c r="B166" s="18"/>
    </row>
    <row r="167" spans="1:2" ht="13" x14ac:dyDescent="0.3">
      <c r="A167" s="54"/>
      <c r="B167" s="60"/>
    </row>
    <row r="168" spans="1:2" x14ac:dyDescent="0.25">
      <c r="A168" s="44"/>
    </row>
    <row r="169" spans="1:2" x14ac:dyDescent="0.25">
      <c r="A169" s="54"/>
      <c r="B169" s="18"/>
    </row>
    <row r="170" spans="1:2" ht="13" x14ac:dyDescent="0.3">
      <c r="A170" s="54"/>
      <c r="B170" s="60"/>
    </row>
    <row r="171" spans="1:2" x14ac:dyDescent="0.25">
      <c r="A171" s="44"/>
    </row>
    <row r="172" spans="1:2" x14ac:dyDescent="0.25">
      <c r="A172" s="54"/>
      <c r="B172" s="18"/>
    </row>
    <row r="173" spans="1:2" ht="13" x14ac:dyDescent="0.3">
      <c r="A173" s="54"/>
      <c r="B173" s="60"/>
    </row>
    <row r="174" spans="1:2" x14ac:dyDescent="0.25">
      <c r="A174" s="44"/>
    </row>
    <row r="175" spans="1:2" x14ac:dyDescent="0.25">
      <c r="A175" s="54"/>
      <c r="B175" s="18"/>
    </row>
    <row r="176" spans="1:2" ht="13" x14ac:dyDescent="0.3">
      <c r="A176" s="54"/>
      <c r="B176" s="60"/>
    </row>
    <row r="177" spans="1:12" ht="14.5" x14ac:dyDescent="0.35">
      <c r="A177" s="146"/>
    </row>
    <row r="178" spans="1:12" x14ac:dyDescent="0.25">
      <c r="A178" s="54"/>
      <c r="B178" s="18"/>
    </row>
    <row r="179" spans="1:12" ht="13" x14ac:dyDescent="0.3">
      <c r="A179" s="54"/>
      <c r="B179" s="60"/>
    </row>
    <row r="180" spans="1:12" x14ac:dyDescent="0.25">
      <c r="A180" s="44"/>
      <c r="D180" s="17"/>
      <c r="F180" s="61"/>
      <c r="H180" s="61"/>
      <c r="J180" s="61"/>
      <c r="L180" s="61"/>
    </row>
    <row r="181" spans="1:12" x14ac:dyDescent="0.25">
      <c r="A181" s="54"/>
      <c r="B181" s="18"/>
    </row>
    <row r="182" spans="1:12" ht="13" x14ac:dyDescent="0.3">
      <c r="A182" s="54"/>
      <c r="B182" s="60"/>
    </row>
    <row r="183" spans="1:12" x14ac:dyDescent="0.25">
      <c r="A183" s="44"/>
      <c r="D183" s="17"/>
      <c r="F183" s="61"/>
      <c r="H183" s="61"/>
      <c r="J183" s="61"/>
      <c r="L183" s="61"/>
    </row>
    <row r="184" spans="1:12" x14ac:dyDescent="0.25">
      <c r="A184" s="54"/>
      <c r="B184" s="18"/>
      <c r="C184" s="143"/>
    </row>
    <row r="185" spans="1:12" ht="13" x14ac:dyDescent="0.3">
      <c r="A185" s="54"/>
      <c r="B185" s="60"/>
      <c r="C185" s="144"/>
    </row>
    <row r="186" spans="1:12" ht="14.5" x14ac:dyDescent="0.35">
      <c r="A186" s="146"/>
      <c r="B186"/>
      <c r="C186" s="145"/>
      <c r="D186"/>
      <c r="E186"/>
      <c r="F186"/>
      <c r="G186"/>
      <c r="H186"/>
      <c r="I186"/>
      <c r="J186"/>
      <c r="K186"/>
      <c r="L186"/>
    </row>
    <row r="187" spans="1:12" x14ac:dyDescent="0.25">
      <c r="A187" s="54"/>
      <c r="B187" s="18"/>
      <c r="C187" s="143"/>
    </row>
    <row r="188" spans="1:12" ht="13" x14ac:dyDescent="0.3">
      <c r="A188" s="54"/>
      <c r="B188" s="60"/>
      <c r="C188" s="144"/>
    </row>
    <row r="189" spans="1:12" ht="14.5" x14ac:dyDescent="0.35">
      <c r="A189" s="146"/>
      <c r="B189"/>
      <c r="C189" s="145"/>
      <c r="D189"/>
      <c r="E189"/>
      <c r="F189"/>
      <c r="G189"/>
      <c r="H189"/>
      <c r="I189"/>
      <c r="J189"/>
      <c r="K189"/>
      <c r="L189"/>
    </row>
    <row r="190" spans="1:12" x14ac:dyDescent="0.25">
      <c r="A190" s="54"/>
      <c r="B190" s="18"/>
      <c r="C190" s="143"/>
    </row>
    <row r="191" spans="1:12" ht="13" x14ac:dyDescent="0.3">
      <c r="A191" s="54"/>
      <c r="B191" s="60"/>
      <c r="C191" s="144"/>
    </row>
    <row r="192" spans="1:12" x14ac:dyDescent="0.25">
      <c r="A192" s="44"/>
    </row>
    <row r="193" spans="1:3" x14ac:dyDescent="0.25">
      <c r="A193" s="54"/>
      <c r="B193" s="18"/>
    </row>
    <row r="194" spans="1:3" ht="13" x14ac:dyDescent="0.3">
      <c r="A194" s="54"/>
      <c r="B194" s="60"/>
    </row>
    <row r="195" spans="1:3" x14ac:dyDescent="0.25">
      <c r="A195" s="44"/>
    </row>
    <row r="196" spans="1:3" x14ac:dyDescent="0.25">
      <c r="A196" s="54"/>
      <c r="B196" s="18"/>
      <c r="C196" s="143"/>
    </row>
    <row r="197" spans="1:3" ht="13" x14ac:dyDescent="0.3">
      <c r="A197" s="54"/>
      <c r="B197" s="60"/>
      <c r="C197" s="144"/>
    </row>
    <row r="199" spans="1:3" x14ac:dyDescent="0.25">
      <c r="A199" s="54"/>
      <c r="B199" s="18"/>
    </row>
    <row r="200" spans="1:3" ht="13" x14ac:dyDescent="0.3">
      <c r="A200" s="54"/>
      <c r="B200" s="60"/>
    </row>
    <row r="202" spans="1:3" x14ac:dyDescent="0.25">
      <c r="A202" s="54"/>
      <c r="B202" s="18"/>
    </row>
    <row r="203" spans="1:3" ht="13" x14ac:dyDescent="0.3">
      <c r="A203" s="54"/>
      <c r="B203" s="60"/>
    </row>
    <row r="205" spans="1:3" x14ac:dyDescent="0.25">
      <c r="A205" s="3"/>
      <c r="B205" s="18"/>
    </row>
    <row r="206" spans="1:3" ht="13" x14ac:dyDescent="0.3">
      <c r="A206" s="3"/>
      <c r="B206" s="60"/>
    </row>
    <row r="207" spans="1:3" x14ac:dyDescent="0.25">
      <c r="A207" s="147"/>
    </row>
    <row r="208" spans="1:3" x14ac:dyDescent="0.25">
      <c r="A208" s="3"/>
      <c r="B208" s="18"/>
    </row>
    <row r="209" spans="1:12" ht="13" x14ac:dyDescent="0.3">
      <c r="A209" s="3"/>
      <c r="B209" s="60"/>
    </row>
    <row r="210" spans="1:12" x14ac:dyDescent="0.25">
      <c r="A210" s="147"/>
    </row>
    <row r="211" spans="1:12" x14ac:dyDescent="0.25">
      <c r="A211" s="3"/>
      <c r="B211" s="18"/>
    </row>
    <row r="212" spans="1:12" ht="13" x14ac:dyDescent="0.3">
      <c r="A212" s="3"/>
      <c r="B212" s="60"/>
    </row>
    <row r="213" spans="1:12" x14ac:dyDescent="0.25">
      <c r="A213" s="147"/>
      <c r="B213" s="18"/>
      <c r="D213" s="17"/>
      <c r="F213" s="61"/>
      <c r="H213" s="61"/>
      <c r="J213" s="61"/>
      <c r="L213" s="61"/>
    </row>
    <row r="214" spans="1:12" x14ac:dyDescent="0.25">
      <c r="A214" s="3"/>
      <c r="B214" s="18"/>
    </row>
    <row r="215" spans="1:12" ht="13" x14ac:dyDescent="0.3">
      <c r="A215" s="3"/>
      <c r="B215" s="60"/>
    </row>
    <row r="217" spans="1:12" x14ac:dyDescent="0.25">
      <c r="A217" s="2"/>
      <c r="B217" s="18"/>
    </row>
    <row r="218" spans="1:12" ht="13" x14ac:dyDescent="0.3">
      <c r="A218" s="2"/>
      <c r="B218" s="60"/>
    </row>
    <row r="219" spans="1:12" x14ac:dyDescent="0.25">
      <c r="A219" s="44"/>
    </row>
    <row r="220" spans="1:12" x14ac:dyDescent="0.25">
      <c r="A220" s="2"/>
      <c r="B220" s="18"/>
    </row>
    <row r="221" spans="1:12" ht="13" x14ac:dyDescent="0.3">
      <c r="A221" s="2"/>
      <c r="B221" s="60"/>
    </row>
    <row r="222" spans="1:12" x14ac:dyDescent="0.25">
      <c r="A222" s="44"/>
    </row>
    <row r="223" spans="1:12" x14ac:dyDescent="0.25">
      <c r="A223" s="2"/>
      <c r="B223" s="18"/>
    </row>
    <row r="224" spans="1:12" ht="13" x14ac:dyDescent="0.3">
      <c r="A224" s="2"/>
      <c r="B224" s="60"/>
    </row>
    <row r="225" spans="1:6" x14ac:dyDescent="0.25">
      <c r="A225" s="44"/>
    </row>
    <row r="226" spans="1:6" x14ac:dyDescent="0.25">
      <c r="A226" s="2"/>
      <c r="B226" s="18"/>
    </row>
    <row r="227" spans="1:6" ht="13" x14ac:dyDescent="0.3">
      <c r="A227" s="2"/>
      <c r="B227" s="60"/>
    </row>
    <row r="228" spans="1:6" x14ac:dyDescent="0.25">
      <c r="A228" s="44"/>
    </row>
    <row r="229" spans="1:6" x14ac:dyDescent="0.25">
      <c r="A229" s="2"/>
      <c r="B229" s="18"/>
    </row>
    <row r="230" spans="1:6" ht="13" x14ac:dyDescent="0.3">
      <c r="A230" s="2"/>
      <c r="B230" s="60"/>
    </row>
    <row r="231" spans="1:6" x14ac:dyDescent="0.25">
      <c r="A231" s="44"/>
    </row>
    <row r="232" spans="1:6" x14ac:dyDescent="0.25">
      <c r="A232" s="2"/>
      <c r="B232" s="18"/>
    </row>
    <row r="233" spans="1:6" ht="13" x14ac:dyDescent="0.3">
      <c r="A233" s="2"/>
      <c r="B233" s="60"/>
    </row>
    <row r="234" spans="1:6" x14ac:dyDescent="0.25">
      <c r="F234" s="22"/>
    </row>
    <row r="235" spans="1:6" x14ac:dyDescent="0.25">
      <c r="A235" s="1"/>
    </row>
    <row r="236" spans="1:6" x14ac:dyDescent="0.25">
      <c r="A236" s="1"/>
    </row>
  </sheetData>
  <mergeCells count="2">
    <mergeCell ref="B6:M6"/>
    <mergeCell ref="B7:M7"/>
  </mergeCells>
  <pageMargins left="0.7" right="0.7" top="0.75" bottom="0.75" header="0.3" footer="0.3"/>
  <pageSetup scale="65" fitToHeight="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15A1-4E81-41F7-BF70-C2221583193E}">
  <sheetPr>
    <pageSetUpPr fitToPage="1"/>
  </sheetPr>
  <dimension ref="A2:BK290"/>
  <sheetViews>
    <sheetView zoomScale="80" zoomScaleNormal="80" workbookViewId="0">
      <selection activeCell="B50" sqref="B50"/>
    </sheetView>
  </sheetViews>
  <sheetFormatPr defaultColWidth="9.1796875" defaultRowHeight="12.5" x14ac:dyDescent="0.25"/>
  <cols>
    <col min="1" max="1" width="9.1796875" style="18"/>
    <col min="2" max="2" width="29.1796875" style="1" customWidth="1"/>
    <col min="3" max="3" width="9" style="1" customWidth="1"/>
    <col min="4" max="4" width="15.26953125" style="1" bestFit="1" customWidth="1"/>
    <col min="5" max="5" width="2.81640625" style="1" customWidth="1"/>
    <col min="6" max="8" width="14.7265625" style="1" customWidth="1"/>
    <col min="9" max="10" width="14.7265625" style="1" hidden="1" customWidth="1"/>
    <col min="11" max="17" width="14.7265625" style="1" customWidth="1"/>
    <col min="18" max="18" width="16.1796875" style="1" customWidth="1"/>
    <col min="19" max="21" width="14.7265625" style="1" customWidth="1"/>
    <col min="22" max="16384" width="9.1796875" style="1"/>
  </cols>
  <sheetData>
    <row r="2" spans="1:63" x14ac:dyDescent="0.25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63" x14ac:dyDescent="0.25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63" x14ac:dyDescent="0.25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63" x14ac:dyDescent="0.25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63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36"/>
      <c r="S6" s="36"/>
      <c r="T6" s="36"/>
      <c r="U6" s="36"/>
    </row>
    <row r="7" spans="1:63" ht="15" customHeight="1" x14ac:dyDescent="0.25">
      <c r="B7" s="155" t="s">
        <v>467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1:63" ht="14.5" x14ac:dyDescent="0.35">
      <c r="Q8"/>
      <c r="T8"/>
      <c r="U8"/>
    </row>
    <row r="9" spans="1:63" x14ac:dyDescent="0.25">
      <c r="A9" s="18" t="s">
        <v>6</v>
      </c>
      <c r="C9" s="18"/>
      <c r="D9" s="18"/>
      <c r="F9" s="2" t="s">
        <v>426</v>
      </c>
      <c r="G9" s="2" t="s">
        <v>426</v>
      </c>
      <c r="H9" s="2" t="s">
        <v>426</v>
      </c>
      <c r="I9" s="2"/>
      <c r="J9" s="2"/>
      <c r="K9" s="2" t="s">
        <v>426</v>
      </c>
      <c r="L9" s="2" t="s">
        <v>426</v>
      </c>
      <c r="M9" s="2" t="s">
        <v>426</v>
      </c>
      <c r="N9" s="2" t="s">
        <v>426</v>
      </c>
      <c r="O9" s="2" t="s">
        <v>426</v>
      </c>
      <c r="P9" s="2" t="s">
        <v>426</v>
      </c>
      <c r="Q9" s="2" t="s">
        <v>426</v>
      </c>
      <c r="R9" s="2" t="s">
        <v>426</v>
      </c>
      <c r="S9" s="2" t="s">
        <v>426</v>
      </c>
      <c r="T9" s="2" t="s">
        <v>426</v>
      </c>
      <c r="U9" s="2" t="s">
        <v>426</v>
      </c>
    </row>
    <row r="10" spans="1:63" x14ac:dyDescent="0.25">
      <c r="A10" s="4" t="s">
        <v>11</v>
      </c>
      <c r="B10" s="4" t="s">
        <v>423</v>
      </c>
      <c r="C10" s="18"/>
      <c r="D10" s="4" t="s">
        <v>2</v>
      </c>
      <c r="E10" s="18"/>
      <c r="F10" s="33" t="s">
        <v>427</v>
      </c>
      <c r="G10" s="33" t="s">
        <v>428</v>
      </c>
      <c r="H10" s="33" t="s">
        <v>429</v>
      </c>
      <c r="I10" s="33"/>
      <c r="J10" s="33"/>
      <c r="K10" s="33" t="s">
        <v>430</v>
      </c>
      <c r="L10" s="33" t="s">
        <v>431</v>
      </c>
      <c r="M10" s="33" t="s">
        <v>432</v>
      </c>
      <c r="N10" s="33" t="s">
        <v>433</v>
      </c>
      <c r="O10" s="33" t="s">
        <v>434</v>
      </c>
      <c r="P10" s="33" t="s">
        <v>435</v>
      </c>
      <c r="Q10" s="33" t="s">
        <v>436</v>
      </c>
      <c r="R10" s="33" t="s">
        <v>437</v>
      </c>
      <c r="S10" s="117" t="s">
        <v>438</v>
      </c>
      <c r="T10" s="33" t="s">
        <v>439</v>
      </c>
      <c r="U10" s="33" t="s">
        <v>440</v>
      </c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8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8"/>
      <c r="BC10" s="160"/>
      <c r="BD10" s="160"/>
      <c r="BE10" s="160"/>
      <c r="BF10" s="160"/>
      <c r="BG10" s="160"/>
      <c r="BH10" s="160"/>
      <c r="BI10" s="160"/>
      <c r="BJ10" s="160"/>
      <c r="BK10" s="160"/>
    </row>
    <row r="11" spans="1:63" x14ac:dyDescent="0.25">
      <c r="C11" s="18"/>
      <c r="D11" s="18" t="s">
        <v>22</v>
      </c>
      <c r="F11" s="81" t="s">
        <v>23</v>
      </c>
      <c r="G11" s="81" t="s">
        <v>24</v>
      </c>
      <c r="H11" s="81" t="s">
        <v>165</v>
      </c>
      <c r="K11" s="81" t="s">
        <v>26</v>
      </c>
      <c r="L11" s="81" t="s">
        <v>27</v>
      </c>
      <c r="M11" s="81" t="s">
        <v>28</v>
      </c>
      <c r="N11" s="81" t="s">
        <v>29</v>
      </c>
      <c r="O11" s="81" t="s">
        <v>30</v>
      </c>
      <c r="P11" s="81" t="s">
        <v>180</v>
      </c>
      <c r="Q11" s="81" t="s">
        <v>181</v>
      </c>
      <c r="R11" s="81" t="s">
        <v>241</v>
      </c>
      <c r="S11" s="81" t="s">
        <v>242</v>
      </c>
      <c r="T11" s="81" t="s">
        <v>285</v>
      </c>
      <c r="U11" s="81" t="s">
        <v>286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63" x14ac:dyDescent="0.25">
      <c r="A13" s="18">
        <v>1</v>
      </c>
      <c r="B13" s="18"/>
      <c r="C13" s="18" t="s">
        <v>166</v>
      </c>
      <c r="D13" s="8">
        <f>SUM(F13:U13)</f>
        <v>100</v>
      </c>
      <c r="F13" s="20">
        <v>80.624975175777664</v>
      </c>
      <c r="G13" s="20">
        <v>17.129604795344513</v>
      </c>
      <c r="H13" s="20">
        <v>2.2454200288778212</v>
      </c>
      <c r="I13" s="20"/>
      <c r="J13" s="20"/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63" x14ac:dyDescent="0.25">
      <c r="A14" s="18">
        <f>A13+1</f>
        <v>2</v>
      </c>
      <c r="B14" s="18" t="s">
        <v>451</v>
      </c>
      <c r="D14" s="24">
        <f>SUM(F14:U14)</f>
        <v>1</v>
      </c>
      <c r="E14" s="17"/>
      <c r="F14" s="24">
        <f>IFERROR(F13/$D13,0)</f>
        <v>0.80624975175777669</v>
      </c>
      <c r="G14" s="24">
        <f>IFERROR(G13/$D13,0)</f>
        <v>0.17129604795344514</v>
      </c>
      <c r="H14" s="24">
        <f>IFERROR(H13/$D13,0)</f>
        <v>2.2454200288778214E-2</v>
      </c>
      <c r="I14" s="24"/>
      <c r="J14" s="24"/>
      <c r="K14" s="24">
        <f t="shared" ref="K14:U14" si="0">IFERROR(K13/$D13,0)</f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0"/>
        <v>0</v>
      </c>
      <c r="R14" s="24">
        <f t="shared" si="0"/>
        <v>0</v>
      </c>
      <c r="S14" s="24">
        <f t="shared" si="0"/>
        <v>0</v>
      </c>
      <c r="T14" s="24">
        <f t="shared" si="0"/>
        <v>0</v>
      </c>
      <c r="U14" s="24">
        <f t="shared" si="0"/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</row>
    <row r="15" spans="1:63" x14ac:dyDescent="0.25"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</row>
    <row r="16" spans="1:63" x14ac:dyDescent="0.25">
      <c r="A16" s="18">
        <f>A14+1</f>
        <v>3</v>
      </c>
      <c r="B16" s="18"/>
      <c r="C16" s="18" t="s">
        <v>166</v>
      </c>
      <c r="D16" s="8">
        <f>SUM(F16:U16)</f>
        <v>4538.386069285034</v>
      </c>
      <c r="F16" s="20">
        <v>3257.5351252789033</v>
      </c>
      <c r="G16" s="20">
        <v>947.02807577929264</v>
      </c>
      <c r="H16" s="20">
        <v>246.14320716684824</v>
      </c>
      <c r="I16" s="20"/>
      <c r="J16" s="20"/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25.522181098589861</v>
      </c>
      <c r="R16" s="20">
        <v>0</v>
      </c>
      <c r="S16" s="20">
        <v>62.157479961401314</v>
      </c>
      <c r="T16" s="20">
        <v>0</v>
      </c>
      <c r="U16" s="20">
        <v>0</v>
      </c>
    </row>
    <row r="17" spans="1:42" x14ac:dyDescent="0.25">
      <c r="A17" s="18">
        <f>A16+1</f>
        <v>4</v>
      </c>
      <c r="B17" s="18" t="s">
        <v>462</v>
      </c>
      <c r="D17" s="24">
        <f>SUM(F17:U17)</f>
        <v>1.0000000000000004</v>
      </c>
      <c r="E17" s="17"/>
      <c r="F17" s="24">
        <f>IFERROR(F16/$D16,0)</f>
        <v>0.71777391247635469</v>
      </c>
      <c r="G17" s="24">
        <f>IFERROR(G16/$D16,0)</f>
        <v>0.20867067308103321</v>
      </c>
      <c r="H17" s="24">
        <f>IFERROR(H16/$D16,0)</f>
        <v>5.4235845829137458E-2</v>
      </c>
      <c r="I17" s="24"/>
      <c r="J17" s="24"/>
      <c r="K17" s="24">
        <f t="shared" ref="K17:U17" si="1">IFERROR(K16/$D16,0)</f>
        <v>0</v>
      </c>
      <c r="L17" s="24">
        <f t="shared" si="1"/>
        <v>0</v>
      </c>
      <c r="M17" s="24">
        <f t="shared" si="1"/>
        <v>0</v>
      </c>
      <c r="N17" s="24">
        <f t="shared" si="1"/>
        <v>0</v>
      </c>
      <c r="O17" s="24">
        <f t="shared" si="1"/>
        <v>0</v>
      </c>
      <c r="P17" s="24">
        <f t="shared" si="1"/>
        <v>0</v>
      </c>
      <c r="Q17" s="24">
        <f t="shared" si="1"/>
        <v>5.6236249426463098E-3</v>
      </c>
      <c r="R17" s="24">
        <f t="shared" si="1"/>
        <v>0</v>
      </c>
      <c r="S17" s="24">
        <f t="shared" si="1"/>
        <v>1.3695943670828659E-2</v>
      </c>
      <c r="T17" s="24">
        <f t="shared" si="1"/>
        <v>0</v>
      </c>
      <c r="U17" s="24">
        <f t="shared" si="1"/>
        <v>0</v>
      </c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x14ac:dyDescent="0.25"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</row>
    <row r="19" spans="1:42" x14ac:dyDescent="0.25">
      <c r="A19" s="18">
        <f>A17+1</f>
        <v>5</v>
      </c>
      <c r="B19" s="18"/>
      <c r="C19" s="18" t="s">
        <v>166</v>
      </c>
      <c r="D19" s="8">
        <f>SUM(F19:U19)</f>
        <v>16638.49069545481</v>
      </c>
      <c r="F19" s="20">
        <v>11949.817831203676</v>
      </c>
      <c r="G19" s="20">
        <v>3474.0417375020556</v>
      </c>
      <c r="H19" s="20">
        <v>902.94236989393323</v>
      </c>
      <c r="I19" s="20"/>
      <c r="J19" s="20"/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93.624597449897422</v>
      </c>
      <c r="R19" s="20">
        <v>0</v>
      </c>
      <c r="S19" s="20">
        <v>218.0641594052459</v>
      </c>
      <c r="T19" s="20">
        <v>0</v>
      </c>
      <c r="U19" s="20">
        <v>0</v>
      </c>
    </row>
    <row r="20" spans="1:42" x14ac:dyDescent="0.25">
      <c r="A20" s="18">
        <f>A19+1</f>
        <v>6</v>
      </c>
      <c r="B20" s="18" t="s">
        <v>448</v>
      </c>
      <c r="D20" s="24">
        <f>SUM(F20:U20)</f>
        <v>1</v>
      </c>
      <c r="E20" s="17"/>
      <c r="F20" s="24">
        <f>IFERROR(F19/$D19,0)</f>
        <v>0.71820323429144006</v>
      </c>
      <c r="G20" s="24">
        <f>IFERROR(G19/$D19,0)</f>
        <v>0.20879548518490748</v>
      </c>
      <c r="H20" s="24">
        <f>IFERROR(H19/$D19,0)</f>
        <v>5.4268285893298782E-2</v>
      </c>
      <c r="I20" s="24"/>
      <c r="J20" s="24"/>
      <c r="K20" s="24">
        <f t="shared" ref="K20:U20" si="2">IFERROR(K19/$D19,0)</f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  <c r="O20" s="24">
        <f t="shared" si="2"/>
        <v>0</v>
      </c>
      <c r="P20" s="24">
        <f t="shared" si="2"/>
        <v>0</v>
      </c>
      <c r="Q20" s="24">
        <f t="shared" si="2"/>
        <v>5.6269885991205417E-3</v>
      </c>
      <c r="R20" s="24">
        <f t="shared" si="2"/>
        <v>0</v>
      </c>
      <c r="S20" s="24">
        <f t="shared" si="2"/>
        <v>1.3106006031233061E-2</v>
      </c>
      <c r="T20" s="24">
        <f t="shared" si="2"/>
        <v>0</v>
      </c>
      <c r="U20" s="24">
        <f t="shared" si="2"/>
        <v>0</v>
      </c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x14ac:dyDescent="0.25"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</row>
    <row r="22" spans="1:42" x14ac:dyDescent="0.25">
      <c r="A22" s="18">
        <f>A20+1</f>
        <v>7</v>
      </c>
      <c r="B22" s="18"/>
      <c r="C22" s="18" t="s">
        <v>166</v>
      </c>
      <c r="D22" s="8">
        <f>SUM(F22:U22)</f>
        <v>0</v>
      </c>
      <c r="F22" s="20">
        <v>0</v>
      </c>
      <c r="G22" s="20">
        <v>0</v>
      </c>
      <c r="H22" s="20">
        <v>0</v>
      </c>
      <c r="I22" s="20"/>
      <c r="J22" s="20"/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</row>
    <row r="23" spans="1:42" x14ac:dyDescent="0.25">
      <c r="A23" s="18">
        <f>A22+1</f>
        <v>8</v>
      </c>
      <c r="B23" s="18" t="s">
        <v>459</v>
      </c>
      <c r="D23" s="24">
        <f>SUM(F23:U23)</f>
        <v>0</v>
      </c>
      <c r="E23" s="17"/>
      <c r="F23" s="24">
        <f>IFERROR(F22/$D22,0)</f>
        <v>0</v>
      </c>
      <c r="G23" s="24">
        <f>IFERROR(G22/$D22,0)</f>
        <v>0</v>
      </c>
      <c r="H23" s="24">
        <f>IFERROR(H22/$D22,0)</f>
        <v>0</v>
      </c>
      <c r="I23" s="24"/>
      <c r="J23" s="24"/>
      <c r="K23" s="24">
        <f t="shared" ref="K23:U23" si="3">IFERROR(K22/$D22,0)</f>
        <v>0</v>
      </c>
      <c r="L23" s="24">
        <f t="shared" si="3"/>
        <v>0</v>
      </c>
      <c r="M23" s="24">
        <f t="shared" si="3"/>
        <v>0</v>
      </c>
      <c r="N23" s="24">
        <f t="shared" si="3"/>
        <v>0</v>
      </c>
      <c r="O23" s="24">
        <f t="shared" si="3"/>
        <v>0</v>
      </c>
      <c r="P23" s="24">
        <f t="shared" si="3"/>
        <v>0</v>
      </c>
      <c r="Q23" s="24">
        <f t="shared" si="3"/>
        <v>0</v>
      </c>
      <c r="R23" s="24">
        <f t="shared" si="3"/>
        <v>0</v>
      </c>
      <c r="S23" s="24">
        <f t="shared" si="3"/>
        <v>0</v>
      </c>
      <c r="T23" s="24">
        <f t="shared" si="3"/>
        <v>0</v>
      </c>
      <c r="U23" s="24">
        <f t="shared" si="3"/>
        <v>0</v>
      </c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</row>
    <row r="24" spans="1:42" x14ac:dyDescent="0.25"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</row>
    <row r="25" spans="1:42" x14ac:dyDescent="0.25">
      <c r="A25" s="18">
        <f>A23+1</f>
        <v>9</v>
      </c>
      <c r="B25" s="18"/>
      <c r="C25" s="18" t="s">
        <v>166</v>
      </c>
      <c r="D25" s="8">
        <f>SUM(F25:U25)</f>
        <v>5959.7305605315451</v>
      </c>
      <c r="E25" s="20"/>
      <c r="F25" s="20">
        <v>4283.9407070827319</v>
      </c>
      <c r="G25" s="20">
        <v>1259.3133809952085</v>
      </c>
      <c r="H25" s="20">
        <v>217.36302284632433</v>
      </c>
      <c r="I25" s="20"/>
      <c r="J25" s="20"/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199.11344960727962</v>
      </c>
      <c r="T25" s="20">
        <v>0</v>
      </c>
      <c r="U25" s="20">
        <v>0</v>
      </c>
    </row>
    <row r="26" spans="1:42" x14ac:dyDescent="0.25">
      <c r="A26" s="18">
        <f>A25+1</f>
        <v>10</v>
      </c>
      <c r="B26" s="18" t="s">
        <v>455</v>
      </c>
      <c r="D26" s="24">
        <f>SUM(F26:U26)</f>
        <v>0.99999999999999989</v>
      </c>
      <c r="E26" s="17"/>
      <c r="F26" s="24">
        <f>IFERROR(F25/$D25,0)</f>
        <v>0.71881449397280295</v>
      </c>
      <c r="G26" s="24">
        <f>IFERROR(G25/$D25,0)</f>
        <v>0.21130374405431024</v>
      </c>
      <c r="H26" s="24">
        <f>IFERROR(H25/$D25,0)</f>
        <v>3.6471954669530869E-2</v>
      </c>
      <c r="I26" s="24"/>
      <c r="J26" s="24"/>
      <c r="K26" s="24">
        <f t="shared" ref="K26:U26" si="4">IFERROR(K25/$D25,0)</f>
        <v>0</v>
      </c>
      <c r="L26" s="24">
        <f t="shared" si="4"/>
        <v>0</v>
      </c>
      <c r="M26" s="24">
        <f t="shared" si="4"/>
        <v>0</v>
      </c>
      <c r="N26" s="24">
        <f t="shared" si="4"/>
        <v>0</v>
      </c>
      <c r="O26" s="24">
        <f t="shared" si="4"/>
        <v>0</v>
      </c>
      <c r="P26" s="24">
        <f t="shared" si="4"/>
        <v>0</v>
      </c>
      <c r="Q26" s="24">
        <f t="shared" si="4"/>
        <v>0</v>
      </c>
      <c r="R26" s="24">
        <f t="shared" si="4"/>
        <v>0</v>
      </c>
      <c r="S26" s="24">
        <f t="shared" si="4"/>
        <v>3.3409807303355805E-2</v>
      </c>
      <c r="T26" s="24">
        <f t="shared" si="4"/>
        <v>0</v>
      </c>
      <c r="U26" s="24">
        <f t="shared" si="4"/>
        <v>0</v>
      </c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x14ac:dyDescent="0.25"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</row>
    <row r="28" spans="1:42" x14ac:dyDescent="0.25">
      <c r="A28" s="18">
        <f>A26+1</f>
        <v>11</v>
      </c>
      <c r="B28" s="18"/>
      <c r="C28" s="18" t="s">
        <v>166</v>
      </c>
      <c r="D28" s="8">
        <f>SUM(F28:U28)</f>
        <v>1364.4207145280918</v>
      </c>
      <c r="F28" s="20">
        <v>980.76538547952077</v>
      </c>
      <c r="G28" s="20">
        <v>288.30720544504305</v>
      </c>
      <c r="H28" s="20">
        <v>49.763090450437495</v>
      </c>
      <c r="I28" s="20"/>
      <c r="J28" s="20"/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45.585033153090599</v>
      </c>
      <c r="T28" s="20">
        <v>0</v>
      </c>
      <c r="U28" s="20">
        <v>0</v>
      </c>
      <c r="V28" s="20"/>
    </row>
    <row r="29" spans="1:42" x14ac:dyDescent="0.25">
      <c r="A29" s="18">
        <f>A28+1</f>
        <v>12</v>
      </c>
      <c r="B29" s="18" t="s">
        <v>458</v>
      </c>
      <c r="D29" s="24">
        <f>SUM(F29:U29)</f>
        <v>1</v>
      </c>
      <c r="E29" s="17"/>
      <c r="F29" s="24">
        <f>IFERROR(F28/$D28,0)</f>
        <v>0.71881449397280306</v>
      </c>
      <c r="G29" s="24">
        <f>IFERROR(G28/$D28,0)</f>
        <v>0.21130374405431027</v>
      </c>
      <c r="H29" s="24">
        <f>IFERROR(H28/$D28,0)</f>
        <v>3.6471954669530876E-2</v>
      </c>
      <c r="I29" s="24"/>
      <c r="J29" s="24"/>
      <c r="K29" s="24">
        <f t="shared" ref="K29:U29" si="5">IFERROR(K28/$D28,0)</f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4">
        <f t="shared" si="5"/>
        <v>0</v>
      </c>
      <c r="Q29" s="24">
        <f t="shared" si="5"/>
        <v>0</v>
      </c>
      <c r="R29" s="24">
        <f t="shared" si="5"/>
        <v>0</v>
      </c>
      <c r="S29" s="24">
        <f t="shared" si="5"/>
        <v>3.3409807303355812E-2</v>
      </c>
      <c r="T29" s="24">
        <f t="shared" si="5"/>
        <v>0</v>
      </c>
      <c r="U29" s="24">
        <f t="shared" si="5"/>
        <v>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x14ac:dyDescent="0.25"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</row>
    <row r="31" spans="1:42" x14ac:dyDescent="0.25">
      <c r="A31" s="18">
        <f>A29+1</f>
        <v>13</v>
      </c>
      <c r="B31" s="18"/>
      <c r="C31" s="18" t="s">
        <v>166</v>
      </c>
      <c r="D31" s="8">
        <f>SUM(F31:U31)</f>
        <v>0</v>
      </c>
      <c r="F31" s="20">
        <v>0</v>
      </c>
      <c r="G31" s="20">
        <v>0</v>
      </c>
      <c r="H31" s="20">
        <v>0</v>
      </c>
      <c r="I31" s="20"/>
      <c r="J31" s="20"/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</row>
    <row r="32" spans="1:42" x14ac:dyDescent="0.25">
      <c r="A32" s="18">
        <f>A31+1</f>
        <v>14</v>
      </c>
      <c r="B32" s="18" t="s">
        <v>456</v>
      </c>
      <c r="D32" s="24">
        <f>SUM(F32:U32)</f>
        <v>0</v>
      </c>
      <c r="E32" s="17"/>
      <c r="F32" s="24">
        <f>IFERROR(F31/$D31,0)</f>
        <v>0</v>
      </c>
      <c r="G32" s="24">
        <f>IFERROR(G31/$D31,0)</f>
        <v>0</v>
      </c>
      <c r="H32" s="24">
        <f>IFERROR(H31/$D31,0)</f>
        <v>0</v>
      </c>
      <c r="I32" s="24"/>
      <c r="J32" s="24"/>
      <c r="K32" s="24">
        <f t="shared" ref="K32:U32" si="6">IFERROR(K31/$D31,0)</f>
        <v>0</v>
      </c>
      <c r="L32" s="24">
        <f t="shared" si="6"/>
        <v>0</v>
      </c>
      <c r="M32" s="24">
        <f t="shared" si="6"/>
        <v>0</v>
      </c>
      <c r="N32" s="24">
        <f t="shared" si="6"/>
        <v>0</v>
      </c>
      <c r="O32" s="24">
        <f t="shared" si="6"/>
        <v>0</v>
      </c>
      <c r="P32" s="24">
        <f t="shared" si="6"/>
        <v>0</v>
      </c>
      <c r="Q32" s="24">
        <f t="shared" si="6"/>
        <v>0</v>
      </c>
      <c r="R32" s="24">
        <f t="shared" si="6"/>
        <v>0</v>
      </c>
      <c r="S32" s="24">
        <f t="shared" si="6"/>
        <v>0</v>
      </c>
      <c r="T32" s="24">
        <f t="shared" si="6"/>
        <v>0</v>
      </c>
      <c r="U32" s="24">
        <f t="shared" si="6"/>
        <v>0</v>
      </c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x14ac:dyDescent="0.25">
      <c r="B33" s="18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</row>
    <row r="34" spans="1:42" x14ac:dyDescent="0.25">
      <c r="A34" s="18">
        <f>A32+1</f>
        <v>15</v>
      </c>
      <c r="B34" s="18"/>
      <c r="C34" s="18" t="s">
        <v>166</v>
      </c>
      <c r="D34" s="8">
        <f>SUM(F34:U34)</f>
        <v>27530.517387322485</v>
      </c>
      <c r="F34" s="20">
        <v>19328.495657610147</v>
      </c>
      <c r="G34" s="20">
        <v>5834.3170792562087</v>
      </c>
      <c r="H34" s="20">
        <v>784.06346970137417</v>
      </c>
      <c r="I34" s="20"/>
      <c r="J34" s="20"/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1583.641180754754</v>
      </c>
      <c r="T34" s="20">
        <v>0</v>
      </c>
      <c r="U34" s="20">
        <v>0</v>
      </c>
    </row>
    <row r="35" spans="1:42" x14ac:dyDescent="0.25">
      <c r="A35" s="18">
        <f>A34+1</f>
        <v>16</v>
      </c>
      <c r="B35" s="18" t="s">
        <v>446</v>
      </c>
      <c r="C35" s="18"/>
      <c r="D35" s="24">
        <f>SUM(F35:U35)</f>
        <v>1</v>
      </c>
      <c r="E35" s="17"/>
      <c r="F35" s="24">
        <f>IFERROR(F34/$D34,0)</f>
        <v>0.70207527834223404</v>
      </c>
      <c r="G35" s="24">
        <f>IFERROR(G34/$D34,0)</f>
        <v>0.21192181015613062</v>
      </c>
      <c r="H35" s="24">
        <f>IFERROR(H34/$D34,0)</f>
        <v>2.8479794210566751E-2</v>
      </c>
      <c r="I35" s="24"/>
      <c r="J35" s="24"/>
      <c r="K35" s="24">
        <f t="shared" ref="K35:U35" si="7">IFERROR(K34/$D34,0)</f>
        <v>0</v>
      </c>
      <c r="L35" s="24">
        <f t="shared" si="7"/>
        <v>0</v>
      </c>
      <c r="M35" s="24">
        <f t="shared" si="7"/>
        <v>0</v>
      </c>
      <c r="N35" s="24">
        <f t="shared" si="7"/>
        <v>0</v>
      </c>
      <c r="O35" s="24">
        <f t="shared" si="7"/>
        <v>0</v>
      </c>
      <c r="P35" s="24">
        <f t="shared" si="7"/>
        <v>0</v>
      </c>
      <c r="Q35" s="24">
        <f t="shared" si="7"/>
        <v>0</v>
      </c>
      <c r="R35" s="24">
        <f t="shared" si="7"/>
        <v>0</v>
      </c>
      <c r="S35" s="24">
        <f t="shared" si="7"/>
        <v>5.7523117291068571E-2</v>
      </c>
      <c r="T35" s="24">
        <f t="shared" si="7"/>
        <v>0</v>
      </c>
      <c r="U35" s="24">
        <f t="shared" si="7"/>
        <v>0</v>
      </c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x14ac:dyDescent="0.25"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</row>
    <row r="37" spans="1:42" x14ac:dyDescent="0.25">
      <c r="A37" s="18">
        <f>A35+1</f>
        <v>17</v>
      </c>
      <c r="B37" s="18"/>
      <c r="C37" s="18" t="s">
        <v>166</v>
      </c>
      <c r="D37" s="8">
        <f>SUM(F37:U37)</f>
        <v>250.7566909636773</v>
      </c>
      <c r="E37" s="20"/>
      <c r="F37" s="20">
        <v>178.01094647549363</v>
      </c>
      <c r="G37" s="20">
        <v>53.732702415856231</v>
      </c>
      <c r="H37" s="20">
        <v>7.2210420723274424</v>
      </c>
      <c r="I37" s="20"/>
      <c r="J37" s="20"/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11.792000000000002</v>
      </c>
      <c r="T37" s="20">
        <v>0</v>
      </c>
      <c r="U37" s="20">
        <v>0</v>
      </c>
    </row>
    <row r="38" spans="1:42" x14ac:dyDescent="0.25">
      <c r="A38" s="18">
        <f>A37+1</f>
        <v>18</v>
      </c>
      <c r="B38" s="18" t="s">
        <v>447</v>
      </c>
      <c r="D38" s="24">
        <f>SUM(F38:U38)</f>
        <v>1</v>
      </c>
      <c r="E38" s="17"/>
      <c r="F38" s="24">
        <f>IFERROR(F37/$D37,0)</f>
        <v>0.70989510106942244</v>
      </c>
      <c r="G38" s="24">
        <f>IFERROR(G37/$D37,0)</f>
        <v>0.21428222796112564</v>
      </c>
      <c r="H38" s="24">
        <f>IFERROR(H37/$D37,0)</f>
        <v>2.8797006550758113E-2</v>
      </c>
      <c r="I38" s="24"/>
      <c r="J38" s="24"/>
      <c r="K38" s="24">
        <f t="shared" ref="K38:U38" si="8">IFERROR(K37/$D37,0)</f>
        <v>0</v>
      </c>
      <c r="L38" s="24">
        <f t="shared" si="8"/>
        <v>0</v>
      </c>
      <c r="M38" s="24">
        <f t="shared" si="8"/>
        <v>0</v>
      </c>
      <c r="N38" s="24">
        <f t="shared" si="8"/>
        <v>0</v>
      </c>
      <c r="O38" s="24">
        <f t="shared" si="8"/>
        <v>0</v>
      </c>
      <c r="P38" s="24">
        <f t="shared" si="8"/>
        <v>0</v>
      </c>
      <c r="Q38" s="24">
        <f t="shared" si="8"/>
        <v>0</v>
      </c>
      <c r="R38" s="24">
        <f t="shared" si="8"/>
        <v>0</v>
      </c>
      <c r="S38" s="24">
        <f t="shared" si="8"/>
        <v>4.7025664418693817E-2</v>
      </c>
      <c r="T38" s="24">
        <f t="shared" si="8"/>
        <v>0</v>
      </c>
      <c r="U38" s="24">
        <f t="shared" si="8"/>
        <v>0</v>
      </c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x14ac:dyDescent="0.25"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</row>
    <row r="40" spans="1:42" x14ac:dyDescent="0.25">
      <c r="A40" s="18">
        <f>A38+1</f>
        <v>19</v>
      </c>
      <c r="B40" s="18"/>
      <c r="C40" s="18" t="s">
        <v>166</v>
      </c>
      <c r="D40" s="8">
        <f>SUM(F40:U40)</f>
        <v>20129.451930563151</v>
      </c>
      <c r="F40" s="20">
        <v>14541.843779752859</v>
      </c>
      <c r="G40" s="20">
        <v>3826.5040911005112</v>
      </c>
      <c r="H40" s="20">
        <v>171.43029303256031</v>
      </c>
      <c r="I40" s="20"/>
      <c r="J40" s="20"/>
      <c r="K40" s="20">
        <v>0</v>
      </c>
      <c r="L40" s="20">
        <v>0</v>
      </c>
      <c r="M40" s="20">
        <v>668.30899289708304</v>
      </c>
      <c r="N40" s="20">
        <v>44.774622724371632</v>
      </c>
      <c r="O40" s="20">
        <v>520.78530917714136</v>
      </c>
      <c r="P40" s="20">
        <v>57.120642630988577</v>
      </c>
      <c r="Q40" s="20">
        <v>5.8124873994701574</v>
      </c>
      <c r="R40" s="20">
        <v>0</v>
      </c>
      <c r="S40" s="20">
        <v>292.87171184816259</v>
      </c>
      <c r="T40" s="20">
        <v>0</v>
      </c>
      <c r="U40" s="20">
        <v>0</v>
      </c>
    </row>
    <row r="41" spans="1:42" x14ac:dyDescent="0.25">
      <c r="A41" s="18">
        <f>A40+1</f>
        <v>20</v>
      </c>
      <c r="B41" s="18" t="s">
        <v>453</v>
      </c>
      <c r="D41" s="24">
        <f>SUM(F41:U41)</f>
        <v>0.99999999999999978</v>
      </c>
      <c r="E41" s="17"/>
      <c r="F41" s="24">
        <f>IFERROR(F40/$D40,0)</f>
        <v>0.72241627988259038</v>
      </c>
      <c r="G41" s="24">
        <f>IFERROR(G40/$D40,0)</f>
        <v>0.19009479762787854</v>
      </c>
      <c r="H41" s="24">
        <f>IFERROR(H40/$D40,0)</f>
        <v>8.5163914856654661E-3</v>
      </c>
      <c r="I41" s="24"/>
      <c r="J41" s="24"/>
      <c r="K41" s="24">
        <f t="shared" ref="K41:U41" si="9">IFERROR(K40/$D40,0)</f>
        <v>0</v>
      </c>
      <c r="L41" s="24">
        <f t="shared" si="9"/>
        <v>0</v>
      </c>
      <c r="M41" s="24">
        <f t="shared" si="9"/>
        <v>3.3200555842375891E-2</v>
      </c>
      <c r="N41" s="24">
        <f t="shared" si="9"/>
        <v>2.2243339202091725E-3</v>
      </c>
      <c r="O41" s="24">
        <f t="shared" si="9"/>
        <v>2.5871807686249887E-2</v>
      </c>
      <c r="P41" s="24">
        <f t="shared" si="9"/>
        <v>2.8376650704662549E-3</v>
      </c>
      <c r="Q41" s="24">
        <f t="shared" si="9"/>
        <v>2.8875537294907085E-4</v>
      </c>
      <c r="R41" s="24">
        <f t="shared" si="9"/>
        <v>0</v>
      </c>
      <c r="S41" s="24">
        <f t="shared" si="9"/>
        <v>1.4549413111615159E-2</v>
      </c>
      <c r="T41" s="24">
        <f t="shared" si="9"/>
        <v>0</v>
      </c>
      <c r="U41" s="24">
        <f t="shared" si="9"/>
        <v>0</v>
      </c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x14ac:dyDescent="0.25"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</row>
    <row r="43" spans="1:42" x14ac:dyDescent="0.25">
      <c r="A43" s="18">
        <f>A41+1</f>
        <v>21</v>
      </c>
      <c r="C43" s="18" t="s">
        <v>166</v>
      </c>
      <c r="D43" s="8">
        <f>SUM(F43:U43)</f>
        <v>0</v>
      </c>
      <c r="F43" s="20">
        <v>0</v>
      </c>
      <c r="G43" s="20">
        <v>0</v>
      </c>
      <c r="H43" s="20">
        <v>0</v>
      </c>
      <c r="I43" s="20"/>
      <c r="J43" s="20"/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</row>
    <row r="44" spans="1:42" x14ac:dyDescent="0.25">
      <c r="A44" s="18">
        <f>A43+1</f>
        <v>22</v>
      </c>
      <c r="B44" s="18" t="s">
        <v>460</v>
      </c>
      <c r="D44" s="24">
        <f>SUM(F44:U44)</f>
        <v>0</v>
      </c>
      <c r="E44" s="17"/>
      <c r="F44" s="24">
        <f>IFERROR(F43/$D43,0)</f>
        <v>0</v>
      </c>
      <c r="G44" s="24">
        <f>IFERROR(G43/$D43,0)</f>
        <v>0</v>
      </c>
      <c r="H44" s="24">
        <f>IFERROR(H43/$D43,0)</f>
        <v>0</v>
      </c>
      <c r="I44" s="24"/>
      <c r="J44" s="24"/>
      <c r="K44" s="24">
        <f t="shared" ref="K44:U44" si="10">IFERROR(K43/$D43,0)</f>
        <v>0</v>
      </c>
      <c r="L44" s="24">
        <f t="shared" si="10"/>
        <v>0</v>
      </c>
      <c r="M44" s="24">
        <f t="shared" si="10"/>
        <v>0</v>
      </c>
      <c r="N44" s="24">
        <f t="shared" si="10"/>
        <v>0</v>
      </c>
      <c r="O44" s="24">
        <f t="shared" si="10"/>
        <v>0</v>
      </c>
      <c r="P44" s="24">
        <f t="shared" si="10"/>
        <v>0</v>
      </c>
      <c r="Q44" s="24">
        <f t="shared" si="10"/>
        <v>0</v>
      </c>
      <c r="R44" s="24">
        <f t="shared" si="10"/>
        <v>0</v>
      </c>
      <c r="S44" s="24">
        <f t="shared" si="10"/>
        <v>0</v>
      </c>
      <c r="T44" s="24">
        <f t="shared" si="10"/>
        <v>0</v>
      </c>
      <c r="U44" s="24">
        <f t="shared" si="10"/>
        <v>0</v>
      </c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</row>
    <row r="45" spans="1:42" x14ac:dyDescent="0.25"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</row>
    <row r="46" spans="1:42" x14ac:dyDescent="0.25">
      <c r="A46" s="18">
        <f>A44+1</f>
        <v>23</v>
      </c>
      <c r="B46" s="18"/>
      <c r="C46" s="18" t="s">
        <v>166</v>
      </c>
      <c r="D46" s="8">
        <f>SUM(F46:U46)</f>
        <v>5.2202508915313111</v>
      </c>
      <c r="F46" s="20">
        <v>3.7708065886257338</v>
      </c>
      <c r="G46" s="20">
        <v>1.1084717363968817</v>
      </c>
      <c r="H46" s="20">
        <v>0.17795681789024934</v>
      </c>
      <c r="I46" s="20"/>
      <c r="J46" s="20"/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0.16301574861844625</v>
      </c>
      <c r="T46" s="20">
        <v>0</v>
      </c>
      <c r="U46" s="20">
        <v>0</v>
      </c>
    </row>
    <row r="47" spans="1:42" x14ac:dyDescent="0.25">
      <c r="A47" s="18">
        <f>A46+1</f>
        <v>24</v>
      </c>
      <c r="B47" s="18" t="s">
        <v>457</v>
      </c>
      <c r="D47" s="24">
        <f>SUM(F47:U47)</f>
        <v>1</v>
      </c>
      <c r="E47" s="17"/>
      <c r="F47" s="24">
        <f>IFERROR(F46/$D46,0)</f>
        <v>0.72234202282174287</v>
      </c>
      <c r="G47" s="24">
        <f>IFERROR(G46/$D46,0)</f>
        <v>0.21234070151592313</v>
      </c>
      <c r="H47" s="24">
        <f>IFERROR(H46/$D46,0)</f>
        <v>3.4089705952436967E-2</v>
      </c>
      <c r="I47" s="24"/>
      <c r="J47" s="24"/>
      <c r="K47" s="24">
        <f t="shared" ref="K47:U47" si="11">IFERROR(K46/$D46,0)</f>
        <v>0</v>
      </c>
      <c r="L47" s="24">
        <f t="shared" si="11"/>
        <v>0</v>
      </c>
      <c r="M47" s="24">
        <f t="shared" si="11"/>
        <v>0</v>
      </c>
      <c r="N47" s="24">
        <f t="shared" si="11"/>
        <v>0</v>
      </c>
      <c r="O47" s="24">
        <f t="shared" si="11"/>
        <v>0</v>
      </c>
      <c r="P47" s="24">
        <f t="shared" si="11"/>
        <v>0</v>
      </c>
      <c r="Q47" s="24">
        <f t="shared" si="11"/>
        <v>0</v>
      </c>
      <c r="R47" s="24">
        <f t="shared" si="11"/>
        <v>0</v>
      </c>
      <c r="S47" s="24">
        <f t="shared" si="11"/>
        <v>3.1227569709897054E-2</v>
      </c>
      <c r="T47" s="24">
        <f t="shared" si="11"/>
        <v>0</v>
      </c>
      <c r="U47" s="24">
        <f t="shared" si="11"/>
        <v>0</v>
      </c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x14ac:dyDescent="0.25"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</row>
    <row r="49" spans="1:42" x14ac:dyDescent="0.25">
      <c r="A49" s="18">
        <f>A47+1</f>
        <v>25</v>
      </c>
      <c r="C49" s="18" t="s">
        <v>166</v>
      </c>
      <c r="D49" s="8">
        <f>SUM(F49:U49)</f>
        <v>0</v>
      </c>
      <c r="F49" s="20">
        <v>0</v>
      </c>
      <c r="G49" s="20">
        <v>0</v>
      </c>
      <c r="H49" s="20">
        <v>0</v>
      </c>
      <c r="I49" s="20"/>
      <c r="J49" s="20"/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</row>
    <row r="50" spans="1:42" x14ac:dyDescent="0.25">
      <c r="A50" s="18">
        <f>A49+1</f>
        <v>26</v>
      </c>
      <c r="B50" s="18" t="s">
        <v>461</v>
      </c>
      <c r="D50" s="24">
        <f>SUM(F50:U50)</f>
        <v>0</v>
      </c>
      <c r="E50" s="17"/>
      <c r="F50" s="24">
        <f>IFERROR(F49/$D49,0)</f>
        <v>0</v>
      </c>
      <c r="G50" s="24">
        <f>IFERROR(G49/$D49,0)</f>
        <v>0</v>
      </c>
      <c r="H50" s="24">
        <f>IFERROR(H49/$D49,0)</f>
        <v>0</v>
      </c>
      <c r="I50" s="24"/>
      <c r="J50" s="24"/>
      <c r="K50" s="24">
        <f t="shared" ref="K50:U50" si="12">IFERROR(K49/$D49,0)</f>
        <v>0</v>
      </c>
      <c r="L50" s="24">
        <f t="shared" si="12"/>
        <v>0</v>
      </c>
      <c r="M50" s="24">
        <f t="shared" si="12"/>
        <v>0</v>
      </c>
      <c r="N50" s="24">
        <f t="shared" si="12"/>
        <v>0</v>
      </c>
      <c r="O50" s="24">
        <f t="shared" si="12"/>
        <v>0</v>
      </c>
      <c r="P50" s="24">
        <f t="shared" si="12"/>
        <v>0</v>
      </c>
      <c r="Q50" s="24">
        <f t="shared" si="12"/>
        <v>0</v>
      </c>
      <c r="R50" s="24">
        <f t="shared" si="12"/>
        <v>0</v>
      </c>
      <c r="S50" s="24">
        <f t="shared" si="12"/>
        <v>0</v>
      </c>
      <c r="T50" s="24">
        <f t="shared" si="12"/>
        <v>0</v>
      </c>
      <c r="U50" s="24">
        <f t="shared" si="12"/>
        <v>0</v>
      </c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</row>
    <row r="51" spans="1:42" x14ac:dyDescent="0.25"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</row>
    <row r="52" spans="1:42" x14ac:dyDescent="0.25">
      <c r="A52" s="18">
        <f>A50+1</f>
        <v>27</v>
      </c>
      <c r="B52" s="18"/>
      <c r="C52" s="18" t="s">
        <v>166</v>
      </c>
      <c r="D52" s="8">
        <f>SUM(F52:U52)</f>
        <v>12515.711678418889</v>
      </c>
      <c r="F52" s="20">
        <v>9298.5635902214344</v>
      </c>
      <c r="G52" s="20">
        <v>1975.5754233425926</v>
      </c>
      <c r="H52" s="20">
        <v>258.9666648548631</v>
      </c>
      <c r="I52" s="20"/>
      <c r="J52" s="20"/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982.60599999999999</v>
      </c>
      <c r="T52" s="20">
        <v>0</v>
      </c>
      <c r="U52" s="20">
        <v>0</v>
      </c>
    </row>
    <row r="53" spans="1:42" x14ac:dyDescent="0.25">
      <c r="A53" s="18">
        <f>A52+1</f>
        <v>28</v>
      </c>
      <c r="B53" s="18" t="s">
        <v>452</v>
      </c>
      <c r="D53" s="24">
        <f>SUM(F53:U53)</f>
        <v>1</v>
      </c>
      <c r="E53" s="17"/>
      <c r="F53" s="24">
        <f>IFERROR(F52/$D52,0)</f>
        <v>0.74295124633265142</v>
      </c>
      <c r="G53" s="24">
        <f>IFERROR(G52/$D52,0)</f>
        <v>0.15784762977155503</v>
      </c>
      <c r="H53" s="24">
        <f>IFERROR(H52/$D52,0)</f>
        <v>2.0691325552138189E-2</v>
      </c>
      <c r="I53" s="24"/>
      <c r="J53" s="24"/>
      <c r="K53" s="24">
        <f t="shared" ref="K53:U53" si="13">IFERROR(K52/$D52,0)</f>
        <v>0</v>
      </c>
      <c r="L53" s="24">
        <f t="shared" si="13"/>
        <v>0</v>
      </c>
      <c r="M53" s="24">
        <f t="shared" si="13"/>
        <v>0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4">
        <f t="shared" si="13"/>
        <v>0</v>
      </c>
      <c r="R53" s="24">
        <f t="shared" si="13"/>
        <v>0</v>
      </c>
      <c r="S53" s="24">
        <f t="shared" si="13"/>
        <v>7.8509798343655415E-2</v>
      </c>
      <c r="T53" s="24">
        <f t="shared" si="13"/>
        <v>0</v>
      </c>
      <c r="U53" s="24">
        <f t="shared" si="13"/>
        <v>0</v>
      </c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x14ac:dyDescent="0.25">
      <c r="B54" s="18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</row>
    <row r="55" spans="1:42" x14ac:dyDescent="0.25">
      <c r="A55" s="18">
        <f>A53+1</f>
        <v>29</v>
      </c>
      <c r="B55" s="18"/>
      <c r="C55" s="18" t="s">
        <v>166</v>
      </c>
      <c r="D55" s="8">
        <f>SUM(F55:U55)</f>
        <v>349.6768351697288</v>
      </c>
      <c r="F55" s="20">
        <v>248.64478866956921</v>
      </c>
      <c r="G55" s="20">
        <v>72.285819403445501</v>
      </c>
      <c r="H55" s="20">
        <v>18.712548888059068</v>
      </c>
      <c r="I55" s="20"/>
      <c r="J55" s="20"/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1.9392751403702597</v>
      </c>
      <c r="R55" s="20">
        <v>0</v>
      </c>
      <c r="S55" s="20">
        <v>8.0944030682847483</v>
      </c>
      <c r="T55" s="20">
        <v>0</v>
      </c>
      <c r="U55" s="20">
        <v>0</v>
      </c>
      <c r="W55" s="61"/>
      <c r="Y55" s="61"/>
      <c r="AA55" s="61"/>
      <c r="AB55" s="61"/>
      <c r="AD55" s="61"/>
      <c r="AF55" s="61"/>
      <c r="AG55" s="61"/>
      <c r="AH55" s="61"/>
      <c r="AI55" s="61"/>
      <c r="AJ55" s="61"/>
    </row>
    <row r="56" spans="1:42" x14ac:dyDescent="0.25">
      <c r="A56" s="18">
        <f>A55+1</f>
        <v>30</v>
      </c>
      <c r="B56" s="18" t="s">
        <v>454</v>
      </c>
      <c r="D56" s="24">
        <f>SUM(F56:U56)</f>
        <v>1</v>
      </c>
      <c r="E56" s="17"/>
      <c r="F56" s="24">
        <f>IFERROR(F55/$D55,0)</f>
        <v>0.71107023303067851</v>
      </c>
      <c r="G56" s="24">
        <f>IFERROR(G55/$D55,0)</f>
        <v>0.20672178461109345</v>
      </c>
      <c r="H56" s="24">
        <f>IFERROR(H55/$D55,0)</f>
        <v>5.3513836222454453E-2</v>
      </c>
      <c r="I56" s="24"/>
      <c r="J56" s="24"/>
      <c r="K56" s="24">
        <f t="shared" ref="K56:U56" si="14">IFERROR(K55/$D55,0)</f>
        <v>0</v>
      </c>
      <c r="L56" s="24">
        <f t="shared" si="14"/>
        <v>0</v>
      </c>
      <c r="M56" s="24">
        <f t="shared" si="14"/>
        <v>0</v>
      </c>
      <c r="N56" s="24">
        <f t="shared" si="14"/>
        <v>0</v>
      </c>
      <c r="O56" s="24">
        <f t="shared" si="14"/>
        <v>0</v>
      </c>
      <c r="P56" s="24">
        <f t="shared" si="14"/>
        <v>0</v>
      </c>
      <c r="Q56" s="24">
        <f t="shared" si="14"/>
        <v>5.5459068068634274E-3</v>
      </c>
      <c r="R56" s="24">
        <f t="shared" si="14"/>
        <v>0</v>
      </c>
      <c r="S56" s="24">
        <f t="shared" si="14"/>
        <v>2.314823932891015E-2</v>
      </c>
      <c r="T56" s="24">
        <f t="shared" si="14"/>
        <v>0</v>
      </c>
      <c r="U56" s="24">
        <f t="shared" si="14"/>
        <v>0</v>
      </c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x14ac:dyDescent="0.25"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</row>
    <row r="58" spans="1:42" x14ac:dyDescent="0.25">
      <c r="A58" s="18">
        <f>A56+1</f>
        <v>31</v>
      </c>
      <c r="B58" s="18"/>
      <c r="C58" s="18" t="s">
        <v>166</v>
      </c>
      <c r="D58" s="8">
        <f>SUM(F58:U58)</f>
        <v>783201.52561341657</v>
      </c>
      <c r="F58" s="20">
        <v>657818.04006491671</v>
      </c>
      <c r="G58" s="20">
        <v>108864.11304811988</v>
      </c>
      <c r="H58" s="20">
        <v>11031.058960020002</v>
      </c>
      <c r="I58" s="20"/>
      <c r="J58" s="20"/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5488.3135403600008</v>
      </c>
      <c r="R58" s="20">
        <v>0</v>
      </c>
      <c r="S58" s="20">
        <v>0</v>
      </c>
      <c r="T58" s="20">
        <v>0</v>
      </c>
      <c r="U58" s="20">
        <v>0</v>
      </c>
    </row>
    <row r="59" spans="1:42" x14ac:dyDescent="0.25">
      <c r="A59" s="18">
        <f>A58+1</f>
        <v>32</v>
      </c>
      <c r="B59" s="18" t="s">
        <v>445</v>
      </c>
      <c r="D59" s="24">
        <f>SUM(F59:U59)</f>
        <v>1</v>
      </c>
      <c r="E59" s="17"/>
      <c r="F59" s="24">
        <f>IFERROR(F58/$D58,0)</f>
        <v>0.83990903816192464</v>
      </c>
      <c r="G59" s="24">
        <f>IFERROR(G58/$D58,0)</f>
        <v>0.13899885213177499</v>
      </c>
      <c r="H59" s="24">
        <f>IFERROR(H58/$D58,0)</f>
        <v>1.4084572870795025E-2</v>
      </c>
      <c r="I59" s="24"/>
      <c r="J59" s="24"/>
      <c r="K59" s="24">
        <f t="shared" ref="K59:U59" si="15">IFERROR(K58/$D58,0)</f>
        <v>0</v>
      </c>
      <c r="L59" s="24">
        <f t="shared" si="15"/>
        <v>0</v>
      </c>
      <c r="M59" s="24">
        <f t="shared" si="15"/>
        <v>0</v>
      </c>
      <c r="N59" s="24">
        <f t="shared" si="15"/>
        <v>0</v>
      </c>
      <c r="O59" s="24">
        <f t="shared" si="15"/>
        <v>0</v>
      </c>
      <c r="P59" s="24">
        <f t="shared" si="15"/>
        <v>0</v>
      </c>
      <c r="Q59" s="24">
        <f t="shared" si="15"/>
        <v>7.0075368355053463E-3</v>
      </c>
      <c r="R59" s="24">
        <f t="shared" si="15"/>
        <v>0</v>
      </c>
      <c r="S59" s="24">
        <f t="shared" si="15"/>
        <v>0</v>
      </c>
      <c r="T59" s="24">
        <f t="shared" si="15"/>
        <v>0</v>
      </c>
      <c r="U59" s="24">
        <f t="shared" si="15"/>
        <v>0</v>
      </c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</row>
    <row r="60" spans="1:42" x14ac:dyDescent="0.25"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</row>
    <row r="61" spans="1:42" x14ac:dyDescent="0.25">
      <c r="A61" s="18">
        <f>A59+1</f>
        <v>33</v>
      </c>
      <c r="B61" s="18"/>
      <c r="C61" s="18" t="s">
        <v>166</v>
      </c>
      <c r="D61" s="8">
        <f>SUM(F61:U61)</f>
        <v>16638.49069545481</v>
      </c>
      <c r="F61" s="20">
        <v>11457.14486891719</v>
      </c>
      <c r="G61" s="20">
        <v>3330.8122374294485</v>
      </c>
      <c r="H61" s="20">
        <v>1550.2719396533112</v>
      </c>
      <c r="I61" s="20"/>
      <c r="J61" s="20"/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82.197490049613307</v>
      </c>
      <c r="R61" s="20">
        <v>0</v>
      </c>
      <c r="S61" s="20">
        <v>218.0641594052459</v>
      </c>
      <c r="T61" s="20">
        <v>0</v>
      </c>
      <c r="U61" s="20">
        <v>0</v>
      </c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</row>
    <row r="62" spans="1:42" x14ac:dyDescent="0.25">
      <c r="A62" s="18">
        <f>A61+1</f>
        <v>34</v>
      </c>
      <c r="B62" s="18" t="s">
        <v>449</v>
      </c>
      <c r="D62" s="24">
        <f>SUM(F62:U62)</f>
        <v>0.99999999999999989</v>
      </c>
      <c r="E62" s="17"/>
      <c r="F62" s="24">
        <f>IFERROR(F61/$D61,0)</f>
        <v>0.68859279838687382</v>
      </c>
      <c r="G62" s="24">
        <f>IFERROR(G61/$D61,0)</f>
        <v>0.20018716230909919</v>
      </c>
      <c r="H62" s="24">
        <f>IFERROR(H61/$D61,0)</f>
        <v>9.3173832171977236E-2</v>
      </c>
      <c r="I62" s="24"/>
      <c r="J62" s="24"/>
      <c r="K62" s="24">
        <f t="shared" ref="K62:U62" si="16">IFERROR(K61/$D61,0)</f>
        <v>0</v>
      </c>
      <c r="L62" s="24">
        <f t="shared" si="16"/>
        <v>0</v>
      </c>
      <c r="M62" s="24">
        <f t="shared" si="16"/>
        <v>0</v>
      </c>
      <c r="N62" s="24">
        <f t="shared" si="16"/>
        <v>0</v>
      </c>
      <c r="O62" s="24">
        <f t="shared" si="16"/>
        <v>0</v>
      </c>
      <c r="P62" s="24">
        <f t="shared" si="16"/>
        <v>0</v>
      </c>
      <c r="Q62" s="24">
        <f t="shared" si="16"/>
        <v>4.9402011008166423E-3</v>
      </c>
      <c r="R62" s="24">
        <f t="shared" si="16"/>
        <v>0</v>
      </c>
      <c r="S62" s="24">
        <f t="shared" si="16"/>
        <v>1.3106006031233061E-2</v>
      </c>
      <c r="T62" s="24">
        <f t="shared" si="16"/>
        <v>0</v>
      </c>
      <c r="U62" s="24">
        <f t="shared" si="16"/>
        <v>0</v>
      </c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 x14ac:dyDescent="0.25">
      <c r="B63" s="18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</row>
    <row r="64" spans="1:42" x14ac:dyDescent="0.25">
      <c r="A64" s="18">
        <f>A62+1</f>
        <v>35</v>
      </c>
      <c r="B64" s="18"/>
      <c r="C64" s="18" t="s">
        <v>166</v>
      </c>
      <c r="D64" s="8">
        <f>SUM(F64:U64)</f>
        <v>2339.7639652520079</v>
      </c>
      <c r="F64" s="20">
        <v>1691.8809438838207</v>
      </c>
      <c r="G64" s="20">
        <v>491.86231095413473</v>
      </c>
      <c r="H64" s="20">
        <v>128.40281181297013</v>
      </c>
      <c r="I64" s="20"/>
      <c r="J64" s="20"/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13.313874692619001</v>
      </c>
      <c r="R64" s="20">
        <v>0</v>
      </c>
      <c r="S64" s="20">
        <v>14.304023908463686</v>
      </c>
      <c r="T64" s="20">
        <v>0</v>
      </c>
      <c r="U64" s="20">
        <v>0</v>
      </c>
    </row>
    <row r="65" spans="1:42" x14ac:dyDescent="0.25">
      <c r="A65" s="18">
        <f>A64+1</f>
        <v>36</v>
      </c>
      <c r="B65" s="18" t="s">
        <v>450</v>
      </c>
      <c r="D65" s="24">
        <f>SUM(F65:U65)</f>
        <v>1.0000000000000002</v>
      </c>
      <c r="E65" s="17"/>
      <c r="F65" s="24">
        <f>IFERROR(F64/$D64,0)</f>
        <v>0.7230989830641289</v>
      </c>
      <c r="G65" s="24">
        <f>IFERROR(G64/$D64,0)</f>
        <v>0.21021877345698756</v>
      </c>
      <c r="H65" s="24">
        <f>IFERROR(H64/$D64,0)</f>
        <v>5.4878532074127531E-2</v>
      </c>
      <c r="I65" s="24"/>
      <c r="J65" s="24"/>
      <c r="K65" s="24">
        <f t="shared" ref="K65:U65" si="17">IFERROR(K64/$D64,0)</f>
        <v>0</v>
      </c>
      <c r="L65" s="24">
        <f t="shared" si="17"/>
        <v>0</v>
      </c>
      <c r="M65" s="24">
        <f t="shared" si="17"/>
        <v>0</v>
      </c>
      <c r="N65" s="24">
        <f t="shared" si="17"/>
        <v>0</v>
      </c>
      <c r="O65" s="24">
        <f t="shared" si="17"/>
        <v>0</v>
      </c>
      <c r="P65" s="24">
        <f t="shared" si="17"/>
        <v>0</v>
      </c>
      <c r="Q65" s="24">
        <f t="shared" si="17"/>
        <v>5.6902640139536503E-3</v>
      </c>
      <c r="R65" s="24">
        <f t="shared" si="17"/>
        <v>0</v>
      </c>
      <c r="S65" s="24">
        <f t="shared" si="17"/>
        <v>6.1134473908025372E-3</v>
      </c>
      <c r="T65" s="24">
        <f t="shared" si="17"/>
        <v>0</v>
      </c>
      <c r="U65" s="24">
        <f t="shared" si="17"/>
        <v>0</v>
      </c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spans="1:42" x14ac:dyDescent="0.25"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</row>
    <row r="67" spans="1:42" x14ac:dyDescent="0.25">
      <c r="A67" s="18">
        <f>A65+1</f>
        <v>37</v>
      </c>
      <c r="B67" s="18"/>
      <c r="C67" s="18" t="s">
        <v>166</v>
      </c>
      <c r="D67" s="8">
        <f>SUM(F67:U67)</f>
        <v>17.110498215924931</v>
      </c>
      <c r="F67" s="20">
        <v>12.27757964030023</v>
      </c>
      <c r="G67" s="20">
        <v>3.5693283954950594</v>
      </c>
      <c r="H67" s="20">
        <v>0.93170411673200826</v>
      </c>
      <c r="I67" s="20"/>
      <c r="J67" s="20"/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9.6606855269537953E-2</v>
      </c>
      <c r="R67" s="20">
        <v>0</v>
      </c>
      <c r="S67" s="20">
        <v>0.23527920812809608</v>
      </c>
      <c r="T67" s="20">
        <v>0</v>
      </c>
      <c r="U67" s="20">
        <v>0</v>
      </c>
    </row>
    <row r="68" spans="1:42" x14ac:dyDescent="0.25">
      <c r="A68" s="18">
        <f>A67+1</f>
        <v>38</v>
      </c>
      <c r="B68" s="18" t="s">
        <v>463</v>
      </c>
      <c r="D68" s="24">
        <f>SUM(F68:U68)</f>
        <v>1</v>
      </c>
      <c r="E68" s="17"/>
      <c r="F68" s="24">
        <f>IFERROR(F67/$D67,0)</f>
        <v>0.71754658954777539</v>
      </c>
      <c r="G68" s="24">
        <f>IFERROR(G67/$D67,0)</f>
        <v>0.2086045859361971</v>
      </c>
      <c r="H68" s="24">
        <f>IFERROR(H67/$D67,0)</f>
        <v>5.4452190986751095E-2</v>
      </c>
      <c r="I68" s="24"/>
      <c r="J68" s="24"/>
      <c r="K68" s="24">
        <f t="shared" ref="K68:U68" si="18">IFERROR(K67/$D67,0)</f>
        <v>0</v>
      </c>
      <c r="L68" s="24">
        <f t="shared" si="18"/>
        <v>0</v>
      </c>
      <c r="M68" s="24">
        <f t="shared" si="18"/>
        <v>0</v>
      </c>
      <c r="N68" s="24">
        <f t="shared" si="18"/>
        <v>0</v>
      </c>
      <c r="O68" s="24">
        <f t="shared" si="18"/>
        <v>0</v>
      </c>
      <c r="P68" s="24">
        <f t="shared" si="18"/>
        <v>0</v>
      </c>
      <c r="Q68" s="24">
        <f t="shared" si="18"/>
        <v>5.6460574116786897E-3</v>
      </c>
      <c r="R68" s="24">
        <f t="shared" si="18"/>
        <v>0</v>
      </c>
      <c r="S68" s="24">
        <f t="shared" si="18"/>
        <v>1.3750576117597739E-2</v>
      </c>
      <c r="T68" s="24">
        <f t="shared" si="18"/>
        <v>0</v>
      </c>
      <c r="U68" s="24">
        <f t="shared" si="18"/>
        <v>0</v>
      </c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spans="1:42" x14ac:dyDescent="0.25"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</row>
    <row r="70" spans="1:42" x14ac:dyDescent="0.25"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</row>
    <row r="71" spans="1:42" x14ac:dyDescent="0.25"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</row>
    <row r="72" spans="1:42" x14ac:dyDescent="0.25"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</row>
    <row r="73" spans="1:42" x14ac:dyDescent="0.25"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</row>
    <row r="74" spans="1:42" x14ac:dyDescent="0.25"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</row>
    <row r="75" spans="1:42" x14ac:dyDescent="0.25"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</row>
    <row r="76" spans="1:42" x14ac:dyDescent="0.25"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</row>
    <row r="77" spans="1:42" x14ac:dyDescent="0.25"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</row>
    <row r="78" spans="1:42" x14ac:dyDescent="0.25"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</row>
    <row r="79" spans="1:42" x14ac:dyDescent="0.25">
      <c r="B79" s="18"/>
      <c r="C79" s="18"/>
      <c r="D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1:42" x14ac:dyDescent="0.25">
      <c r="B80" s="18"/>
      <c r="D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spans="2:42" x14ac:dyDescent="0.25">
      <c r="C81" s="18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</row>
    <row r="82" spans="2:42" x14ac:dyDescent="0.25">
      <c r="B82" s="18"/>
      <c r="D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 spans="2:42" x14ac:dyDescent="0.25">
      <c r="B83" s="18"/>
      <c r="D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spans="2:42" x14ac:dyDescent="0.25"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</row>
    <row r="85" spans="2:42" x14ac:dyDescent="0.25">
      <c r="B85" s="18"/>
      <c r="C85" s="18"/>
      <c r="D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 spans="2:42" x14ac:dyDescent="0.25">
      <c r="B86" s="18"/>
      <c r="D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spans="2:42" x14ac:dyDescent="0.25">
      <c r="B87" s="18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</row>
    <row r="88" spans="2:42" x14ac:dyDescent="0.25">
      <c r="B88" s="18"/>
      <c r="C88" s="18"/>
      <c r="D88" s="8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</row>
    <row r="89" spans="2:42" x14ac:dyDescent="0.25">
      <c r="B89" s="18"/>
      <c r="D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spans="2:42" x14ac:dyDescent="0.25"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</row>
    <row r="91" spans="2:42" x14ac:dyDescent="0.25">
      <c r="B91" s="18"/>
      <c r="C91" s="18"/>
      <c r="D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2:42" x14ac:dyDescent="0.25">
      <c r="B92" s="18"/>
      <c r="D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spans="2:42" x14ac:dyDescent="0.25">
      <c r="C93" s="18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</row>
    <row r="94" spans="2:42" x14ac:dyDescent="0.25">
      <c r="B94" s="18"/>
      <c r="C94" s="18"/>
      <c r="D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2:42" x14ac:dyDescent="0.25">
      <c r="B95" s="18"/>
      <c r="C95" s="18"/>
      <c r="D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spans="2:42" x14ac:dyDescent="0.25"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</row>
    <row r="97" spans="2:42" x14ac:dyDescent="0.25">
      <c r="B97" s="18"/>
      <c r="C97" s="18"/>
      <c r="D97" s="8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2:42" x14ac:dyDescent="0.25">
      <c r="B98" s="18"/>
      <c r="D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spans="2:42" x14ac:dyDescent="0.25"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</row>
    <row r="100" spans="2:42" x14ac:dyDescent="0.25">
      <c r="B100" s="18"/>
      <c r="C100" s="18"/>
      <c r="D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2:42" x14ac:dyDescent="0.25">
      <c r="B101" s="18"/>
      <c r="D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</row>
    <row r="102" spans="2:42" x14ac:dyDescent="0.25"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</row>
    <row r="103" spans="2:42" x14ac:dyDescent="0.25">
      <c r="B103" s="18"/>
      <c r="C103" s="18"/>
      <c r="D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2:42" x14ac:dyDescent="0.25">
      <c r="B104" s="18"/>
      <c r="D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2:42" x14ac:dyDescent="0.25"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</row>
    <row r="106" spans="2:42" x14ac:dyDescent="0.25">
      <c r="B106" s="18"/>
      <c r="C106" s="18"/>
      <c r="D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2:42" x14ac:dyDescent="0.25">
      <c r="B107" s="18"/>
      <c r="D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spans="2:42" x14ac:dyDescent="0.25"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</row>
    <row r="109" spans="2:42" x14ac:dyDescent="0.25">
      <c r="B109" s="18"/>
      <c r="C109" s="18"/>
      <c r="D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2:42" x14ac:dyDescent="0.25">
      <c r="B110" s="18"/>
      <c r="D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spans="2:42" x14ac:dyDescent="0.25">
      <c r="B111" s="18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</row>
    <row r="112" spans="2:42" x14ac:dyDescent="0.25">
      <c r="B112" s="18"/>
      <c r="C112" s="18"/>
      <c r="D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2:42" x14ac:dyDescent="0.25">
      <c r="B113" s="18"/>
      <c r="D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2:42" x14ac:dyDescent="0.25">
      <c r="B114" s="18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</row>
    <row r="115" spans="2:42" x14ac:dyDescent="0.25">
      <c r="B115" s="18"/>
      <c r="C115" s="18"/>
      <c r="D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</row>
    <row r="116" spans="2:42" x14ac:dyDescent="0.25">
      <c r="B116" s="18"/>
      <c r="D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2:42" x14ac:dyDescent="0.25">
      <c r="B117" s="18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</row>
    <row r="118" spans="2:42" x14ac:dyDescent="0.25">
      <c r="B118" s="18"/>
      <c r="C118" s="18"/>
      <c r="D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</row>
    <row r="119" spans="2:42" x14ac:dyDescent="0.25">
      <c r="B119" s="18"/>
      <c r="D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spans="2:42" x14ac:dyDescent="0.25">
      <c r="B120" s="18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</row>
    <row r="121" spans="2:42" x14ac:dyDescent="0.25">
      <c r="B121" s="18"/>
      <c r="C121" s="18"/>
      <c r="D121" s="8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2:42" x14ac:dyDescent="0.25">
      <c r="B122" s="18"/>
      <c r="C122" s="18"/>
      <c r="D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spans="2:42" x14ac:dyDescent="0.25">
      <c r="B123" s="18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</row>
    <row r="124" spans="2:42" x14ac:dyDescent="0.25">
      <c r="B124" s="18"/>
      <c r="C124" s="18"/>
      <c r="D124" s="8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2:42" x14ac:dyDescent="0.25">
      <c r="B125" s="18"/>
      <c r="D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2:42" x14ac:dyDescent="0.25">
      <c r="B126" s="18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</row>
    <row r="127" spans="2:42" x14ac:dyDescent="0.25">
      <c r="B127" s="18"/>
      <c r="C127" s="18"/>
      <c r="D127" s="8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2:42" x14ac:dyDescent="0.25">
      <c r="B128" s="18"/>
      <c r="D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</row>
    <row r="129" spans="2:42" x14ac:dyDescent="0.25">
      <c r="B129" s="18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</row>
    <row r="130" spans="2:42" x14ac:dyDescent="0.25">
      <c r="B130" s="18"/>
      <c r="C130" s="18"/>
      <c r="D130" s="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2:42" x14ac:dyDescent="0.25">
      <c r="B131" s="18"/>
      <c r="D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spans="2:42" x14ac:dyDescent="0.25">
      <c r="B132" s="18"/>
    </row>
    <row r="133" spans="2:42" x14ac:dyDescent="0.25">
      <c r="B133" s="18"/>
      <c r="C133" s="18"/>
      <c r="D133" s="8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2:42" x14ac:dyDescent="0.25">
      <c r="B134" s="18"/>
      <c r="D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2:42" x14ac:dyDescent="0.25">
      <c r="B135" s="18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</row>
    <row r="136" spans="2:42" x14ac:dyDescent="0.25">
      <c r="B136" s="18"/>
      <c r="C136" s="18"/>
      <c r="D136" s="8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2:42" x14ac:dyDescent="0.25">
      <c r="B137" s="18"/>
      <c r="D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spans="2:42" x14ac:dyDescent="0.25">
      <c r="B138" s="18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</row>
    <row r="139" spans="2:42" x14ac:dyDescent="0.25">
      <c r="B139" s="18"/>
      <c r="C139" s="18"/>
      <c r="D139" s="8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2:42" x14ac:dyDescent="0.25">
      <c r="B140" s="18"/>
      <c r="D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2:42" x14ac:dyDescent="0.25">
      <c r="B141" s="18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</row>
    <row r="142" spans="2:42" x14ac:dyDescent="0.25">
      <c r="B142" s="18"/>
      <c r="C142" s="18"/>
      <c r="D142" s="8"/>
      <c r="F142" s="20"/>
      <c r="G142" s="20"/>
      <c r="H142" s="20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</row>
    <row r="143" spans="2:42" x14ac:dyDescent="0.25">
      <c r="B143" s="18"/>
      <c r="D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spans="2:42" x14ac:dyDescent="0.25">
      <c r="B144" s="18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</row>
    <row r="145" spans="2:42" x14ac:dyDescent="0.25">
      <c r="B145" s="18"/>
      <c r="C145" s="18"/>
      <c r="D145" s="8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2:42" x14ac:dyDescent="0.25">
      <c r="B146" s="18"/>
      <c r="D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</row>
    <row r="147" spans="2:42" x14ac:dyDescent="0.25">
      <c r="B147" s="18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</row>
    <row r="148" spans="2:42" x14ac:dyDescent="0.25">
      <c r="B148" s="18"/>
      <c r="C148" s="18"/>
      <c r="D148" s="8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2:42" x14ac:dyDescent="0.25">
      <c r="B149" s="18"/>
      <c r="D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spans="2:42" x14ac:dyDescent="0.25">
      <c r="B150" s="18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</row>
    <row r="151" spans="2:42" x14ac:dyDescent="0.25">
      <c r="B151" s="18"/>
      <c r="C151" s="18"/>
      <c r="D151" s="8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W151" s="61"/>
      <c r="Y151" s="61"/>
      <c r="AA151" s="61"/>
      <c r="AB151" s="61"/>
      <c r="AD151" s="61"/>
      <c r="AF151" s="61"/>
      <c r="AG151" s="61"/>
      <c r="AH151" s="61"/>
      <c r="AI151" s="61"/>
      <c r="AJ151" s="61"/>
    </row>
    <row r="152" spans="2:42" x14ac:dyDescent="0.25">
      <c r="B152" s="18"/>
      <c r="D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spans="2:42" x14ac:dyDescent="0.25">
      <c r="B153" s="18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</row>
    <row r="154" spans="2:42" x14ac:dyDescent="0.25">
      <c r="B154" s="18"/>
      <c r="C154" s="18"/>
      <c r="D154" s="8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2:42" x14ac:dyDescent="0.25">
      <c r="B155" s="18"/>
      <c r="D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</row>
    <row r="156" spans="2:42" x14ac:dyDescent="0.25">
      <c r="B156" s="18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</row>
    <row r="157" spans="2:42" x14ac:dyDescent="0.25">
      <c r="B157" s="18"/>
      <c r="C157" s="18"/>
      <c r="D157" s="8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 spans="2:42" x14ac:dyDescent="0.25">
      <c r="B158" s="18"/>
      <c r="D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</row>
    <row r="159" spans="2:42" x14ac:dyDescent="0.25">
      <c r="B159" s="18"/>
    </row>
    <row r="160" spans="2:42" x14ac:dyDescent="0.25">
      <c r="B160" s="18"/>
      <c r="C160" s="18"/>
      <c r="D160" s="8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 spans="2:42" x14ac:dyDescent="0.25">
      <c r="B161" s="18"/>
      <c r="D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spans="2:42" x14ac:dyDescent="0.25">
      <c r="B162" s="18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</row>
    <row r="163" spans="2:42" x14ac:dyDescent="0.25">
      <c r="B163" s="18"/>
      <c r="C163" s="18"/>
      <c r="D163" s="8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</row>
    <row r="164" spans="2:42" x14ac:dyDescent="0.25">
      <c r="B164" s="18"/>
      <c r="D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spans="2:42" x14ac:dyDescent="0.25">
      <c r="B165" s="18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</row>
    <row r="166" spans="2:42" x14ac:dyDescent="0.25">
      <c r="B166" s="18"/>
      <c r="C166" s="18"/>
      <c r="D166" s="8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2:42" x14ac:dyDescent="0.25">
      <c r="B167" s="18"/>
      <c r="D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spans="2:42" x14ac:dyDescent="0.25">
      <c r="B168" s="18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</row>
    <row r="169" spans="2:42" x14ac:dyDescent="0.25">
      <c r="B169" s="18"/>
      <c r="C169" s="18"/>
      <c r="D169" s="8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2:42" x14ac:dyDescent="0.25">
      <c r="B170" s="18"/>
      <c r="D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spans="2:42" x14ac:dyDescent="0.25">
      <c r="B171" s="18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</row>
    <row r="172" spans="2:42" x14ac:dyDescent="0.25">
      <c r="B172" s="18"/>
      <c r="C172" s="18"/>
      <c r="D172" s="8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</row>
    <row r="173" spans="2:42" x14ac:dyDescent="0.25">
      <c r="B173" s="18"/>
      <c r="D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spans="2:42" x14ac:dyDescent="0.25">
      <c r="B174" s="18"/>
    </row>
    <row r="175" spans="2:42" x14ac:dyDescent="0.25">
      <c r="B175" s="18"/>
      <c r="C175" s="18"/>
      <c r="D175" s="8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</row>
    <row r="176" spans="2:42" x14ac:dyDescent="0.25">
      <c r="B176" s="18"/>
      <c r="D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</row>
    <row r="177" spans="1:4" x14ac:dyDescent="0.25">
      <c r="B177" s="18"/>
    </row>
    <row r="181" spans="1:4" x14ac:dyDescent="0.25">
      <c r="A181" s="54"/>
    </row>
    <row r="182" spans="1:4" x14ac:dyDescent="0.25">
      <c r="A182" s="54"/>
    </row>
    <row r="184" spans="1:4" x14ac:dyDescent="0.25">
      <c r="A184" s="54"/>
    </row>
    <row r="185" spans="1:4" x14ac:dyDescent="0.25">
      <c r="A185" s="54"/>
    </row>
    <row r="187" spans="1:4" x14ac:dyDescent="0.25">
      <c r="A187" s="54"/>
    </row>
    <row r="188" spans="1:4" x14ac:dyDescent="0.25">
      <c r="A188" s="54"/>
    </row>
    <row r="190" spans="1:4" x14ac:dyDescent="0.25">
      <c r="A190" s="54"/>
    </row>
    <row r="191" spans="1:4" x14ac:dyDescent="0.25">
      <c r="A191" s="54"/>
    </row>
    <row r="192" spans="1:4" x14ac:dyDescent="0.25">
      <c r="B192" s="18"/>
      <c r="D192" s="17"/>
    </row>
    <row r="193" spans="1:21" x14ac:dyDescent="0.25">
      <c r="A193" s="54"/>
    </row>
    <row r="194" spans="1:21" x14ac:dyDescent="0.25">
      <c r="A194" s="54"/>
    </row>
    <row r="195" spans="1:21" x14ac:dyDescent="0.25">
      <c r="B195" s="120"/>
      <c r="D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S195" s="120"/>
      <c r="T195" s="120"/>
      <c r="U195" s="120"/>
    </row>
    <row r="196" spans="1:21" x14ac:dyDescent="0.25">
      <c r="A196" s="54"/>
    </row>
    <row r="197" spans="1:21" x14ac:dyDescent="0.25">
      <c r="A197" s="54"/>
    </row>
    <row r="198" spans="1:21" x14ac:dyDescent="0.25">
      <c r="B198" s="120"/>
      <c r="D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S198" s="120"/>
      <c r="T198" s="120"/>
      <c r="U198" s="120"/>
    </row>
    <row r="199" spans="1:21" x14ac:dyDescent="0.25">
      <c r="A199" s="54"/>
    </row>
    <row r="200" spans="1:21" x14ac:dyDescent="0.25">
      <c r="A200" s="54"/>
    </row>
    <row r="201" spans="1:21" x14ac:dyDescent="0.25">
      <c r="B201" s="120"/>
      <c r="D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S201" s="120"/>
      <c r="T201" s="120"/>
      <c r="U201" s="120"/>
    </row>
    <row r="202" spans="1:21" x14ac:dyDescent="0.25">
      <c r="A202" s="54"/>
    </row>
    <row r="203" spans="1:21" x14ac:dyDescent="0.25">
      <c r="A203" s="54"/>
    </row>
    <row r="205" spans="1:21" x14ac:dyDescent="0.25">
      <c r="A205" s="54"/>
    </row>
    <row r="206" spans="1:21" x14ac:dyDescent="0.25">
      <c r="A206" s="54"/>
    </row>
    <row r="208" spans="1:21" x14ac:dyDescent="0.25">
      <c r="A208" s="54"/>
    </row>
    <row r="209" spans="1:1" x14ac:dyDescent="0.25">
      <c r="A209" s="54"/>
    </row>
    <row r="211" spans="1:1" x14ac:dyDescent="0.25">
      <c r="A211" s="54"/>
    </row>
    <row r="212" spans="1:1" x14ac:dyDescent="0.25">
      <c r="A212" s="54"/>
    </row>
    <row r="214" spans="1:1" x14ac:dyDescent="0.25">
      <c r="A214" s="54"/>
    </row>
    <row r="215" spans="1:1" x14ac:dyDescent="0.25">
      <c r="A215" s="54"/>
    </row>
    <row r="217" spans="1:1" x14ac:dyDescent="0.25">
      <c r="A217" s="54"/>
    </row>
    <row r="218" spans="1:1" x14ac:dyDescent="0.25">
      <c r="A218" s="54"/>
    </row>
    <row r="220" spans="1:1" x14ac:dyDescent="0.25">
      <c r="A220" s="54"/>
    </row>
    <row r="221" spans="1:1" x14ac:dyDescent="0.25">
      <c r="A221" s="54"/>
    </row>
    <row r="223" spans="1:1" x14ac:dyDescent="0.25">
      <c r="A223" s="54"/>
    </row>
    <row r="224" spans="1:1" x14ac:dyDescent="0.25">
      <c r="A224" s="54"/>
    </row>
    <row r="226" spans="1:21" x14ac:dyDescent="0.25">
      <c r="A226" s="54"/>
    </row>
    <row r="227" spans="1:21" x14ac:dyDescent="0.25">
      <c r="A227" s="54"/>
    </row>
    <row r="229" spans="1:21" x14ac:dyDescent="0.25">
      <c r="A229" s="54"/>
    </row>
    <row r="230" spans="1:21" x14ac:dyDescent="0.25">
      <c r="A230" s="54"/>
    </row>
    <row r="232" spans="1:21" x14ac:dyDescent="0.25">
      <c r="A232" s="54"/>
    </row>
    <row r="233" spans="1:21" x14ac:dyDescent="0.25">
      <c r="A233" s="54"/>
    </row>
    <row r="235" spans="1:21" x14ac:dyDescent="0.25">
      <c r="A235" s="54"/>
    </row>
    <row r="236" spans="1:21" x14ac:dyDescent="0.25">
      <c r="A236" s="54"/>
    </row>
    <row r="238" spans="1:21" x14ac:dyDescent="0.25">
      <c r="A238" s="54"/>
    </row>
    <row r="239" spans="1:21" x14ac:dyDescent="0.25">
      <c r="A239" s="54"/>
    </row>
    <row r="240" spans="1:21" x14ac:dyDescent="0.25"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</row>
    <row r="241" spans="1:21" x14ac:dyDescent="0.25">
      <c r="A241" s="54"/>
    </row>
    <row r="242" spans="1:21" x14ac:dyDescent="0.25">
      <c r="A242" s="54"/>
    </row>
    <row r="243" spans="1:21" x14ac:dyDescent="0.25"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</row>
    <row r="244" spans="1:21" x14ac:dyDescent="0.25">
      <c r="A244" s="54"/>
    </row>
    <row r="245" spans="1:21" x14ac:dyDescent="0.25">
      <c r="A245" s="54"/>
    </row>
    <row r="247" spans="1:21" x14ac:dyDescent="0.25">
      <c r="A247" s="54"/>
    </row>
    <row r="248" spans="1:21" x14ac:dyDescent="0.25">
      <c r="A248" s="54"/>
    </row>
    <row r="250" spans="1:21" x14ac:dyDescent="0.25">
      <c r="A250" s="54"/>
    </row>
    <row r="251" spans="1:21" x14ac:dyDescent="0.25">
      <c r="A251" s="54"/>
    </row>
    <row r="253" spans="1:21" x14ac:dyDescent="0.25">
      <c r="A253" s="54"/>
    </row>
    <row r="254" spans="1:21" x14ac:dyDescent="0.25">
      <c r="A254" s="54"/>
    </row>
    <row r="256" spans="1:21" x14ac:dyDescent="0.25">
      <c r="A256" s="54"/>
    </row>
    <row r="257" spans="1:1" x14ac:dyDescent="0.25">
      <c r="A257" s="54"/>
    </row>
    <row r="259" spans="1:1" x14ac:dyDescent="0.25">
      <c r="A259" s="54"/>
    </row>
    <row r="260" spans="1:1" x14ac:dyDescent="0.25">
      <c r="A260" s="54"/>
    </row>
    <row r="262" spans="1:1" x14ac:dyDescent="0.25">
      <c r="A262" s="54"/>
    </row>
    <row r="263" spans="1:1" x14ac:dyDescent="0.25">
      <c r="A263" s="54"/>
    </row>
    <row r="265" spans="1:1" x14ac:dyDescent="0.25">
      <c r="A265" s="54"/>
    </row>
    <row r="266" spans="1:1" x14ac:dyDescent="0.25">
      <c r="A266" s="54"/>
    </row>
    <row r="268" spans="1:1" x14ac:dyDescent="0.25">
      <c r="A268" s="54"/>
    </row>
    <row r="269" spans="1:1" x14ac:dyDescent="0.25">
      <c r="A269" s="54"/>
    </row>
    <row r="271" spans="1:1" x14ac:dyDescent="0.25">
      <c r="A271" s="54"/>
    </row>
    <row r="272" spans="1:1" x14ac:dyDescent="0.25">
      <c r="A272" s="54"/>
    </row>
    <row r="274" spans="1:1" x14ac:dyDescent="0.25">
      <c r="A274" s="54"/>
    </row>
    <row r="275" spans="1:1" x14ac:dyDescent="0.25">
      <c r="A275" s="54"/>
    </row>
    <row r="277" spans="1:1" x14ac:dyDescent="0.25">
      <c r="A277" s="3"/>
    </row>
    <row r="278" spans="1:1" x14ac:dyDescent="0.25">
      <c r="A278" s="3"/>
    </row>
    <row r="280" spans="1:1" x14ac:dyDescent="0.25">
      <c r="A280" s="2"/>
    </row>
    <row r="281" spans="1:1" x14ac:dyDescent="0.25">
      <c r="A281" s="2"/>
    </row>
    <row r="283" spans="1:1" x14ac:dyDescent="0.25">
      <c r="A283" s="1"/>
    </row>
    <row r="284" spans="1:1" x14ac:dyDescent="0.25">
      <c r="A284" s="1"/>
    </row>
    <row r="286" spans="1:1" x14ac:dyDescent="0.25">
      <c r="A286" s="1"/>
    </row>
    <row r="287" spans="1:1" x14ac:dyDescent="0.25">
      <c r="A287" s="1"/>
    </row>
    <row r="289" spans="1:1" x14ac:dyDescent="0.25">
      <c r="A289" s="1"/>
    </row>
    <row r="290" spans="1:1" x14ac:dyDescent="0.25">
      <c r="A290" s="1"/>
    </row>
  </sheetData>
  <mergeCells count="7">
    <mergeCell ref="AW10:BA10"/>
    <mergeCell ref="BC10:BK10"/>
    <mergeCell ref="B6:Q6"/>
    <mergeCell ref="B7:Q7"/>
    <mergeCell ref="W10:AG10"/>
    <mergeCell ref="AH10:AL10"/>
    <mergeCell ref="AN10:AV10"/>
  </mergeCells>
  <pageMargins left="0.7" right="0.7" top="0.75" bottom="0.75" header="0.3" footer="0.3"/>
  <pageSetup scale="1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18D7-D97C-48CF-AA0C-B925C9DEE7C2}">
  <sheetPr>
    <tabColor theme="0" tint="-0.249977111117893"/>
  </sheetPr>
  <dimension ref="A6:AC43"/>
  <sheetViews>
    <sheetView topLeftCell="A4"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1.453125" style="2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4" width="11.26953125" style="31" bestFit="1" customWidth="1"/>
    <col min="15" max="16" width="11.54296875" style="31" customWidth="1"/>
    <col min="17" max="18" width="11.54296875" style="31" hidden="1" customWidth="1"/>
    <col min="19" max="19" width="11.54296875" style="31" customWidth="1"/>
    <col min="20" max="20" width="11.26953125" style="31" customWidth="1"/>
    <col min="21" max="29" width="10.7265625" style="31" customWidth="1"/>
    <col min="30" max="16384" width="9.1796875" style="31"/>
  </cols>
  <sheetData>
    <row r="6" spans="1:29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29" x14ac:dyDescent="0.25">
      <c r="B7" s="158" t="s">
        <v>468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29" x14ac:dyDescent="0.25">
      <c r="D9" s="2" t="s">
        <v>337</v>
      </c>
    </row>
    <row r="10" spans="1:29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29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29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4" spans="1:29" x14ac:dyDescent="0.25">
      <c r="B14" s="74" t="s">
        <v>348</v>
      </c>
    </row>
    <row r="15" spans="1:29" x14ac:dyDescent="0.25">
      <c r="A15" s="2">
        <v>1</v>
      </c>
      <c r="B15" s="31" t="s">
        <v>349</v>
      </c>
      <c r="D15" s="76">
        <f ca="1">'Total Allocation by Rate Zone'!Q15</f>
        <v>1171021.2005978464</v>
      </c>
      <c r="J15" s="76">
        <f ca="1">D15-F15</f>
        <v>1171021.2005978464</v>
      </c>
      <c r="L15" s="2" t="s">
        <v>445</v>
      </c>
      <c r="N15" s="76">
        <f ca="1">IF($J15&lt;&gt;0,VLOOKUP($L15,'Allocation Factors - C'!$B$13:$U$117,5,FALSE)*$J15,0)+IF($F15&lt;&gt;0,VLOOKUP($H15,'Allocation Factors - C'!$B$13:$U$117,5,FALSE)*$F15,0)</f>
        <v>812512.72463427251</v>
      </c>
      <c r="O15" s="76">
        <f ca="1">IF($J15&lt;&gt;0,VLOOKUP($L15,'Allocation Factors - C'!$B$13:$U$117,6,FALSE)*$J15,0)+IF($F15&lt;&gt;0,VLOOKUP($H15,'Allocation Factors - C'!$B$13:$U$117,6,FALSE)*$F15,0)</f>
        <v>320777.69676079106</v>
      </c>
      <c r="P15" s="76">
        <f ca="1">IF($J15&lt;&gt;0,VLOOKUP($L15,'Allocation Factors - C'!$B$13:$U$117,7,FALSE)*$J15,0)+IF($F15&lt;&gt;0,VLOOKUP($H15,'Allocation Factors - C'!$B$13:$U$117,7,FALSE)*$F15,0)</f>
        <v>16962.626845576266</v>
      </c>
      <c r="Q15" s="76"/>
      <c r="R15" s="76"/>
      <c r="S15" s="76">
        <f ca="1">IF($J15&lt;&gt;0,VLOOKUP($L15,'Allocation Factors - C'!$B$13:$U$117,10,FALSE)*$J15,0)+IF($F15&lt;&gt;0,VLOOKUP($H15,'Allocation Factors - C'!$B$13:$U$117,10,FALSE)*$F15,0)</f>
        <v>0</v>
      </c>
      <c r="T15" s="76">
        <f ca="1">IF($J15&lt;&gt;0,VLOOKUP($L15,'Allocation Factors - C'!$B$13:$U$117,11,FALSE)*$J15,0)+IF($F15&lt;&gt;0,VLOOKUP($H15,'Allocation Factors - C'!$B$13:$U$117,11,FALSE)*$F15,0)</f>
        <v>0</v>
      </c>
      <c r="U15" s="76">
        <f ca="1">IF($J15&lt;&gt;0,VLOOKUP($L15,'Allocation Factors - C'!$B$13:$U$117,12,FALSE)*$J15,0)+IF($F15&lt;&gt;0,VLOOKUP($H15,'Allocation Factors - C'!$B$13:$U$117,12,FALSE)*$F15,0)</f>
        <v>0</v>
      </c>
      <c r="V15" s="76">
        <f ca="1">IF($J15&lt;&gt;0,VLOOKUP($L15,'Allocation Factors - C'!$B$13:$U$117,13,FALSE)*$J15,0)+IF($F15&lt;&gt;0,VLOOKUP($H15,'Allocation Factors - C'!$B$13:$U$117,13,FALSE)*$F15,0)</f>
        <v>0</v>
      </c>
      <c r="W15" s="76">
        <f ca="1">IF($J15&lt;&gt;0,VLOOKUP($L15,'Allocation Factors - C'!$B$13:$U$117,14,FALSE)*$J15,0)+IF($F15&lt;&gt;0,VLOOKUP($H15,'Allocation Factors - C'!$B$13:$U$117,14,FALSE)*$F15,0)</f>
        <v>0</v>
      </c>
      <c r="X15" s="76">
        <f ca="1">IF($J15&lt;&gt;0,VLOOKUP($L15,'Allocation Factors - C'!$B$13:$U$117,15,FALSE)*$J15,0)+IF($F15&lt;&gt;0,VLOOKUP($H15,'Allocation Factors - C'!$B$13:$U$117,15,FALSE)*$F15,0)</f>
        <v>0</v>
      </c>
      <c r="Y15" s="76">
        <f ca="1">IF($J15&lt;&gt;0,VLOOKUP($L15,'Allocation Factors - C'!$B$13:$U$117,16,FALSE)*$J15,0)+IF($F15&lt;&gt;0,VLOOKUP($H15,'Allocation Factors - C'!$B$13:$U$117,16,FALSE)*$F15,0)</f>
        <v>846.4842747758446</v>
      </c>
      <c r="Z15" s="76">
        <f ca="1">IF($J15&lt;&gt;0,VLOOKUP($L15,'Allocation Factors - C'!$B$13:$U$117,17,FALSE)*$J15,0)+IF($F15&lt;&gt;0,VLOOKUP($H15,'Allocation Factors - C'!$B$13:$U$117,17,FALSE)*$F15,0)</f>
        <v>604.61578061147122</v>
      </c>
      <c r="AA15" s="76">
        <f ca="1">IF($J15&lt;&gt;0,VLOOKUP($L15,'Allocation Factors - C'!$B$13:$U$117,18,FALSE)*$J15,0)+IF($F15&lt;&gt;0,VLOOKUP($H15,'Allocation Factors - C'!$B$13:$U$117,18,FALSE)*$F15,0)</f>
        <v>0</v>
      </c>
      <c r="AB15" s="76">
        <f ca="1">IF($J15&lt;&gt;0,VLOOKUP($L15,'Allocation Factors - C'!$B$13:$U$117,19,FALSE)*$J15,0)+IF($F15&lt;&gt;0,VLOOKUP($H15,'Allocation Factors - C'!$B$13:$U$117,19,FALSE)*$F15,0)</f>
        <v>19317.052301819218</v>
      </c>
      <c r="AC15" s="76">
        <f ca="1">IF($J15&lt;&gt;0,VLOOKUP($L15,'Allocation Factors - C'!$B$13:$U$117,20,FALSE)*$J15,0)+IF($F15&lt;&gt;0,VLOOKUP($H15,'Allocation Factors - C'!$B$13:$U$117,20,FALSE)*$F15,0)</f>
        <v>0</v>
      </c>
    </row>
    <row r="16" spans="1:29" x14ac:dyDescent="0.25">
      <c r="A16" s="2">
        <f>A15+1</f>
        <v>2</v>
      </c>
      <c r="B16" s="31" t="s">
        <v>351</v>
      </c>
      <c r="D16" s="76">
        <f ca="1">'Total Allocation by Rate Zone'!Q16</f>
        <v>127413.33962251562</v>
      </c>
      <c r="F16" s="48"/>
      <c r="J16" s="76">
        <f t="shared" ref="J16:J20" ca="1" si="0">D16-F16</f>
        <v>127413.33962251562</v>
      </c>
      <c r="L16" s="2" t="s">
        <v>446</v>
      </c>
      <c r="N16" s="76">
        <f ca="1">IF($J16&lt;&gt;0,VLOOKUP($L16,'Allocation Factors - C'!$B$13:$U$117,5,FALSE)*$J16,0)+IF($F16&lt;&gt;0,VLOOKUP($H16,'Allocation Factors - C'!$B$13:$U$117,5,FALSE)*$F16,0)</f>
        <v>81203.278363860358</v>
      </c>
      <c r="O16" s="76">
        <f ca="1">IF($J16&lt;&gt;0,VLOOKUP($L16,'Allocation Factors - C'!$B$13:$U$117,6,FALSE)*$J16,0)+IF($F16&lt;&gt;0,VLOOKUP($H16,'Allocation Factors - C'!$B$13:$U$117,6,FALSE)*$F16,0)</f>
        <v>40610.541560864986</v>
      </c>
      <c r="P16" s="76">
        <f ca="1">IF($J16&lt;&gt;0,VLOOKUP($L16,'Allocation Factors - C'!$B$13:$U$117,7,FALSE)*$J16,0)+IF($F16&lt;&gt;0,VLOOKUP($H16,'Allocation Factors - C'!$B$13:$U$117,7,FALSE)*$F16,0)</f>
        <v>4419.7496325307657</v>
      </c>
      <c r="Q16" s="76"/>
      <c r="R16" s="76"/>
      <c r="S16" s="76">
        <f ca="1">IF($J16&lt;&gt;0,VLOOKUP($L16,'Allocation Factors - C'!$B$13:$U$117,10,FALSE)*$J16,0)+IF($F16&lt;&gt;0,VLOOKUP($H16,'Allocation Factors - C'!$B$13:$U$117,10,FALSE)*$F16,0)</f>
        <v>0</v>
      </c>
      <c r="T16" s="76">
        <f ca="1">IF($J16&lt;&gt;0,VLOOKUP($L16,'Allocation Factors - C'!$B$13:$U$117,11,FALSE)*$J16,0)+IF($F16&lt;&gt;0,VLOOKUP($H16,'Allocation Factors - C'!$B$13:$U$117,11,FALSE)*$F16,0)</f>
        <v>0</v>
      </c>
      <c r="U16" s="76">
        <f ca="1">IF($J16&lt;&gt;0,VLOOKUP($L16,'Allocation Factors - C'!$B$13:$U$117,12,FALSE)*$J16,0)+IF($F16&lt;&gt;0,VLOOKUP($H16,'Allocation Factors - C'!$B$13:$U$117,12,FALSE)*$F16,0)</f>
        <v>0</v>
      </c>
      <c r="V16" s="76">
        <f ca="1">IF($J16&lt;&gt;0,VLOOKUP($L16,'Allocation Factors - C'!$B$13:$U$117,13,FALSE)*$J16,0)+IF($F16&lt;&gt;0,VLOOKUP($H16,'Allocation Factors - C'!$B$13:$U$117,13,FALSE)*$F16,0)</f>
        <v>0</v>
      </c>
      <c r="W16" s="76">
        <f ca="1">IF($J16&lt;&gt;0,VLOOKUP($L16,'Allocation Factors - C'!$B$13:$U$117,14,FALSE)*$J16,0)+IF($F16&lt;&gt;0,VLOOKUP($H16,'Allocation Factors - C'!$B$13:$U$117,14,FALSE)*$F16,0)</f>
        <v>0</v>
      </c>
      <c r="X16" s="76">
        <f ca="1">IF($J16&lt;&gt;0,VLOOKUP($L16,'Allocation Factors - C'!$B$13:$U$117,15,FALSE)*$J16,0)+IF($F16&lt;&gt;0,VLOOKUP($H16,'Allocation Factors - C'!$B$13:$U$117,15,FALSE)*$F16,0)</f>
        <v>0</v>
      </c>
      <c r="Y16" s="76">
        <f ca="1">IF($J16&lt;&gt;0,VLOOKUP($L16,'Allocation Factors - C'!$B$13:$U$117,16,FALSE)*$J16,0)+IF($F16&lt;&gt;0,VLOOKUP($H16,'Allocation Factors - C'!$B$13:$U$117,16,FALSE)*$F16,0)</f>
        <v>0.63775483152976409</v>
      </c>
      <c r="Z16" s="76">
        <f ca="1">IF($J16&lt;&gt;0,VLOOKUP($L16,'Allocation Factors - C'!$B$13:$U$117,17,FALSE)*$J16,0)+IF($F16&lt;&gt;0,VLOOKUP($H16,'Allocation Factors - C'!$B$13:$U$117,17,FALSE)*$F16,0)</f>
        <v>0</v>
      </c>
      <c r="AA16" s="76">
        <f ca="1">IF($J16&lt;&gt;0,VLOOKUP($L16,'Allocation Factors - C'!$B$13:$U$117,18,FALSE)*$J16,0)+IF($F16&lt;&gt;0,VLOOKUP($H16,'Allocation Factors - C'!$B$13:$U$117,18,FALSE)*$F16,0)</f>
        <v>0</v>
      </c>
      <c r="AB16" s="76">
        <f ca="1">IF($J16&lt;&gt;0,VLOOKUP($L16,'Allocation Factors - C'!$B$13:$U$117,19,FALSE)*$J16,0)+IF($F16&lt;&gt;0,VLOOKUP($H16,'Allocation Factors - C'!$B$13:$U$117,19,FALSE)*$F16,0)</f>
        <v>1179.1323104279602</v>
      </c>
      <c r="AC16" s="76">
        <f ca="1">IF($J16&lt;&gt;0,VLOOKUP($L16,'Allocation Factors - C'!$B$13:$U$117,20,FALSE)*$J16,0)+IF($F16&lt;&gt;0,VLOOKUP($H16,'Allocation Factors - C'!$B$13:$U$117,20,FALSE)*$F16,0)</f>
        <v>0</v>
      </c>
    </row>
    <row r="17" spans="1:29" x14ac:dyDescent="0.25">
      <c r="A17" s="2">
        <f t="shared" ref="A17:A21" si="1">A16+1</f>
        <v>3</v>
      </c>
      <c r="B17" s="31" t="s">
        <v>353</v>
      </c>
      <c r="D17" s="76">
        <f ca="1">'Total Allocation by Rate Zone'!Q17</f>
        <v>24624.003101098595</v>
      </c>
      <c r="J17" s="76">
        <f t="shared" ca="1" si="0"/>
        <v>24624.003101098595</v>
      </c>
      <c r="L17" s="2" t="s">
        <v>447</v>
      </c>
      <c r="N17" s="76">
        <f ca="1">IF($J17&lt;&gt;0,VLOOKUP($L17,'Allocation Factors - C'!$B$13:$U$117,5,FALSE)*$J17,0)+IF($F17&lt;&gt;0,VLOOKUP($H17,'Allocation Factors - C'!$B$13:$U$117,5,FALSE)*$F17,0)</f>
        <v>15693.326481870239</v>
      </c>
      <c r="O17" s="76">
        <f ca="1">IF($J17&lt;&gt;0,VLOOKUP($L17,'Allocation Factors - C'!$B$13:$U$117,6,FALSE)*$J17,0)+IF($F17&lt;&gt;0,VLOOKUP($H17,'Allocation Factors - C'!$B$13:$U$117,6,FALSE)*$F17,0)</f>
        <v>7848.383712594692</v>
      </c>
      <c r="P17" s="76">
        <f ca="1">IF($J17&lt;&gt;0,VLOOKUP($L17,'Allocation Factors - C'!$B$13:$U$117,7,FALSE)*$J17,0)+IF($F17&lt;&gt;0,VLOOKUP($H17,'Allocation Factors - C'!$B$13:$U$117,7,FALSE)*$F17,0)</f>
        <v>854.26321087369013</v>
      </c>
      <c r="Q17" s="76"/>
      <c r="R17" s="76"/>
      <c r="S17" s="76">
        <f ca="1">IF($J17&lt;&gt;0,VLOOKUP($L17,'Allocation Factors - C'!$B$13:$U$117,10,FALSE)*$J17,0)+IF($F17&lt;&gt;0,VLOOKUP($H17,'Allocation Factors - C'!$B$13:$U$117,10,FALSE)*$F17,0)</f>
        <v>0</v>
      </c>
      <c r="T17" s="76">
        <f ca="1">IF($J17&lt;&gt;0,VLOOKUP($L17,'Allocation Factors - C'!$B$13:$U$117,11,FALSE)*$J17,0)+IF($F17&lt;&gt;0,VLOOKUP($H17,'Allocation Factors - C'!$B$13:$U$117,11,FALSE)*$F17,0)</f>
        <v>0</v>
      </c>
      <c r="U17" s="76">
        <f ca="1">IF($J17&lt;&gt;0,VLOOKUP($L17,'Allocation Factors - C'!$B$13:$U$117,12,FALSE)*$J17,0)+IF($F17&lt;&gt;0,VLOOKUP($H17,'Allocation Factors - C'!$B$13:$U$117,12,FALSE)*$F17,0)</f>
        <v>0</v>
      </c>
      <c r="V17" s="76">
        <f ca="1">IF($J17&lt;&gt;0,VLOOKUP($L17,'Allocation Factors - C'!$B$13:$U$117,13,FALSE)*$J17,0)+IF($F17&lt;&gt;0,VLOOKUP($H17,'Allocation Factors - C'!$B$13:$U$117,13,FALSE)*$F17,0)</f>
        <v>0</v>
      </c>
      <c r="W17" s="76">
        <f ca="1">IF($J17&lt;&gt;0,VLOOKUP($L17,'Allocation Factors - C'!$B$13:$U$117,14,FALSE)*$J17,0)+IF($F17&lt;&gt;0,VLOOKUP($H17,'Allocation Factors - C'!$B$13:$U$117,14,FALSE)*$F17,0)</f>
        <v>0</v>
      </c>
      <c r="X17" s="76">
        <f ca="1">IF($J17&lt;&gt;0,VLOOKUP($L17,'Allocation Factors - C'!$B$13:$U$117,15,FALSE)*$J17,0)+IF($F17&lt;&gt;0,VLOOKUP($H17,'Allocation Factors - C'!$B$13:$U$117,15,FALSE)*$F17,0)</f>
        <v>0</v>
      </c>
      <c r="Y17" s="76">
        <f ca="1">IF($J17&lt;&gt;0,VLOOKUP($L17,'Allocation Factors - C'!$B$13:$U$117,16,FALSE)*$J17,0)+IF($F17&lt;&gt;0,VLOOKUP($H17,'Allocation Factors - C'!$B$13:$U$117,16,FALSE)*$F17,0)</f>
        <v>0.12326727426432635</v>
      </c>
      <c r="Z17" s="76">
        <f ca="1">IF($J17&lt;&gt;0,VLOOKUP($L17,'Allocation Factors - C'!$B$13:$U$117,17,FALSE)*$J17,0)+IF($F17&lt;&gt;0,VLOOKUP($H17,'Allocation Factors - C'!$B$13:$U$117,17,FALSE)*$F17,0)</f>
        <v>0</v>
      </c>
      <c r="AA17" s="76">
        <f ca="1">IF($J17&lt;&gt;0,VLOOKUP($L17,'Allocation Factors - C'!$B$13:$U$117,18,FALSE)*$J17,0)+IF($F17&lt;&gt;0,VLOOKUP($H17,'Allocation Factors - C'!$B$13:$U$117,18,FALSE)*$F17,0)</f>
        <v>0</v>
      </c>
      <c r="AB17" s="76">
        <f ca="1">IF($J17&lt;&gt;0,VLOOKUP($L17,'Allocation Factors - C'!$B$13:$U$117,19,FALSE)*$J17,0)+IF($F17&lt;&gt;0,VLOOKUP($H17,'Allocation Factors - C'!$B$13:$U$117,19,FALSE)*$F17,0)</f>
        <v>227.90642848570681</v>
      </c>
      <c r="AC17" s="76">
        <f ca="1">IF($J17&lt;&gt;0,VLOOKUP($L17,'Allocation Factors - C'!$B$13:$U$117,20,FALSE)*$J17,0)+IF($F17&lt;&gt;0,VLOOKUP($H17,'Allocation Factors - C'!$B$13:$U$117,20,FALSE)*$F17,0)</f>
        <v>0</v>
      </c>
    </row>
    <row r="18" spans="1:29" x14ac:dyDescent="0.25">
      <c r="A18" s="2">
        <f t="shared" si="1"/>
        <v>4</v>
      </c>
      <c r="B18" s="31" t="s">
        <v>355</v>
      </c>
      <c r="D18" s="76">
        <f ca="1">'Total Allocation by Rate Zone'!Q18</f>
        <v>128790.80874773079</v>
      </c>
      <c r="F18" s="48">
        <f>'Rate Zone Allocation Factors'!H19</f>
        <v>-5950.5396894632559</v>
      </c>
      <c r="H18" s="2" t="s">
        <v>448</v>
      </c>
      <c r="J18" s="76">
        <f t="shared" ca="1" si="0"/>
        <v>134741.34843719404</v>
      </c>
      <c r="L18" s="2" t="s">
        <v>449</v>
      </c>
      <c r="N18" s="76">
        <f ca="1">IF($J18&lt;&gt;0,VLOOKUP($L18,'Allocation Factors - C'!$B$13:$U$117,5,FALSE)*$J18,0)+IF($F18&lt;&gt;0,VLOOKUP($H18,'Allocation Factors - C'!$B$13:$U$117,5,FALSE)*$F18,0)</f>
        <v>65017.797927339059</v>
      </c>
      <c r="O18" s="76">
        <f ca="1">IF($J18&lt;&gt;0,VLOOKUP($L18,'Allocation Factors - C'!$B$13:$U$117,6,FALSE)*$J18,0)+IF($F18&lt;&gt;0,VLOOKUP($H18,'Allocation Factors - C'!$B$13:$U$117,6,FALSE)*$F18,0)</f>
        <v>38142.146086521549</v>
      </c>
      <c r="P18" s="76">
        <f ca="1">IF($J18&lt;&gt;0,VLOOKUP($L18,'Allocation Factors - C'!$B$13:$U$117,7,FALSE)*$J18,0)+IF($F18&lt;&gt;0,VLOOKUP($H18,'Allocation Factors - C'!$B$13:$U$117,7,FALSE)*$F18,0)</f>
        <v>15126.321132568424</v>
      </c>
      <c r="Q18" s="76"/>
      <c r="R18" s="76"/>
      <c r="S18" s="76">
        <f ca="1">IF($J18&lt;&gt;0,VLOOKUP($L18,'Allocation Factors - C'!$B$13:$U$117,10,FALSE)*$J18,0)+IF($F18&lt;&gt;0,VLOOKUP($H18,'Allocation Factors - C'!$B$13:$U$117,10,FALSE)*$F18,0)</f>
        <v>0</v>
      </c>
      <c r="T18" s="76">
        <f ca="1">IF($J18&lt;&gt;0,VLOOKUP($L18,'Allocation Factors - C'!$B$13:$U$117,11,FALSE)*$J18,0)+IF($F18&lt;&gt;0,VLOOKUP($H18,'Allocation Factors - C'!$B$13:$U$117,11,FALSE)*$F18,0)</f>
        <v>0</v>
      </c>
      <c r="U18" s="76">
        <f ca="1">IF($J18&lt;&gt;0,VLOOKUP($L18,'Allocation Factors - C'!$B$13:$U$117,12,FALSE)*$J18,0)+IF($F18&lt;&gt;0,VLOOKUP($H18,'Allocation Factors - C'!$B$13:$U$117,12,FALSE)*$F18,0)</f>
        <v>0</v>
      </c>
      <c r="V18" s="76">
        <f ca="1">IF($J18&lt;&gt;0,VLOOKUP($L18,'Allocation Factors - C'!$B$13:$U$117,13,FALSE)*$J18,0)+IF($F18&lt;&gt;0,VLOOKUP($H18,'Allocation Factors - C'!$B$13:$U$117,13,FALSE)*$F18,0)</f>
        <v>0</v>
      </c>
      <c r="W18" s="76">
        <f ca="1">IF($J18&lt;&gt;0,VLOOKUP($L18,'Allocation Factors - C'!$B$13:$U$117,14,FALSE)*$J18,0)+IF($F18&lt;&gt;0,VLOOKUP($H18,'Allocation Factors - C'!$B$13:$U$117,14,FALSE)*$F18,0)</f>
        <v>0</v>
      </c>
      <c r="X18" s="76">
        <f ca="1">IF($J18&lt;&gt;0,VLOOKUP($L18,'Allocation Factors - C'!$B$13:$U$117,15,FALSE)*$J18,0)+IF($F18&lt;&gt;0,VLOOKUP($H18,'Allocation Factors - C'!$B$13:$U$117,15,FALSE)*$F18,0)</f>
        <v>0</v>
      </c>
      <c r="Y18" s="76">
        <f ca="1">IF($J18&lt;&gt;0,VLOOKUP($L18,'Allocation Factors - C'!$B$13:$U$117,16,FALSE)*$J18,0)+IF($F18&lt;&gt;0,VLOOKUP($H18,'Allocation Factors - C'!$B$13:$U$117,16,FALSE)*$F18,0)</f>
        <v>2510.7903925939768</v>
      </c>
      <c r="Z18" s="76">
        <f ca="1">IF($J18&lt;&gt;0,VLOOKUP($L18,'Allocation Factors - C'!$B$13:$U$117,17,FALSE)*$J18,0)+IF($F18&lt;&gt;0,VLOOKUP($H18,'Allocation Factors - C'!$B$13:$U$117,17,FALSE)*$F18,0)</f>
        <v>482.56769155313327</v>
      </c>
      <c r="AA18" s="76">
        <f ca="1">IF($J18&lt;&gt;0,VLOOKUP($L18,'Allocation Factors - C'!$B$13:$U$117,18,FALSE)*$J18,0)+IF($F18&lt;&gt;0,VLOOKUP($H18,'Allocation Factors - C'!$B$13:$U$117,18,FALSE)*$F18,0)</f>
        <v>0</v>
      </c>
      <c r="AB18" s="76">
        <f ca="1">IF($J18&lt;&gt;0,VLOOKUP($L18,'Allocation Factors - C'!$B$13:$U$117,19,FALSE)*$J18,0)+IF($F18&lt;&gt;0,VLOOKUP($H18,'Allocation Factors - C'!$B$13:$U$117,19,FALSE)*$F18,0)</f>
        <v>7511.1855171546331</v>
      </c>
      <c r="AC18" s="76">
        <f ca="1">IF($J18&lt;&gt;0,VLOOKUP($L18,'Allocation Factors - C'!$B$13:$U$117,20,FALSE)*$J18,0)+IF($F18&lt;&gt;0,VLOOKUP($H18,'Allocation Factors - C'!$B$13:$U$117,20,FALSE)*$F18,0)</f>
        <v>0</v>
      </c>
    </row>
    <row r="19" spans="1:29" x14ac:dyDescent="0.25">
      <c r="A19" s="2">
        <f t="shared" si="1"/>
        <v>5</v>
      </c>
      <c r="B19" s="31" t="s">
        <v>358</v>
      </c>
      <c r="D19" s="76">
        <f ca="1">'Total Allocation by Rate Zone'!Q19</f>
        <v>12417.343062049933</v>
      </c>
      <c r="J19" s="76">
        <f t="shared" ca="1" si="0"/>
        <v>12417.343062049933</v>
      </c>
      <c r="L19" s="2" t="s">
        <v>450</v>
      </c>
      <c r="N19" s="76">
        <f ca="1">IF($J19&lt;&gt;0,VLOOKUP($L19,'Allocation Factors - C'!$B$13:$U$117,5,FALSE)*$J19,0)+IF($F19&lt;&gt;0,VLOOKUP($H19,'Allocation Factors - C'!$B$13:$U$117,5,FALSE)*$F19,0)</f>
        <v>6471.3602949677052</v>
      </c>
      <c r="O19" s="76">
        <f ca="1">IF($J19&lt;&gt;0,VLOOKUP($L19,'Allocation Factors - C'!$B$13:$U$117,6,FALSE)*$J19,0)+IF($F19&lt;&gt;0,VLOOKUP($H19,'Allocation Factors - C'!$B$13:$U$117,6,FALSE)*$F19,0)</f>
        <v>3796.3692653051908</v>
      </c>
      <c r="P19" s="76">
        <f ca="1">IF($J19&lt;&gt;0,VLOOKUP($L19,'Allocation Factors - C'!$B$13:$U$117,7,FALSE)*$J19,0)+IF($F19&lt;&gt;0,VLOOKUP($H19,'Allocation Factors - C'!$B$13:$U$117,7,FALSE)*$F19,0)</f>
        <v>1566.5036924769636</v>
      </c>
      <c r="Q19" s="76"/>
      <c r="R19" s="76"/>
      <c r="S19" s="76">
        <f ca="1">IF($J19&lt;&gt;0,VLOOKUP($L19,'Allocation Factors - C'!$B$13:$U$117,10,FALSE)*$J19,0)+IF($F19&lt;&gt;0,VLOOKUP($H19,'Allocation Factors - C'!$B$13:$U$117,10,FALSE)*$F19,0)</f>
        <v>0</v>
      </c>
      <c r="T19" s="76">
        <f ca="1">IF($J19&lt;&gt;0,VLOOKUP($L19,'Allocation Factors - C'!$B$13:$U$117,11,FALSE)*$J19,0)+IF($F19&lt;&gt;0,VLOOKUP($H19,'Allocation Factors - C'!$B$13:$U$117,11,FALSE)*$F19,0)</f>
        <v>0</v>
      </c>
      <c r="U19" s="76">
        <f ca="1">IF($J19&lt;&gt;0,VLOOKUP($L19,'Allocation Factors - C'!$B$13:$U$117,12,FALSE)*$J19,0)+IF($F19&lt;&gt;0,VLOOKUP($H19,'Allocation Factors - C'!$B$13:$U$117,12,FALSE)*$F19,0)</f>
        <v>0</v>
      </c>
      <c r="V19" s="76">
        <f ca="1">IF($J19&lt;&gt;0,VLOOKUP($L19,'Allocation Factors - C'!$B$13:$U$117,13,FALSE)*$J19,0)+IF($F19&lt;&gt;0,VLOOKUP($H19,'Allocation Factors - C'!$B$13:$U$117,13,FALSE)*$F19,0)</f>
        <v>0</v>
      </c>
      <c r="W19" s="76">
        <f ca="1">IF($J19&lt;&gt;0,VLOOKUP($L19,'Allocation Factors - C'!$B$13:$U$117,14,FALSE)*$J19,0)+IF($F19&lt;&gt;0,VLOOKUP($H19,'Allocation Factors - C'!$B$13:$U$117,14,FALSE)*$F19,0)</f>
        <v>0</v>
      </c>
      <c r="X19" s="76">
        <f ca="1">IF($J19&lt;&gt;0,VLOOKUP($L19,'Allocation Factors - C'!$B$13:$U$117,15,FALSE)*$J19,0)+IF($F19&lt;&gt;0,VLOOKUP($H19,'Allocation Factors - C'!$B$13:$U$117,15,FALSE)*$F19,0)</f>
        <v>0</v>
      </c>
      <c r="Y19" s="76">
        <f ca="1">IF($J19&lt;&gt;0,VLOOKUP($L19,'Allocation Factors - C'!$B$13:$U$117,16,FALSE)*$J19,0)+IF($F19&lt;&gt;0,VLOOKUP($H19,'Allocation Factors - C'!$B$13:$U$117,16,FALSE)*$F19,0)</f>
        <v>340.60086437582117</v>
      </c>
      <c r="Z19" s="76">
        <f ca="1">IF($J19&lt;&gt;0,VLOOKUP($L19,'Allocation Factors - C'!$B$13:$U$117,17,FALSE)*$J19,0)+IF($F19&lt;&gt;0,VLOOKUP($H19,'Allocation Factors - C'!$B$13:$U$117,17,FALSE)*$F19,0)</f>
        <v>52.866752116928133</v>
      </c>
      <c r="AA19" s="76">
        <f ca="1">IF($J19&lt;&gt;0,VLOOKUP($L19,'Allocation Factors - C'!$B$13:$U$117,18,FALSE)*$J19,0)+IF($F19&lt;&gt;0,VLOOKUP($H19,'Allocation Factors - C'!$B$13:$U$117,18,FALSE)*$F19,0)</f>
        <v>0</v>
      </c>
      <c r="AB19" s="76">
        <f ca="1">IF($J19&lt;&gt;0,VLOOKUP($L19,'Allocation Factors - C'!$B$13:$U$117,19,FALSE)*$J19,0)+IF($F19&lt;&gt;0,VLOOKUP($H19,'Allocation Factors - C'!$B$13:$U$117,19,FALSE)*$F19,0)</f>
        <v>189.64219280732505</v>
      </c>
      <c r="AC19" s="76">
        <f ca="1">IF($J19&lt;&gt;0,VLOOKUP($L19,'Allocation Factors - C'!$B$13:$U$117,20,FALSE)*$J19,0)+IF($F19&lt;&gt;0,VLOOKUP($H19,'Allocation Factors - C'!$B$13:$U$117,20,FALSE)*$F19,0)</f>
        <v>0</v>
      </c>
    </row>
    <row r="20" spans="1:29" x14ac:dyDescent="0.25">
      <c r="A20" s="2">
        <f t="shared" si="1"/>
        <v>6</v>
      </c>
      <c r="B20" s="31" t="s">
        <v>178</v>
      </c>
      <c r="D20" s="76">
        <f ca="1">'Total Allocation by Rate Zone'!Q20</f>
        <v>10000.109352543885</v>
      </c>
      <c r="J20" s="76">
        <f t="shared" ca="1" si="0"/>
        <v>10000.109352543885</v>
      </c>
      <c r="L20" s="2" t="s">
        <v>445</v>
      </c>
      <c r="N20" s="76">
        <f ca="1">IF($J20&lt;&gt;0,VLOOKUP($L20,'Allocation Factors - C'!$B$13:$U$117,5,FALSE)*$J20,0)+IF($F20&lt;&gt;0,VLOOKUP($H20,'Allocation Factors - C'!$B$13:$U$117,5,FALSE)*$F20,0)</f>
        <v>6938.5730100598539</v>
      </c>
      <c r="O20" s="76">
        <f ca="1">IF($J20&lt;&gt;0,VLOOKUP($L20,'Allocation Factors - C'!$B$13:$U$117,6,FALSE)*$J20,0)+IF($F20&lt;&gt;0,VLOOKUP($H20,'Allocation Factors - C'!$B$13:$U$117,6,FALSE)*$F20,0)</f>
        <v>2739.3287532517561</v>
      </c>
      <c r="P20" s="76">
        <f ca="1">IF($J20&lt;&gt;0,VLOOKUP($L20,'Allocation Factors - C'!$B$13:$U$117,7,FALSE)*$J20,0)+IF($F20&lt;&gt;0,VLOOKUP($H20,'Allocation Factors - C'!$B$13:$U$117,7,FALSE)*$F20,0)</f>
        <v>144.85486964331491</v>
      </c>
      <c r="Q20" s="76"/>
      <c r="R20" s="76"/>
      <c r="S20" s="76">
        <f ca="1">IF($J20&lt;&gt;0,VLOOKUP($L20,'Allocation Factors - C'!$B$13:$U$117,10,FALSE)*$J20,0)+IF($F20&lt;&gt;0,VLOOKUP($H20,'Allocation Factors - C'!$B$13:$U$117,10,FALSE)*$F20,0)</f>
        <v>0</v>
      </c>
      <c r="T20" s="76">
        <f ca="1">IF($J20&lt;&gt;0,VLOOKUP($L20,'Allocation Factors - C'!$B$13:$U$117,11,FALSE)*$J20,0)+IF($F20&lt;&gt;0,VLOOKUP($H20,'Allocation Factors - C'!$B$13:$U$117,11,FALSE)*$F20,0)</f>
        <v>0</v>
      </c>
      <c r="U20" s="76">
        <f ca="1">IF($J20&lt;&gt;0,VLOOKUP($L20,'Allocation Factors - C'!$B$13:$U$117,12,FALSE)*$J20,0)+IF($F20&lt;&gt;0,VLOOKUP($H20,'Allocation Factors - C'!$B$13:$U$117,12,FALSE)*$F20,0)</f>
        <v>0</v>
      </c>
      <c r="V20" s="76">
        <f ca="1">IF($J20&lt;&gt;0,VLOOKUP($L20,'Allocation Factors - C'!$B$13:$U$117,13,FALSE)*$J20,0)+IF($F20&lt;&gt;0,VLOOKUP($H20,'Allocation Factors - C'!$B$13:$U$117,13,FALSE)*$F20,0)</f>
        <v>0</v>
      </c>
      <c r="W20" s="76">
        <f ca="1">IF($J20&lt;&gt;0,VLOOKUP($L20,'Allocation Factors - C'!$B$13:$U$117,14,FALSE)*$J20,0)+IF($F20&lt;&gt;0,VLOOKUP($H20,'Allocation Factors - C'!$B$13:$U$117,14,FALSE)*$F20,0)</f>
        <v>0</v>
      </c>
      <c r="X20" s="76">
        <f ca="1">IF($J20&lt;&gt;0,VLOOKUP($L20,'Allocation Factors - C'!$B$13:$U$117,15,FALSE)*$J20,0)+IF($F20&lt;&gt;0,VLOOKUP($H20,'Allocation Factors - C'!$B$13:$U$117,15,FALSE)*$F20,0)</f>
        <v>0</v>
      </c>
      <c r="Y20" s="76">
        <f ca="1">IF($J20&lt;&gt;0,VLOOKUP($L20,'Allocation Factors - C'!$B$13:$U$117,16,FALSE)*$J20,0)+IF($F20&lt;&gt;0,VLOOKUP($H20,'Allocation Factors - C'!$B$13:$U$117,16,FALSE)*$F20,0)</f>
        <v>7.2286781047564395</v>
      </c>
      <c r="Z20" s="76">
        <f ca="1">IF($J20&lt;&gt;0,VLOOKUP($L20,'Allocation Factors - C'!$B$13:$U$117,17,FALSE)*$J20,0)+IF($F20&lt;&gt;0,VLOOKUP($H20,'Allocation Factors - C'!$B$13:$U$117,17,FALSE)*$F20,0)</f>
        <v>5.1632061992571874</v>
      </c>
      <c r="AA20" s="76">
        <f ca="1">IF($J20&lt;&gt;0,VLOOKUP($L20,'Allocation Factors - C'!$B$13:$U$117,18,FALSE)*$J20,0)+IF($F20&lt;&gt;0,VLOOKUP($H20,'Allocation Factors - C'!$B$13:$U$117,18,FALSE)*$F20,0)</f>
        <v>0</v>
      </c>
      <c r="AB20" s="76">
        <f ca="1">IF($J20&lt;&gt;0,VLOOKUP($L20,'Allocation Factors - C'!$B$13:$U$117,19,FALSE)*$J20,0)+IF($F20&lt;&gt;0,VLOOKUP($H20,'Allocation Factors - C'!$B$13:$U$117,19,FALSE)*$F20,0)</f>
        <v>164.9608352849466</v>
      </c>
      <c r="AC20" s="76">
        <f ca="1">IF($J20&lt;&gt;0,VLOOKUP($L20,'Allocation Factors - C'!$B$13:$U$117,20,FALSE)*$J20,0)+IF($F20&lt;&gt;0,VLOOKUP($H20,'Allocation Factors - C'!$B$13:$U$117,20,FALSE)*$F20,0)</f>
        <v>0</v>
      </c>
    </row>
    <row r="21" spans="1:29" x14ac:dyDescent="0.25">
      <c r="A21" s="2">
        <f t="shared" si="1"/>
        <v>7</v>
      </c>
      <c r="B21" s="31" t="s">
        <v>361</v>
      </c>
      <c r="D21" s="40">
        <f ca="1">SUM(D15:D20)</f>
        <v>1474266.8044837853</v>
      </c>
      <c r="F21" s="78">
        <f>SUM(F15:F20)</f>
        <v>-5950.5396894632559</v>
      </c>
      <c r="J21" s="40">
        <f ca="1">SUM(J15:J20)</f>
        <v>1480217.3441732486</v>
      </c>
      <c r="N21" s="40">
        <f t="shared" ref="N21:AB21" ca="1" si="2">SUM(N15:N20)</f>
        <v>987837.06071236974</v>
      </c>
      <c r="O21" s="40">
        <f t="shared" ca="1" si="2"/>
        <v>413914.46613932925</v>
      </c>
      <c r="P21" s="40">
        <f t="shared" ca="1" si="2"/>
        <v>39074.319383669426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3705.8652319561929</v>
      </c>
      <c r="Z21" s="40">
        <f t="shared" ca="1" si="2"/>
        <v>1145.2134304807901</v>
      </c>
      <c r="AA21" s="40">
        <f t="shared" ca="1" si="2"/>
        <v>0</v>
      </c>
      <c r="AB21" s="40">
        <f t="shared" ca="1" si="2"/>
        <v>28589.879585979794</v>
      </c>
      <c r="AC21" s="40">
        <f ca="1">SUM(AC15:AC20)</f>
        <v>0</v>
      </c>
    </row>
    <row r="22" spans="1:29" x14ac:dyDescent="0.25"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</row>
    <row r="23" spans="1:29" x14ac:dyDescent="0.25">
      <c r="B23" s="74" t="s">
        <v>362</v>
      </c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</row>
    <row r="24" spans="1:29" x14ac:dyDescent="0.25">
      <c r="A24" s="2">
        <f>A21+1</f>
        <v>8</v>
      </c>
      <c r="B24" s="31" t="s">
        <v>363</v>
      </c>
      <c r="D24" s="76">
        <f ca="1">'Total Allocation by Rate Zone'!Q24</f>
        <v>64884.152126717083</v>
      </c>
      <c r="J24" s="76">
        <f t="shared" ref="J24:J27" ca="1" si="3">D24-F24</f>
        <v>64884.152126717083</v>
      </c>
      <c r="L24" s="2" t="s">
        <v>447</v>
      </c>
      <c r="N24" s="76">
        <f ca="1">IF($J24&lt;&gt;0,VLOOKUP($L24,'Allocation Factors - C'!$B$13:$U$117,5,FALSE)*$J24,0)+IF($F24&lt;&gt;0,VLOOKUP($H24,'Allocation Factors - C'!$B$13:$U$117,5,FALSE)*$F24,0)</f>
        <v>41351.85406870248</v>
      </c>
      <c r="O24" s="76">
        <f ca="1">IF($J24&lt;&gt;0,VLOOKUP($L24,'Allocation Factors - C'!$B$13:$U$117,6,FALSE)*$J24,0)+IF($F24&lt;&gt;0,VLOOKUP($H24,'Allocation Factors - C'!$B$13:$U$117,6,FALSE)*$F24,0)</f>
        <v>20680.4604704636</v>
      </c>
      <c r="P24" s="76">
        <f ca="1">IF($J24&lt;&gt;0,VLOOKUP($L24,'Allocation Factors - C'!$B$13:$U$117,7,FALSE)*$J24,0)+IF($F24&lt;&gt;0,VLOOKUP($H24,'Allocation Factors - C'!$B$13:$U$117,7,FALSE)*$F24,0)</f>
        <v>2250.9802286417594</v>
      </c>
      <c r="Q24" s="76"/>
      <c r="R24" s="76"/>
      <c r="S24" s="76">
        <f ca="1">IF($J24&lt;&gt;0,VLOOKUP($L24,'Allocation Factors - C'!$B$13:$U$117,10,FALSE)*$J24,0)+IF($F24&lt;&gt;0,VLOOKUP($H24,'Allocation Factors - C'!$B$13:$U$117,10,FALSE)*$F24,0)</f>
        <v>0</v>
      </c>
      <c r="T24" s="76">
        <f ca="1">IF($J24&lt;&gt;0,VLOOKUP($L24,'Allocation Factors - C'!$B$13:$U$117,11,FALSE)*$J24,0)+IF($F24&lt;&gt;0,VLOOKUP($H24,'Allocation Factors - C'!$B$13:$U$117,11,FALSE)*$F24,0)</f>
        <v>0</v>
      </c>
      <c r="U24" s="76">
        <f ca="1">IF($J24&lt;&gt;0,VLOOKUP($L24,'Allocation Factors - C'!$B$13:$U$117,12,FALSE)*$J24,0)+IF($F24&lt;&gt;0,VLOOKUP($H24,'Allocation Factors - C'!$B$13:$U$117,12,FALSE)*$F24,0)</f>
        <v>0</v>
      </c>
      <c r="V24" s="76">
        <f ca="1">IF($J24&lt;&gt;0,VLOOKUP($L24,'Allocation Factors - C'!$B$13:$U$117,13,FALSE)*$J24,0)+IF($F24&lt;&gt;0,VLOOKUP($H24,'Allocation Factors - C'!$B$13:$U$117,13,FALSE)*$F24,0)</f>
        <v>0</v>
      </c>
      <c r="W24" s="76">
        <f ca="1">IF($J24&lt;&gt;0,VLOOKUP($L24,'Allocation Factors - C'!$B$13:$U$117,14,FALSE)*$J24,0)+IF($F24&lt;&gt;0,VLOOKUP($H24,'Allocation Factors - C'!$B$13:$U$117,14,FALSE)*$F24,0)</f>
        <v>0</v>
      </c>
      <c r="X24" s="76">
        <f ca="1">IF($J24&lt;&gt;0,VLOOKUP($L24,'Allocation Factors - C'!$B$13:$U$117,15,FALSE)*$J24,0)+IF($F24&lt;&gt;0,VLOOKUP($H24,'Allocation Factors - C'!$B$13:$U$117,15,FALSE)*$F24,0)</f>
        <v>0</v>
      </c>
      <c r="Y24" s="76">
        <f ca="1">IF($J24&lt;&gt;0,VLOOKUP($L24,'Allocation Factors - C'!$B$13:$U$117,16,FALSE)*$J24,0)+IF($F24&lt;&gt;0,VLOOKUP($H24,'Allocation Factors - C'!$B$13:$U$117,16,FALSE)*$F24,0)</f>
        <v>0.32480878688873599</v>
      </c>
      <c r="Z24" s="76">
        <f ca="1">IF($J24&lt;&gt;0,VLOOKUP($L24,'Allocation Factors - C'!$B$13:$U$117,17,FALSE)*$J24,0)+IF($F24&lt;&gt;0,VLOOKUP($H24,'Allocation Factors - C'!$B$13:$U$117,17,FALSE)*$F24,0)</f>
        <v>0</v>
      </c>
      <c r="AA24" s="76">
        <f ca="1">IF($J24&lt;&gt;0,VLOOKUP($L24,'Allocation Factors - C'!$B$13:$U$117,18,FALSE)*$J24,0)+IF($F24&lt;&gt;0,VLOOKUP($H24,'Allocation Factors - C'!$B$13:$U$117,18,FALSE)*$F24,0)</f>
        <v>0</v>
      </c>
      <c r="AB24" s="76">
        <f ca="1">IF($J24&lt;&gt;0,VLOOKUP($L24,'Allocation Factors - C'!$B$13:$U$117,19,FALSE)*$J24,0)+IF($F24&lt;&gt;0,VLOOKUP($H24,'Allocation Factors - C'!$B$13:$U$117,19,FALSE)*$F24,0)</f>
        <v>600.53255012234899</v>
      </c>
      <c r="AC24" s="76">
        <f ca="1">IF($J24&lt;&gt;0,VLOOKUP($L24,'Allocation Factors - C'!$B$13:$U$117,20,FALSE)*$J24,0)+IF($F24&lt;&gt;0,VLOOKUP($H24,'Allocation Factors - C'!$B$13:$U$117,20,FALSE)*$F24,0)</f>
        <v>0</v>
      </c>
    </row>
    <row r="25" spans="1:29" x14ac:dyDescent="0.25">
      <c r="A25" s="2">
        <f>A24+1</f>
        <v>9</v>
      </c>
      <c r="B25" s="31" t="s">
        <v>364</v>
      </c>
      <c r="D25" s="76">
        <f ca="1">'Total Allocation by Rate Zone'!Q25</f>
        <v>41736.052645523814</v>
      </c>
      <c r="F25" s="76">
        <f>'Rate Zone Allocation Factors'!H13</f>
        <v>18255.261304759439</v>
      </c>
      <c r="H25" s="2" t="s">
        <v>451</v>
      </c>
      <c r="J25" s="76">
        <f t="shared" ca="1" si="3"/>
        <v>23480.791340764375</v>
      </c>
      <c r="L25" s="2" t="s">
        <v>452</v>
      </c>
      <c r="N25" s="76">
        <f ca="1">IF($J25&lt;&gt;0,VLOOKUP($L25,'Allocation Factors - C'!$B$13:$U$117,5,FALSE)*$J25,0)+IF($F25&lt;&gt;0,VLOOKUP($H25,'Allocation Factors - C'!$B$13:$U$117,5,FALSE)*$F25,0)</f>
        <v>26048.965476040656</v>
      </c>
      <c r="O25" s="76">
        <f ca="1">IF($J25&lt;&gt;0,VLOOKUP($L25,'Allocation Factors - C'!$B$13:$U$117,6,FALSE)*$J25,0)+IF($F25&lt;&gt;0,VLOOKUP($H25,'Allocation Factors - C'!$B$13:$U$117,6,FALSE)*$F25,0)</f>
        <v>13165.47578959336</v>
      </c>
      <c r="P25" s="76">
        <f ca="1">IF($J25&lt;&gt;0,VLOOKUP($L25,'Allocation Factors - C'!$B$13:$U$117,7,FALSE)*$J25,0)+IF($F25&lt;&gt;0,VLOOKUP($H25,'Allocation Factors - C'!$B$13:$U$117,7,FALSE)*$F25,0)</f>
        <v>1726.401351166226</v>
      </c>
      <c r="Q25" s="76"/>
      <c r="R25" s="76"/>
      <c r="S25" s="76">
        <f ca="1">IF($J25&lt;&gt;0,VLOOKUP($L25,'Allocation Factors - C'!$B$13:$U$117,10,FALSE)*$J25,0)+IF($F25&lt;&gt;0,VLOOKUP($H25,'Allocation Factors - C'!$B$13:$U$117,10,FALSE)*$F25,0)</f>
        <v>0</v>
      </c>
      <c r="T25" s="76">
        <f ca="1">IF($J25&lt;&gt;0,VLOOKUP($L25,'Allocation Factors - C'!$B$13:$U$117,11,FALSE)*$J25,0)+IF($F25&lt;&gt;0,VLOOKUP($H25,'Allocation Factors - C'!$B$13:$U$117,11,FALSE)*$F25,0)</f>
        <v>0</v>
      </c>
      <c r="U25" s="76">
        <f ca="1">IF($J25&lt;&gt;0,VLOOKUP($L25,'Allocation Factors - C'!$B$13:$U$117,12,FALSE)*$J25,0)+IF($F25&lt;&gt;0,VLOOKUP($H25,'Allocation Factors - C'!$B$13:$U$117,12,FALSE)*$F25,0)</f>
        <v>0</v>
      </c>
      <c r="V25" s="76">
        <f ca="1">IF($J25&lt;&gt;0,VLOOKUP($L25,'Allocation Factors - C'!$B$13:$U$117,13,FALSE)*$J25,0)+IF($F25&lt;&gt;0,VLOOKUP($H25,'Allocation Factors - C'!$B$13:$U$117,13,FALSE)*$F25,0)</f>
        <v>0</v>
      </c>
      <c r="W25" s="76">
        <f ca="1">IF($J25&lt;&gt;0,VLOOKUP($L25,'Allocation Factors - C'!$B$13:$U$117,14,FALSE)*$J25,0)+IF($F25&lt;&gt;0,VLOOKUP($H25,'Allocation Factors - C'!$B$13:$U$117,14,FALSE)*$F25,0)</f>
        <v>0</v>
      </c>
      <c r="X25" s="76">
        <f ca="1">IF($J25&lt;&gt;0,VLOOKUP($L25,'Allocation Factors - C'!$B$13:$U$117,15,FALSE)*$J25,0)+IF($F25&lt;&gt;0,VLOOKUP($H25,'Allocation Factors - C'!$B$13:$U$117,15,FALSE)*$F25,0)</f>
        <v>0</v>
      </c>
      <c r="Y25" s="76">
        <f ca="1">IF($J25&lt;&gt;0,VLOOKUP($L25,'Allocation Factors - C'!$B$13:$U$117,16,FALSE)*$J25,0)+IF($F25&lt;&gt;0,VLOOKUP($H25,'Allocation Factors - C'!$B$13:$U$117,16,FALSE)*$F25,0)</f>
        <v>192.83258729255715</v>
      </c>
      <c r="Z25" s="76">
        <f ca="1">IF($J25&lt;&gt;0,VLOOKUP($L25,'Allocation Factors - C'!$B$13:$U$117,17,FALSE)*$J25,0)+IF($F25&lt;&gt;0,VLOOKUP($H25,'Allocation Factors - C'!$B$13:$U$117,17,FALSE)*$F25,0)</f>
        <v>0</v>
      </c>
      <c r="AA25" s="76">
        <f ca="1">IF($J25&lt;&gt;0,VLOOKUP($L25,'Allocation Factors - C'!$B$13:$U$117,18,FALSE)*$J25,0)+IF($F25&lt;&gt;0,VLOOKUP($H25,'Allocation Factors - C'!$B$13:$U$117,18,FALSE)*$F25,0)</f>
        <v>0</v>
      </c>
      <c r="AB25" s="76">
        <f ca="1">IF($J25&lt;&gt;0,VLOOKUP($L25,'Allocation Factors - C'!$B$13:$U$117,19,FALSE)*$J25,0)+IF($F25&lt;&gt;0,VLOOKUP($H25,'Allocation Factors - C'!$B$13:$U$117,19,FALSE)*$F25,0)</f>
        <v>602.37744143101213</v>
      </c>
      <c r="AC25" s="76">
        <f ca="1">IF($J25&lt;&gt;0,VLOOKUP($L25,'Allocation Factors - C'!$B$13:$U$117,20,FALSE)*$J25,0)+IF($F25&lt;&gt;0,VLOOKUP($H25,'Allocation Factors - C'!$B$13:$U$117,20,FALSE)*$F25,0)</f>
        <v>0</v>
      </c>
    </row>
    <row r="26" spans="1:29" x14ac:dyDescent="0.25">
      <c r="A26" s="2">
        <f t="shared" ref="A26:A28" si="4">A25+1</f>
        <v>10</v>
      </c>
      <c r="B26" s="31" t="s">
        <v>367</v>
      </c>
      <c r="D26" s="76">
        <f ca="1">'Total Allocation by Rate Zone'!Q26</f>
        <v>3465.2664142229587</v>
      </c>
      <c r="J26" s="76">
        <f t="shared" ca="1" si="3"/>
        <v>3465.2664142229587</v>
      </c>
      <c r="L26" s="2" t="s">
        <v>453</v>
      </c>
      <c r="N26" s="76">
        <f ca="1">IF($J26&lt;&gt;0,VLOOKUP($L26,'Allocation Factors - C'!$B$13:$U$117,5,FALSE)*$J26,0)+IF($F26&lt;&gt;0,VLOOKUP($H26,'Allocation Factors - C'!$B$13:$U$117,5,FALSE)*$F26,0)</f>
        <v>2217.484220965207</v>
      </c>
      <c r="O26" s="76">
        <f ca="1">IF($J26&lt;&gt;0,VLOOKUP($L26,'Allocation Factors - C'!$B$13:$U$117,6,FALSE)*$J26,0)+IF($F26&lt;&gt;0,VLOOKUP($H26,'Allocation Factors - C'!$B$13:$U$117,6,FALSE)*$F26,0)</f>
        <v>1141.2230510194152</v>
      </c>
      <c r="P26" s="76">
        <f ca="1">IF($J26&lt;&gt;0,VLOOKUP($L26,'Allocation Factors - C'!$B$13:$U$117,7,FALSE)*$J26,0)+IF($F26&lt;&gt;0,VLOOKUP($H26,'Allocation Factors - C'!$B$13:$U$117,7,FALSE)*$F26,0)</f>
        <v>61.837545071523188</v>
      </c>
      <c r="Q26" s="76"/>
      <c r="R26" s="76"/>
      <c r="S26" s="76">
        <f ca="1">IF($J26&lt;&gt;0,VLOOKUP($L26,'Allocation Factors - C'!$B$13:$U$117,10,FALSE)*$J26,0)+IF($F26&lt;&gt;0,VLOOKUP($H26,'Allocation Factors - C'!$B$13:$U$117,10,FALSE)*$F26,0)</f>
        <v>0</v>
      </c>
      <c r="T26" s="76">
        <f ca="1">IF($J26&lt;&gt;0,VLOOKUP($L26,'Allocation Factors - C'!$B$13:$U$117,11,FALSE)*$J26,0)+IF($F26&lt;&gt;0,VLOOKUP($H26,'Allocation Factors - C'!$B$13:$U$117,11,FALSE)*$F26,0)</f>
        <v>0</v>
      </c>
      <c r="U26" s="76">
        <f ca="1">IF($J26&lt;&gt;0,VLOOKUP($L26,'Allocation Factors - C'!$B$13:$U$117,12,FALSE)*$J26,0)+IF($F26&lt;&gt;0,VLOOKUP($H26,'Allocation Factors - C'!$B$13:$U$117,12,FALSE)*$F26,0)</f>
        <v>4.4764619110855133</v>
      </c>
      <c r="V26" s="76">
        <f ca="1">IF($J26&lt;&gt;0,VLOOKUP($L26,'Allocation Factors - C'!$B$13:$U$117,13,FALSE)*$J26,0)+IF($F26&lt;&gt;0,VLOOKUP($H26,'Allocation Factors - C'!$B$13:$U$117,13,FALSE)*$F26,0)</f>
        <v>0.24131795531018349</v>
      </c>
      <c r="W26" s="76">
        <f ca="1">IF($J26&lt;&gt;0,VLOOKUP($L26,'Allocation Factors - C'!$B$13:$U$117,14,FALSE)*$J26,0)+IF($F26&lt;&gt;0,VLOOKUP($H26,'Allocation Factors - C'!$B$13:$U$117,14,FALSE)*$F26,0)</f>
        <v>19.589302578672275</v>
      </c>
      <c r="X26" s="76">
        <f ca="1">IF($J26&lt;&gt;0,VLOOKUP($L26,'Allocation Factors - C'!$B$13:$U$117,15,FALSE)*$J26,0)+IF($F26&lt;&gt;0,VLOOKUP($H26,'Allocation Factors - C'!$B$13:$U$117,15,FALSE)*$F26,0)</f>
        <v>0.14003114333803826</v>
      </c>
      <c r="Y26" s="76">
        <f ca="1">IF($J26&lt;&gt;0,VLOOKUP($L26,'Allocation Factors - C'!$B$13:$U$117,16,FALSE)*$J26,0)+IF($F26&lt;&gt;0,VLOOKUP($H26,'Allocation Factors - C'!$B$13:$U$117,16,FALSE)*$F26,0)</f>
        <v>7.3988951359619515</v>
      </c>
      <c r="Z26" s="76">
        <f ca="1">IF($J26&lt;&gt;0,VLOOKUP($L26,'Allocation Factors - C'!$B$13:$U$117,17,FALSE)*$J26,0)+IF($F26&lt;&gt;0,VLOOKUP($H26,'Allocation Factors - C'!$B$13:$U$117,17,FALSE)*$F26,0)</f>
        <v>0.85737744070511657</v>
      </c>
      <c r="AA26" s="76">
        <f ca="1">IF($J26&lt;&gt;0,VLOOKUP($L26,'Allocation Factors - C'!$B$13:$U$117,18,FALSE)*$J26,0)+IF($F26&lt;&gt;0,VLOOKUP($H26,'Allocation Factors - C'!$B$13:$U$117,18,FALSE)*$F26,0)</f>
        <v>0</v>
      </c>
      <c r="AB26" s="76">
        <f ca="1">IF($J26&lt;&gt;0,VLOOKUP($L26,'Allocation Factors - C'!$B$13:$U$117,19,FALSE)*$J26,0)+IF($F26&lt;&gt;0,VLOOKUP($H26,'Allocation Factors - C'!$B$13:$U$117,19,FALSE)*$F26,0)</f>
        <v>12.018211001740362</v>
      </c>
      <c r="AC26" s="76">
        <f ca="1">IF($J26&lt;&gt;0,VLOOKUP($L26,'Allocation Factors - C'!$B$13:$U$117,20,FALSE)*$J26,0)+IF($F26&lt;&gt;0,VLOOKUP($H26,'Allocation Factors - C'!$B$13:$U$117,20,FALSE)*$F26,0)</f>
        <v>0</v>
      </c>
    </row>
    <row r="27" spans="1:29" x14ac:dyDescent="0.25">
      <c r="A27" s="2">
        <f t="shared" si="4"/>
        <v>11</v>
      </c>
      <c r="B27" s="31" t="s">
        <v>369</v>
      </c>
      <c r="D27" s="76">
        <f ca="1">'Total Allocation by Rate Zone'!Q27</f>
        <v>8224.957206916366</v>
      </c>
      <c r="J27" s="76">
        <f t="shared" ca="1" si="3"/>
        <v>8224.957206916366</v>
      </c>
      <c r="L27" s="2" t="s">
        <v>454</v>
      </c>
      <c r="N27" s="76">
        <f ca="1">IF($J27&lt;&gt;0,VLOOKUP($L27,'Allocation Factors - C'!$B$13:$U$117,5,FALSE)*$J27,0)+IF($F27&lt;&gt;0,VLOOKUP($H27,'Allocation Factors - C'!$B$13:$U$117,5,FALSE)*$F27,0)</f>
        <v>4286.0500096714086</v>
      </c>
      <c r="O27" s="76">
        <f ca="1">IF($J27&lt;&gt;0,VLOOKUP($L27,'Allocation Factors - C'!$B$13:$U$117,6,FALSE)*$J27,0)+IF($F27&lt;&gt;0,VLOOKUP($H27,'Allocation Factors - C'!$B$13:$U$117,6,FALSE)*$F27,0)</f>
        <v>2514.3753066771178</v>
      </c>
      <c r="P27" s="76">
        <f ca="1">IF($J27&lt;&gt;0,VLOOKUP($L27,'Allocation Factors - C'!$B$13:$U$117,7,FALSE)*$J27,0)+IF($F27&lt;&gt;0,VLOOKUP($H27,'Allocation Factors - C'!$B$13:$U$117,7,FALSE)*$F27,0)</f>
        <v>1038.2026437782743</v>
      </c>
      <c r="Q27" s="76"/>
      <c r="R27" s="76"/>
      <c r="S27" s="76">
        <f ca="1">IF($J27&lt;&gt;0,VLOOKUP($L27,'Allocation Factors - C'!$B$13:$U$117,10,FALSE)*$J27,0)+IF($F27&lt;&gt;0,VLOOKUP($H27,'Allocation Factors - C'!$B$13:$U$117,10,FALSE)*$F27,0)</f>
        <v>0</v>
      </c>
      <c r="T27" s="76">
        <f ca="1">IF($J27&lt;&gt;0,VLOOKUP($L27,'Allocation Factors - C'!$B$13:$U$117,11,FALSE)*$J27,0)+IF($F27&lt;&gt;0,VLOOKUP($H27,'Allocation Factors - C'!$B$13:$U$117,11,FALSE)*$F27,0)</f>
        <v>0</v>
      </c>
      <c r="U27" s="76">
        <f ca="1">IF($J27&lt;&gt;0,VLOOKUP($L27,'Allocation Factors - C'!$B$13:$U$117,12,FALSE)*$J27,0)+IF($F27&lt;&gt;0,VLOOKUP($H27,'Allocation Factors - C'!$B$13:$U$117,12,FALSE)*$F27,0)</f>
        <v>0</v>
      </c>
      <c r="V27" s="76">
        <f ca="1">IF($J27&lt;&gt;0,VLOOKUP($L27,'Allocation Factors - C'!$B$13:$U$117,13,FALSE)*$J27,0)+IF($F27&lt;&gt;0,VLOOKUP($H27,'Allocation Factors - C'!$B$13:$U$117,13,FALSE)*$F27,0)</f>
        <v>0</v>
      </c>
      <c r="W27" s="76">
        <f ca="1">IF($J27&lt;&gt;0,VLOOKUP($L27,'Allocation Factors - C'!$B$13:$U$117,14,FALSE)*$J27,0)+IF($F27&lt;&gt;0,VLOOKUP($H27,'Allocation Factors - C'!$B$13:$U$117,14,FALSE)*$F27,0)</f>
        <v>0</v>
      </c>
      <c r="X27" s="76">
        <f ca="1">IF($J27&lt;&gt;0,VLOOKUP($L27,'Allocation Factors - C'!$B$13:$U$117,15,FALSE)*$J27,0)+IF($F27&lt;&gt;0,VLOOKUP($H27,'Allocation Factors - C'!$B$13:$U$117,15,FALSE)*$F27,0)</f>
        <v>0</v>
      </c>
      <c r="Y27" s="76">
        <f ca="1">IF($J27&lt;&gt;0,VLOOKUP($L27,'Allocation Factors - C'!$B$13:$U$117,16,FALSE)*$J27,0)+IF($F27&lt;&gt;0,VLOOKUP($H27,'Allocation Factors - C'!$B$13:$U$117,16,FALSE)*$F27,0)</f>
        <v>225.61761534014317</v>
      </c>
      <c r="Z27" s="76">
        <f ca="1">IF($J27&lt;&gt;0,VLOOKUP($L27,'Allocation Factors - C'!$B$13:$U$117,17,FALSE)*$J27,0)+IF($F27&lt;&gt;0,VLOOKUP($H27,'Allocation Factors - C'!$B$13:$U$117,17,FALSE)*$F27,0)</f>
        <v>35.035004522400662</v>
      </c>
      <c r="AA27" s="76">
        <f ca="1">IF($J27&lt;&gt;0,VLOOKUP($L27,'Allocation Factors - C'!$B$13:$U$117,18,FALSE)*$J27,0)+IF($F27&lt;&gt;0,VLOOKUP($H27,'Allocation Factors - C'!$B$13:$U$117,18,FALSE)*$F27,0)</f>
        <v>0</v>
      </c>
      <c r="AB27" s="76">
        <f ca="1">IF($J27&lt;&gt;0,VLOOKUP($L27,'Allocation Factors - C'!$B$13:$U$117,19,FALSE)*$J27,0)+IF($F27&lt;&gt;0,VLOOKUP($H27,'Allocation Factors - C'!$B$13:$U$117,19,FALSE)*$F27,0)</f>
        <v>125.67662692702356</v>
      </c>
      <c r="AC27" s="76">
        <f ca="1">IF($J27&lt;&gt;0,VLOOKUP($L27,'Allocation Factors - C'!$B$13:$U$117,20,FALSE)*$J27,0)+IF($F27&lt;&gt;0,VLOOKUP($H27,'Allocation Factors - C'!$B$13:$U$117,20,FALSE)*$F27,0)</f>
        <v>0</v>
      </c>
    </row>
    <row r="28" spans="1:29" x14ac:dyDescent="0.25">
      <c r="A28" s="2">
        <f t="shared" si="4"/>
        <v>12</v>
      </c>
      <c r="B28" s="31" t="s">
        <v>371</v>
      </c>
      <c r="D28" s="40">
        <f ca="1">SUM(D24:D27)</f>
        <v>118310.42839338022</v>
      </c>
      <c r="F28" s="40">
        <f>SUM(F24:F27)</f>
        <v>18255.261304759439</v>
      </c>
      <c r="H28" s="115"/>
      <c r="J28" s="40">
        <f ca="1">SUM(J24:J27)</f>
        <v>100055.16708862079</v>
      </c>
      <c r="N28" s="40">
        <f t="shared" ref="N28:AB28" ca="1" si="5">SUM(N24:N27)</f>
        <v>73904.353775379757</v>
      </c>
      <c r="O28" s="40">
        <f t="shared" ca="1" si="5"/>
        <v>37501.534617753488</v>
      </c>
      <c r="P28" s="40">
        <f t="shared" ca="1" si="5"/>
        <v>5077.4217686577831</v>
      </c>
      <c r="Q28" s="40"/>
      <c r="R28" s="40"/>
      <c r="S28" s="40">
        <f t="shared" ca="1" si="5"/>
        <v>0</v>
      </c>
      <c r="T28" s="40">
        <f t="shared" ca="1" si="5"/>
        <v>0</v>
      </c>
      <c r="U28" s="40">
        <f t="shared" ca="1" si="5"/>
        <v>4.4764619110855133</v>
      </c>
      <c r="V28" s="40">
        <f t="shared" ca="1" si="5"/>
        <v>0.24131795531018349</v>
      </c>
      <c r="W28" s="40">
        <f t="shared" ca="1" si="5"/>
        <v>19.589302578672275</v>
      </c>
      <c r="X28" s="40">
        <f t="shared" ca="1" si="5"/>
        <v>0.14003114333803826</v>
      </c>
      <c r="Y28" s="40">
        <f t="shared" ca="1" si="5"/>
        <v>426.17390655555101</v>
      </c>
      <c r="Z28" s="40">
        <f t="shared" ca="1" si="5"/>
        <v>35.892381963105777</v>
      </c>
      <c r="AA28" s="40">
        <f t="shared" ca="1" si="5"/>
        <v>0</v>
      </c>
      <c r="AB28" s="40">
        <f t="shared" ca="1" si="5"/>
        <v>1340.6048294821251</v>
      </c>
      <c r="AC28" s="40">
        <f ca="1">SUM(AC24:AC27)</f>
        <v>0</v>
      </c>
    </row>
    <row r="29" spans="1:29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</row>
    <row r="30" spans="1:29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x14ac:dyDescent="0.25">
      <c r="A31" s="2">
        <f>A28+1</f>
        <v>13</v>
      </c>
      <c r="B31" s="31" t="s">
        <v>373</v>
      </c>
      <c r="D31" s="76">
        <f ca="1">'Total Allocation by Rate Zone'!Q31</f>
        <v>5058.8991334695847</v>
      </c>
      <c r="J31" s="76">
        <f t="shared" ref="J31:J38" ca="1" si="6">D31-F31</f>
        <v>5058.8991334695847</v>
      </c>
      <c r="L31" s="2" t="s">
        <v>455</v>
      </c>
      <c r="N31" s="76">
        <f ca="1">IF($J31&lt;&gt;0,VLOOKUP($L31,'Allocation Factors - C'!$B$13:$U$117,5,FALSE)*$J31,0)+IF($F31&lt;&gt;0,VLOOKUP($H31,'Allocation Factors - C'!$B$13:$U$117,5,FALSE)*$F31,0)</f>
        <v>3076.7076183477202</v>
      </c>
      <c r="O31" s="76">
        <f ca="1">IF($J31&lt;&gt;0,VLOOKUP($L31,'Allocation Factors - C'!$B$13:$U$117,6,FALSE)*$J31,0)+IF($F31&lt;&gt;0,VLOOKUP($H31,'Allocation Factors - C'!$B$13:$U$117,6,FALSE)*$F31,0)</f>
        <v>1624.0472729890553</v>
      </c>
      <c r="P31" s="76">
        <f ca="1">IF($J31&lt;&gt;0,VLOOKUP($L31,'Allocation Factors - C'!$B$13:$U$117,7,FALSE)*$J31,0)+IF($F31&lt;&gt;0,VLOOKUP($H31,'Allocation Factors - C'!$B$13:$U$117,7,FALSE)*$F31,0)</f>
        <v>318.21514641448931</v>
      </c>
      <c r="Q31" s="76"/>
      <c r="R31" s="76"/>
      <c r="S31" s="76">
        <f ca="1">IF($J31&lt;&gt;0,VLOOKUP($L31,'Allocation Factors - C'!$B$13:$U$117,10,FALSE)*$J31,0)+IF($F31&lt;&gt;0,VLOOKUP($H31,'Allocation Factors - C'!$B$13:$U$117,10,FALSE)*$F31,0)</f>
        <v>0</v>
      </c>
      <c r="T31" s="76">
        <f ca="1">IF($J31&lt;&gt;0,VLOOKUP($L31,'Allocation Factors - C'!$B$13:$U$117,11,FALSE)*$J31,0)+IF($F31&lt;&gt;0,VLOOKUP($H31,'Allocation Factors - C'!$B$13:$U$117,11,FALSE)*$F31,0)</f>
        <v>0</v>
      </c>
      <c r="U31" s="76">
        <f ca="1">IF($J31&lt;&gt;0,VLOOKUP($L31,'Allocation Factors - C'!$B$13:$U$117,12,FALSE)*$J31,0)+IF($F31&lt;&gt;0,VLOOKUP($H31,'Allocation Factors - C'!$B$13:$U$117,12,FALSE)*$F31,0)</f>
        <v>0</v>
      </c>
      <c r="V31" s="76">
        <f ca="1">IF($J31&lt;&gt;0,VLOOKUP($L31,'Allocation Factors - C'!$B$13:$U$117,13,FALSE)*$J31,0)+IF($F31&lt;&gt;0,VLOOKUP($H31,'Allocation Factors - C'!$B$13:$U$117,13,FALSE)*$F31,0)</f>
        <v>0</v>
      </c>
      <c r="W31" s="76">
        <f ca="1">IF($J31&lt;&gt;0,VLOOKUP($L31,'Allocation Factors - C'!$B$13:$U$117,14,FALSE)*$J31,0)+IF($F31&lt;&gt;0,VLOOKUP($H31,'Allocation Factors - C'!$B$13:$U$117,14,FALSE)*$F31,0)</f>
        <v>0</v>
      </c>
      <c r="X31" s="76">
        <f ca="1">IF($J31&lt;&gt;0,VLOOKUP($L31,'Allocation Factors - C'!$B$13:$U$117,15,FALSE)*$J31,0)+IF($F31&lt;&gt;0,VLOOKUP($H31,'Allocation Factors - C'!$B$13:$U$117,15,FALSE)*$F31,0)</f>
        <v>0</v>
      </c>
      <c r="Y31" s="76">
        <f ca="1">IF($J31&lt;&gt;0,VLOOKUP($L31,'Allocation Factors - C'!$B$13:$U$117,16,FALSE)*$J31,0)+IF($F31&lt;&gt;0,VLOOKUP($H31,'Allocation Factors - C'!$B$13:$U$117,16,FALSE)*$F31,0)</f>
        <v>0</v>
      </c>
      <c r="Z31" s="76">
        <f ca="1">IF($J31&lt;&gt;0,VLOOKUP($L31,'Allocation Factors - C'!$B$13:$U$117,17,FALSE)*$J31,0)+IF($F31&lt;&gt;0,VLOOKUP($H31,'Allocation Factors - C'!$B$13:$U$117,17,FALSE)*$F31,0)</f>
        <v>0.90214179681191153</v>
      </c>
      <c r="AA31" s="76">
        <f ca="1">IF($J31&lt;&gt;0,VLOOKUP($L31,'Allocation Factors - C'!$B$13:$U$117,18,FALSE)*$J31,0)+IF($F31&lt;&gt;0,VLOOKUP($H31,'Allocation Factors - C'!$B$13:$U$117,18,FALSE)*$F31,0)</f>
        <v>0</v>
      </c>
      <c r="AB31" s="76">
        <f ca="1">IF($J31&lt;&gt;0,VLOOKUP($L31,'Allocation Factors - C'!$B$13:$U$117,19,FALSE)*$J31,0)+IF($F31&lt;&gt;0,VLOOKUP($H31,'Allocation Factors - C'!$B$13:$U$117,19,FALSE)*$F31,0)</f>
        <v>39.026953921507435</v>
      </c>
      <c r="AC31" s="76">
        <f ca="1">IF($J31&lt;&gt;0,VLOOKUP($L31,'Allocation Factors - C'!$B$13:$U$117,20,FALSE)*$J31,0)+IF($F31&lt;&gt;0,VLOOKUP($H31,'Allocation Factors - C'!$B$13:$U$117,20,FALSE)*$F31,0)</f>
        <v>0</v>
      </c>
    </row>
    <row r="32" spans="1:29" x14ac:dyDescent="0.25">
      <c r="A32" s="2">
        <f>A31+1</f>
        <v>14</v>
      </c>
      <c r="B32" s="31" t="s">
        <v>375</v>
      </c>
      <c r="D32" s="76">
        <f ca="1">'Total Allocation by Rate Zone'!Q32</f>
        <v>135.75366221986272</v>
      </c>
      <c r="J32" s="76">
        <f t="shared" ca="1" si="6"/>
        <v>135.75366221986272</v>
      </c>
      <c r="L32" s="2" t="s">
        <v>456</v>
      </c>
      <c r="N32" s="76">
        <f ca="1">IF($J32&lt;&gt;0,VLOOKUP($L32,'Allocation Factors - C'!$B$13:$U$117,5,FALSE)*$J32,0)+IF($F32&lt;&gt;0,VLOOKUP($H32,'Allocation Factors - C'!$B$13:$U$117,5,FALSE)*$F32,0)</f>
        <v>82.562295817904143</v>
      </c>
      <c r="O32" s="76">
        <f ca="1">IF($J32&lt;&gt;0,VLOOKUP($L32,'Allocation Factors - C'!$B$13:$U$117,6,FALSE)*$J32,0)+IF($F32&lt;&gt;0,VLOOKUP($H32,'Allocation Factors - C'!$B$13:$U$117,6,FALSE)*$F32,0)</f>
        <v>43.580699893345859</v>
      </c>
      <c r="P32" s="76">
        <f ca="1">IF($J32&lt;&gt;0,VLOOKUP($L32,'Allocation Factors - C'!$B$13:$U$117,7,FALSE)*$J32,0)+IF($F32&lt;&gt;0,VLOOKUP($H32,'Allocation Factors - C'!$B$13:$U$117,7,FALSE)*$F32,0)</f>
        <v>8.5391841900530903</v>
      </c>
      <c r="Q32" s="76"/>
      <c r="R32" s="76"/>
      <c r="S32" s="76">
        <f ca="1">IF($J32&lt;&gt;0,VLOOKUP($L32,'Allocation Factors - C'!$B$13:$U$117,10,FALSE)*$J32,0)+IF($F32&lt;&gt;0,VLOOKUP($H32,'Allocation Factors - C'!$B$13:$U$117,10,FALSE)*$F32,0)</f>
        <v>0</v>
      </c>
      <c r="T32" s="76">
        <f ca="1">IF($J32&lt;&gt;0,VLOOKUP($L32,'Allocation Factors - C'!$B$13:$U$117,11,FALSE)*$J32,0)+IF($F32&lt;&gt;0,VLOOKUP($H32,'Allocation Factors - C'!$B$13:$U$117,11,FALSE)*$F32,0)</f>
        <v>0</v>
      </c>
      <c r="U32" s="76">
        <f ca="1">IF($J32&lt;&gt;0,VLOOKUP($L32,'Allocation Factors - C'!$B$13:$U$117,12,FALSE)*$J32,0)+IF($F32&lt;&gt;0,VLOOKUP($H32,'Allocation Factors - C'!$B$13:$U$117,12,FALSE)*$F32,0)</f>
        <v>0</v>
      </c>
      <c r="V32" s="76">
        <f ca="1">IF($J32&lt;&gt;0,VLOOKUP($L32,'Allocation Factors - C'!$B$13:$U$117,13,FALSE)*$J32,0)+IF($F32&lt;&gt;0,VLOOKUP($H32,'Allocation Factors - C'!$B$13:$U$117,13,FALSE)*$F32,0)</f>
        <v>0</v>
      </c>
      <c r="W32" s="76">
        <f ca="1">IF($J32&lt;&gt;0,VLOOKUP($L32,'Allocation Factors - C'!$B$13:$U$117,14,FALSE)*$J32,0)+IF($F32&lt;&gt;0,VLOOKUP($H32,'Allocation Factors - C'!$B$13:$U$117,14,FALSE)*$F32,0)</f>
        <v>0</v>
      </c>
      <c r="X32" s="76">
        <f ca="1">IF($J32&lt;&gt;0,VLOOKUP($L32,'Allocation Factors - C'!$B$13:$U$117,15,FALSE)*$J32,0)+IF($F32&lt;&gt;0,VLOOKUP($H32,'Allocation Factors - C'!$B$13:$U$117,15,FALSE)*$F32,0)</f>
        <v>0</v>
      </c>
      <c r="Y32" s="76">
        <f ca="1">IF($J32&lt;&gt;0,VLOOKUP($L32,'Allocation Factors - C'!$B$13:$U$117,16,FALSE)*$J32,0)+IF($F32&lt;&gt;0,VLOOKUP($H32,'Allocation Factors - C'!$B$13:$U$117,16,FALSE)*$F32,0)</f>
        <v>0</v>
      </c>
      <c r="Z32" s="76">
        <f ca="1">IF($J32&lt;&gt;0,VLOOKUP($L32,'Allocation Factors - C'!$B$13:$U$117,17,FALSE)*$J32,0)+IF($F32&lt;&gt;0,VLOOKUP($H32,'Allocation Factors - C'!$B$13:$U$117,17,FALSE)*$F32,0)</f>
        <v>2.420863700336922E-2</v>
      </c>
      <c r="AA32" s="76">
        <f ca="1">IF($J32&lt;&gt;0,VLOOKUP($L32,'Allocation Factors - C'!$B$13:$U$117,18,FALSE)*$J32,0)+IF($F32&lt;&gt;0,VLOOKUP($H32,'Allocation Factors - C'!$B$13:$U$117,18,FALSE)*$F32,0)</f>
        <v>0</v>
      </c>
      <c r="AB32" s="76">
        <f ca="1">IF($J32&lt;&gt;0,VLOOKUP($L32,'Allocation Factors - C'!$B$13:$U$117,19,FALSE)*$J32,0)+IF($F32&lt;&gt;0,VLOOKUP($H32,'Allocation Factors - C'!$B$13:$U$117,19,FALSE)*$F32,0)</f>
        <v>1.0472736815562604</v>
      </c>
      <c r="AC32" s="76">
        <f ca="1">IF($J32&lt;&gt;0,VLOOKUP($L32,'Allocation Factors - C'!$B$13:$U$117,20,FALSE)*$J32,0)+IF($F32&lt;&gt;0,VLOOKUP($H32,'Allocation Factors - C'!$B$13:$U$117,20,FALSE)*$F32,0)</f>
        <v>0</v>
      </c>
    </row>
    <row r="33" spans="1:29" x14ac:dyDescent="0.25">
      <c r="A33" s="2">
        <f t="shared" ref="A33:A39" si="7">A32+1</f>
        <v>15</v>
      </c>
      <c r="B33" s="31" t="s">
        <v>377</v>
      </c>
      <c r="D33" s="76">
        <f ca="1">'Total Allocation by Rate Zone'!Q33</f>
        <v>20136.013668639356</v>
      </c>
      <c r="J33" s="76">
        <f t="shared" ca="1" si="6"/>
        <v>20136.013668639356</v>
      </c>
      <c r="L33" s="2" t="s">
        <v>457</v>
      </c>
      <c r="N33" s="76">
        <f ca="1">IF($J33&lt;&gt;0,VLOOKUP($L33,'Allocation Factors - C'!$B$13:$U$117,5,FALSE)*$J33,0)+IF($F33&lt;&gt;0,VLOOKUP($H33,'Allocation Factors - C'!$B$13:$U$117,5,FALSE)*$F33,0)</f>
        <v>12246.267011663753</v>
      </c>
      <c r="O33" s="76">
        <f ca="1">IF($J33&lt;&gt;0,VLOOKUP($L33,'Allocation Factors - C'!$B$13:$U$117,6,FALSE)*$J33,0)+IF($F33&lt;&gt;0,VLOOKUP($H33,'Allocation Factors - C'!$B$13:$U$117,6,FALSE)*$F33,0)</f>
        <v>6464.2205278085676</v>
      </c>
      <c r="P33" s="76">
        <f ca="1">IF($J33&lt;&gt;0,VLOOKUP($L33,'Allocation Factors - C'!$B$13:$U$117,7,FALSE)*$J33,0)+IF($F33&lt;&gt;0,VLOOKUP($H33,'Allocation Factors - C'!$B$13:$U$117,7,FALSE)*$F33,0)</f>
        <v>1266.5958363846996</v>
      </c>
      <c r="Q33" s="76"/>
      <c r="R33" s="76"/>
      <c r="S33" s="76">
        <f ca="1">IF($J33&lt;&gt;0,VLOOKUP($L33,'Allocation Factors - C'!$B$13:$U$117,10,FALSE)*$J33,0)+IF($F33&lt;&gt;0,VLOOKUP($H33,'Allocation Factors - C'!$B$13:$U$117,10,FALSE)*$F33,0)</f>
        <v>0</v>
      </c>
      <c r="T33" s="76">
        <f ca="1">IF($J33&lt;&gt;0,VLOOKUP($L33,'Allocation Factors - C'!$B$13:$U$117,11,FALSE)*$J33,0)+IF($F33&lt;&gt;0,VLOOKUP($H33,'Allocation Factors - C'!$B$13:$U$117,11,FALSE)*$F33,0)</f>
        <v>0</v>
      </c>
      <c r="U33" s="76">
        <f ca="1">IF($J33&lt;&gt;0,VLOOKUP($L33,'Allocation Factors - C'!$B$13:$U$117,12,FALSE)*$J33,0)+IF($F33&lt;&gt;0,VLOOKUP($H33,'Allocation Factors - C'!$B$13:$U$117,12,FALSE)*$F33,0)</f>
        <v>0</v>
      </c>
      <c r="V33" s="76">
        <f ca="1">IF($J33&lt;&gt;0,VLOOKUP($L33,'Allocation Factors - C'!$B$13:$U$117,13,FALSE)*$J33,0)+IF($F33&lt;&gt;0,VLOOKUP($H33,'Allocation Factors - C'!$B$13:$U$117,13,FALSE)*$F33,0)</f>
        <v>0</v>
      </c>
      <c r="W33" s="76">
        <f ca="1">IF($J33&lt;&gt;0,VLOOKUP($L33,'Allocation Factors - C'!$B$13:$U$117,14,FALSE)*$J33,0)+IF($F33&lt;&gt;0,VLOOKUP($H33,'Allocation Factors - C'!$B$13:$U$117,14,FALSE)*$F33,0)</f>
        <v>0</v>
      </c>
      <c r="X33" s="76">
        <f ca="1">IF($J33&lt;&gt;0,VLOOKUP($L33,'Allocation Factors - C'!$B$13:$U$117,15,FALSE)*$J33,0)+IF($F33&lt;&gt;0,VLOOKUP($H33,'Allocation Factors - C'!$B$13:$U$117,15,FALSE)*$F33,0)</f>
        <v>0</v>
      </c>
      <c r="Y33" s="76">
        <f ca="1">IF($J33&lt;&gt;0,VLOOKUP($L33,'Allocation Factors - C'!$B$13:$U$117,16,FALSE)*$J33,0)+IF($F33&lt;&gt;0,VLOOKUP($H33,'Allocation Factors - C'!$B$13:$U$117,16,FALSE)*$F33,0)</f>
        <v>0</v>
      </c>
      <c r="Z33" s="76">
        <f ca="1">IF($J33&lt;&gt;0,VLOOKUP($L33,'Allocation Factors - C'!$B$13:$U$117,17,FALSE)*$J33,0)+IF($F33&lt;&gt;0,VLOOKUP($H33,'Allocation Factors - C'!$B$13:$U$117,17,FALSE)*$F33,0)</f>
        <v>3.5908065865043</v>
      </c>
      <c r="AA33" s="76">
        <f ca="1">IF($J33&lt;&gt;0,VLOOKUP($L33,'Allocation Factors - C'!$B$13:$U$117,18,FALSE)*$J33,0)+IF($F33&lt;&gt;0,VLOOKUP($H33,'Allocation Factors - C'!$B$13:$U$117,18,FALSE)*$F33,0)</f>
        <v>0</v>
      </c>
      <c r="AB33" s="76">
        <f ca="1">IF($J33&lt;&gt;0,VLOOKUP($L33,'Allocation Factors - C'!$B$13:$U$117,19,FALSE)*$J33,0)+IF($F33&lt;&gt;0,VLOOKUP($H33,'Allocation Factors - C'!$B$13:$U$117,19,FALSE)*$F33,0)</f>
        <v>155.3394861958339</v>
      </c>
      <c r="AC33" s="76">
        <f ca="1">IF($J33&lt;&gt;0,VLOOKUP($L33,'Allocation Factors - C'!$B$13:$U$117,20,FALSE)*$J33,0)+IF($F33&lt;&gt;0,VLOOKUP($H33,'Allocation Factors - C'!$B$13:$U$117,20,FALSE)*$F33,0)</f>
        <v>0</v>
      </c>
    </row>
    <row r="34" spans="1:29" x14ac:dyDescent="0.25">
      <c r="A34" s="2">
        <f t="shared" si="7"/>
        <v>16</v>
      </c>
      <c r="B34" s="31" t="s">
        <v>379</v>
      </c>
      <c r="D34" s="76">
        <f ca="1">'Total Allocation by Rate Zone'!Q34</f>
        <v>110385.58057496099</v>
      </c>
      <c r="J34" s="76">
        <f t="shared" ca="1" si="6"/>
        <v>110385.58057496099</v>
      </c>
      <c r="L34" s="2" t="s">
        <v>458</v>
      </c>
      <c r="N34" s="76">
        <f ca="1">IF($J34&lt;&gt;0,VLOOKUP($L34,'Allocation Factors - C'!$B$13:$U$117,5,FALSE)*$J34,0)+IF($F34&lt;&gt;0,VLOOKUP($H34,'Allocation Factors - C'!$B$13:$U$117,5,FALSE)*$F34,0)</f>
        <v>67134.004404984342</v>
      </c>
      <c r="O34" s="76">
        <f ca="1">IF($J34&lt;&gt;0,VLOOKUP($L34,'Allocation Factors - C'!$B$13:$U$117,6,FALSE)*$J34,0)+IF($F34&lt;&gt;0,VLOOKUP($H34,'Allocation Factors - C'!$B$13:$U$117,6,FALSE)*$F34,0)</f>
        <v>35436.840383715629</v>
      </c>
      <c r="P34" s="76">
        <f ca="1">IF($J34&lt;&gt;0,VLOOKUP($L34,'Allocation Factors - C'!$B$13:$U$117,7,FALSE)*$J34,0)+IF($F34&lt;&gt;0,VLOOKUP($H34,'Allocation Factors - C'!$B$13:$U$117,7,FALSE)*$F34,0)</f>
        <v>6943.479748847777</v>
      </c>
      <c r="Q34" s="76"/>
      <c r="R34" s="76"/>
      <c r="S34" s="76">
        <f ca="1">IF($J34&lt;&gt;0,VLOOKUP($L34,'Allocation Factors - C'!$B$13:$U$117,10,FALSE)*$J34,0)+IF($F34&lt;&gt;0,VLOOKUP($H34,'Allocation Factors - C'!$B$13:$U$117,10,FALSE)*$F34,0)</f>
        <v>0</v>
      </c>
      <c r="T34" s="76">
        <f ca="1">IF($J34&lt;&gt;0,VLOOKUP($L34,'Allocation Factors - C'!$B$13:$U$117,11,FALSE)*$J34,0)+IF($F34&lt;&gt;0,VLOOKUP($H34,'Allocation Factors - C'!$B$13:$U$117,11,FALSE)*$F34,0)</f>
        <v>0</v>
      </c>
      <c r="U34" s="76">
        <f ca="1">IF($J34&lt;&gt;0,VLOOKUP($L34,'Allocation Factors - C'!$B$13:$U$117,12,FALSE)*$J34,0)+IF($F34&lt;&gt;0,VLOOKUP($H34,'Allocation Factors - C'!$B$13:$U$117,12,FALSE)*$F34,0)</f>
        <v>0</v>
      </c>
      <c r="V34" s="76">
        <f ca="1">IF($J34&lt;&gt;0,VLOOKUP($L34,'Allocation Factors - C'!$B$13:$U$117,13,FALSE)*$J34,0)+IF($F34&lt;&gt;0,VLOOKUP($H34,'Allocation Factors - C'!$B$13:$U$117,13,FALSE)*$F34,0)</f>
        <v>0</v>
      </c>
      <c r="W34" s="76">
        <f ca="1">IF($J34&lt;&gt;0,VLOOKUP($L34,'Allocation Factors - C'!$B$13:$U$117,14,FALSE)*$J34,0)+IF($F34&lt;&gt;0,VLOOKUP($H34,'Allocation Factors - C'!$B$13:$U$117,14,FALSE)*$F34,0)</f>
        <v>0</v>
      </c>
      <c r="X34" s="76">
        <f ca="1">IF($J34&lt;&gt;0,VLOOKUP($L34,'Allocation Factors - C'!$B$13:$U$117,15,FALSE)*$J34,0)+IF($F34&lt;&gt;0,VLOOKUP($H34,'Allocation Factors - C'!$B$13:$U$117,15,FALSE)*$F34,0)</f>
        <v>0</v>
      </c>
      <c r="Y34" s="76">
        <f ca="1">IF($J34&lt;&gt;0,VLOOKUP($L34,'Allocation Factors - C'!$B$13:$U$117,16,FALSE)*$J34,0)+IF($F34&lt;&gt;0,VLOOKUP($H34,'Allocation Factors - C'!$B$13:$U$117,16,FALSE)*$F34,0)</f>
        <v>0</v>
      </c>
      <c r="Z34" s="76">
        <f ca="1">IF($J34&lt;&gt;0,VLOOKUP($L34,'Allocation Factors - C'!$B$13:$U$117,17,FALSE)*$J34,0)+IF($F34&lt;&gt;0,VLOOKUP($H34,'Allocation Factors - C'!$B$13:$U$117,17,FALSE)*$F34,0)</f>
        <v>19.684805601910316</v>
      </c>
      <c r="AA34" s="76">
        <f ca="1">IF($J34&lt;&gt;0,VLOOKUP($L34,'Allocation Factors - C'!$B$13:$U$117,18,FALSE)*$J34,0)+IF($F34&lt;&gt;0,VLOOKUP($H34,'Allocation Factors - C'!$B$13:$U$117,18,FALSE)*$F34,0)</f>
        <v>0</v>
      </c>
      <c r="AB34" s="76">
        <f ca="1">IF($J34&lt;&gt;0,VLOOKUP($L34,'Allocation Factors - C'!$B$13:$U$117,19,FALSE)*$J34,0)+IF($F34&lt;&gt;0,VLOOKUP($H34,'Allocation Factors - C'!$B$13:$U$117,19,FALSE)*$F34,0)</f>
        <v>851.57123181130703</v>
      </c>
      <c r="AC34" s="76">
        <f ca="1">IF($J34&lt;&gt;0,VLOOKUP($L34,'Allocation Factors - C'!$B$13:$U$117,20,FALSE)*$J34,0)+IF($F34&lt;&gt;0,VLOOKUP($H34,'Allocation Factors - C'!$B$13:$U$117,20,FALSE)*$F34,0)</f>
        <v>0</v>
      </c>
    </row>
    <row r="35" spans="1:29" x14ac:dyDescent="0.25">
      <c r="A35" s="2">
        <f t="shared" si="7"/>
        <v>17</v>
      </c>
      <c r="B35" s="31" t="s">
        <v>381</v>
      </c>
      <c r="D35" s="76">
        <f ca="1">'Total Allocation by Rate Zone'!Q35</f>
        <v>12227.889051322658</v>
      </c>
      <c r="J35" s="76">
        <f t="shared" ca="1" si="6"/>
        <v>12227.889051322658</v>
      </c>
      <c r="L35" s="2" t="s">
        <v>459</v>
      </c>
      <c r="N35" s="76">
        <f ca="1">IF($J35&lt;&gt;0,VLOOKUP($L35,'Allocation Factors - C'!$B$13:$U$117,5,FALSE)*$J35,0)+IF($F35&lt;&gt;0,VLOOKUP($H35,'Allocation Factors - C'!$B$13:$U$117,5,FALSE)*$F35,0)</f>
        <v>7432.4661198641688</v>
      </c>
      <c r="O35" s="76">
        <f ca="1">IF($J35&lt;&gt;0,VLOOKUP($L35,'Allocation Factors - C'!$B$13:$U$117,6,FALSE)*$J35,0)+IF($F35&lt;&gt;0,VLOOKUP($H35,'Allocation Factors - C'!$B$13:$U$117,6,FALSE)*$F35,0)</f>
        <v>4013.9229188766662</v>
      </c>
      <c r="P35" s="76">
        <f ca="1">IF($J35&lt;&gt;0,VLOOKUP($L35,'Allocation Factors - C'!$B$13:$U$117,7,FALSE)*$J35,0)+IF($F35&lt;&gt;0,VLOOKUP($H35,'Allocation Factors - C'!$B$13:$U$117,7,FALSE)*$F35,0)</f>
        <v>779.02532534756585</v>
      </c>
      <c r="Q35" s="76"/>
      <c r="R35" s="76"/>
      <c r="S35" s="76">
        <f ca="1">IF($J35&lt;&gt;0,VLOOKUP($L35,'Allocation Factors - C'!$B$13:$U$117,10,FALSE)*$J35,0)+IF($F35&lt;&gt;0,VLOOKUP($H35,'Allocation Factors - C'!$B$13:$U$117,10,FALSE)*$F35,0)</f>
        <v>0</v>
      </c>
      <c r="T35" s="76">
        <f ca="1">IF($J35&lt;&gt;0,VLOOKUP($L35,'Allocation Factors - C'!$B$13:$U$117,11,FALSE)*$J35,0)+IF($F35&lt;&gt;0,VLOOKUP($H35,'Allocation Factors - C'!$B$13:$U$117,11,FALSE)*$F35,0)</f>
        <v>0</v>
      </c>
      <c r="U35" s="76">
        <f ca="1">IF($J35&lt;&gt;0,VLOOKUP($L35,'Allocation Factors - C'!$B$13:$U$117,12,FALSE)*$J35,0)+IF($F35&lt;&gt;0,VLOOKUP($H35,'Allocation Factors - C'!$B$13:$U$117,12,FALSE)*$F35,0)</f>
        <v>0</v>
      </c>
      <c r="V35" s="76">
        <f ca="1">IF($J35&lt;&gt;0,VLOOKUP($L35,'Allocation Factors - C'!$B$13:$U$117,13,FALSE)*$J35,0)+IF($F35&lt;&gt;0,VLOOKUP($H35,'Allocation Factors - C'!$B$13:$U$117,13,FALSE)*$F35,0)</f>
        <v>0</v>
      </c>
      <c r="W35" s="76">
        <f ca="1">IF($J35&lt;&gt;0,VLOOKUP($L35,'Allocation Factors - C'!$B$13:$U$117,14,FALSE)*$J35,0)+IF($F35&lt;&gt;0,VLOOKUP($H35,'Allocation Factors - C'!$B$13:$U$117,14,FALSE)*$F35,0)</f>
        <v>0</v>
      </c>
      <c r="X35" s="76">
        <f ca="1">IF($J35&lt;&gt;0,VLOOKUP($L35,'Allocation Factors - C'!$B$13:$U$117,15,FALSE)*$J35,0)+IF($F35&lt;&gt;0,VLOOKUP($H35,'Allocation Factors - C'!$B$13:$U$117,15,FALSE)*$F35,0)</f>
        <v>0</v>
      </c>
      <c r="Y35" s="76">
        <f ca="1">IF($J35&lt;&gt;0,VLOOKUP($L35,'Allocation Factors - C'!$B$13:$U$117,16,FALSE)*$J35,0)+IF($F35&lt;&gt;0,VLOOKUP($H35,'Allocation Factors - C'!$B$13:$U$117,16,FALSE)*$F35,0)</f>
        <v>0</v>
      </c>
      <c r="Z35" s="76">
        <f ca="1">IF($J35&lt;&gt;0,VLOOKUP($L35,'Allocation Factors - C'!$B$13:$U$117,17,FALSE)*$J35,0)+IF($F35&lt;&gt;0,VLOOKUP($H35,'Allocation Factors - C'!$B$13:$U$117,17,FALSE)*$F35,0)</f>
        <v>2.474687234256765</v>
      </c>
      <c r="AA35" s="76">
        <f ca="1">IF($J35&lt;&gt;0,VLOOKUP($L35,'Allocation Factors - C'!$B$13:$U$117,18,FALSE)*$J35,0)+IF($F35&lt;&gt;0,VLOOKUP($H35,'Allocation Factors - C'!$B$13:$U$117,18,FALSE)*$F35,0)</f>
        <v>0</v>
      </c>
      <c r="AB35" s="76">
        <f ca="1">IF($J35&lt;&gt;0,VLOOKUP($L35,'Allocation Factors - C'!$B$13:$U$117,19,FALSE)*$J35,0)+IF($F35&lt;&gt;0,VLOOKUP($H35,'Allocation Factors - C'!$B$13:$U$117,19,FALSE)*$F35,0)</f>
        <v>0</v>
      </c>
      <c r="AC35" s="76">
        <f ca="1">IF($J35&lt;&gt;0,VLOOKUP($L35,'Allocation Factors - C'!$B$13:$U$117,20,FALSE)*$J35,0)+IF($F35&lt;&gt;0,VLOOKUP($H35,'Allocation Factors - C'!$B$13:$U$117,20,FALSE)*$F35,0)</f>
        <v>0</v>
      </c>
    </row>
    <row r="36" spans="1:29" x14ac:dyDescent="0.25">
      <c r="A36" s="2">
        <f t="shared" si="7"/>
        <v>18</v>
      </c>
      <c r="B36" s="31" t="s">
        <v>383</v>
      </c>
      <c r="D36" s="76">
        <f ca="1">'Total Allocation by Rate Zone'!Q36</f>
        <v>0</v>
      </c>
      <c r="J36" s="76">
        <f t="shared" ca="1" si="6"/>
        <v>0</v>
      </c>
      <c r="L36" s="2" t="s">
        <v>460</v>
      </c>
      <c r="N36" s="76">
        <f ca="1">IF($J36&lt;&gt;0,VLOOKUP($L36,'Allocation Factors - C'!$B$13:$U$117,5,FALSE)*$J36,0)+IF($F36&lt;&gt;0,VLOOKUP($H36,'Allocation Factors - C'!$B$13:$U$117,5,FALSE)*$F36,0)</f>
        <v>0</v>
      </c>
      <c r="O36" s="76">
        <f ca="1">IF($J36&lt;&gt;0,VLOOKUP($L36,'Allocation Factors - C'!$B$13:$U$117,6,FALSE)*$J36,0)+IF($F36&lt;&gt;0,VLOOKUP($H36,'Allocation Factors - C'!$B$13:$U$117,6,FALSE)*$F36,0)</f>
        <v>0</v>
      </c>
      <c r="P36" s="76">
        <f ca="1">IF($J36&lt;&gt;0,VLOOKUP($L36,'Allocation Factors - C'!$B$13:$U$117,7,FALSE)*$J36,0)+IF($F36&lt;&gt;0,VLOOKUP($H36,'Allocation Factors - C'!$B$13:$U$117,7,FALSE)*$F36,0)</f>
        <v>0</v>
      </c>
      <c r="Q36" s="76"/>
      <c r="R36" s="76"/>
      <c r="S36" s="76">
        <f ca="1">IF($J36&lt;&gt;0,VLOOKUP($L36,'Allocation Factors - C'!$B$13:$U$117,10,FALSE)*$J36,0)+IF($F36&lt;&gt;0,VLOOKUP($H36,'Allocation Factors - C'!$B$13:$U$117,10,FALSE)*$F36,0)</f>
        <v>0</v>
      </c>
      <c r="T36" s="76">
        <f ca="1">IF($J36&lt;&gt;0,VLOOKUP($L36,'Allocation Factors - C'!$B$13:$U$117,11,FALSE)*$J36,0)+IF($F36&lt;&gt;0,VLOOKUP($H36,'Allocation Factors - C'!$B$13:$U$117,11,FALSE)*$F36,0)</f>
        <v>0</v>
      </c>
      <c r="U36" s="76">
        <f ca="1">IF($J36&lt;&gt;0,VLOOKUP($L36,'Allocation Factors - C'!$B$13:$U$117,12,FALSE)*$J36,0)+IF($F36&lt;&gt;0,VLOOKUP($H36,'Allocation Factors - C'!$B$13:$U$117,12,FALSE)*$F36,0)</f>
        <v>0</v>
      </c>
      <c r="V36" s="76">
        <f ca="1">IF($J36&lt;&gt;0,VLOOKUP($L36,'Allocation Factors - C'!$B$13:$U$117,13,FALSE)*$J36,0)+IF($F36&lt;&gt;0,VLOOKUP($H36,'Allocation Factors - C'!$B$13:$U$117,13,FALSE)*$F36,0)</f>
        <v>0</v>
      </c>
      <c r="W36" s="76">
        <f ca="1">IF($J36&lt;&gt;0,VLOOKUP($L36,'Allocation Factors - C'!$B$13:$U$117,14,FALSE)*$J36,0)+IF($F36&lt;&gt;0,VLOOKUP($H36,'Allocation Factors - C'!$B$13:$U$117,14,FALSE)*$F36,0)</f>
        <v>0</v>
      </c>
      <c r="X36" s="76">
        <f ca="1">IF($J36&lt;&gt;0,VLOOKUP($L36,'Allocation Factors - C'!$B$13:$U$117,15,FALSE)*$J36,0)+IF($F36&lt;&gt;0,VLOOKUP($H36,'Allocation Factors - C'!$B$13:$U$117,15,FALSE)*$F36,0)</f>
        <v>0</v>
      </c>
      <c r="Y36" s="76">
        <f ca="1">IF($J36&lt;&gt;0,VLOOKUP($L36,'Allocation Factors - C'!$B$13:$U$117,16,FALSE)*$J36,0)+IF($F36&lt;&gt;0,VLOOKUP($H36,'Allocation Factors - C'!$B$13:$U$117,16,FALSE)*$F36,0)</f>
        <v>0</v>
      </c>
      <c r="Z36" s="76">
        <f ca="1">IF($J36&lt;&gt;0,VLOOKUP($L36,'Allocation Factors - C'!$B$13:$U$117,17,FALSE)*$J36,0)+IF($F36&lt;&gt;0,VLOOKUP($H36,'Allocation Factors - C'!$B$13:$U$117,17,FALSE)*$F36,0)</f>
        <v>0</v>
      </c>
      <c r="AA36" s="76">
        <f ca="1">IF($J36&lt;&gt;0,VLOOKUP($L36,'Allocation Factors - C'!$B$13:$U$117,18,FALSE)*$J36,0)+IF($F36&lt;&gt;0,VLOOKUP($H36,'Allocation Factors - C'!$B$13:$U$117,18,FALSE)*$F36,0)</f>
        <v>0</v>
      </c>
      <c r="AB36" s="76">
        <f ca="1">IF($J36&lt;&gt;0,VLOOKUP($L36,'Allocation Factors - C'!$B$13:$U$117,19,FALSE)*$J36,0)+IF($F36&lt;&gt;0,VLOOKUP($H36,'Allocation Factors - C'!$B$13:$U$117,19,FALSE)*$F36,0)</f>
        <v>0</v>
      </c>
      <c r="AC36" s="76">
        <f ca="1">IF($J36&lt;&gt;0,VLOOKUP($L36,'Allocation Factors - C'!$B$13:$U$117,20,FALSE)*$J36,0)+IF($F36&lt;&gt;0,VLOOKUP($H36,'Allocation Factors - C'!$B$13:$U$117,20,FALSE)*$F36,0)</f>
        <v>0</v>
      </c>
    </row>
    <row r="37" spans="1:29" x14ac:dyDescent="0.25">
      <c r="A37" s="2">
        <f t="shared" si="7"/>
        <v>19</v>
      </c>
      <c r="B37" s="31" t="s">
        <v>385</v>
      </c>
      <c r="D37" s="76">
        <f ca="1">'Total Allocation by Rate Zone'!Q37</f>
        <v>0</v>
      </c>
      <c r="J37" s="76">
        <f t="shared" ca="1" si="6"/>
        <v>0</v>
      </c>
      <c r="L37" s="2" t="s">
        <v>461</v>
      </c>
      <c r="N37" s="76">
        <f ca="1">IF($J37&lt;&gt;0,VLOOKUP($L37,'Allocation Factors - C'!$B$13:$U$117,5,FALSE)*$J37,0)+IF($F37&lt;&gt;0,VLOOKUP($H37,'Allocation Factors - C'!$B$13:$U$117,5,FALSE)*$F37,0)</f>
        <v>0</v>
      </c>
      <c r="O37" s="76">
        <f ca="1">IF($J37&lt;&gt;0,VLOOKUP($L37,'Allocation Factors - C'!$B$13:$U$117,6,FALSE)*$J37,0)+IF($F37&lt;&gt;0,VLOOKUP($H37,'Allocation Factors - C'!$B$13:$U$117,6,FALSE)*$F37,0)</f>
        <v>0</v>
      </c>
      <c r="P37" s="76">
        <f ca="1">IF($J37&lt;&gt;0,VLOOKUP($L37,'Allocation Factors - C'!$B$13:$U$117,7,FALSE)*$J37,0)+IF($F37&lt;&gt;0,VLOOKUP($H37,'Allocation Factors - C'!$B$13:$U$117,7,FALSE)*$F37,0)</f>
        <v>0</v>
      </c>
      <c r="Q37" s="76"/>
      <c r="R37" s="76"/>
      <c r="S37" s="76">
        <f ca="1">IF($J37&lt;&gt;0,VLOOKUP($L37,'Allocation Factors - C'!$B$13:$U$117,10,FALSE)*$J37,0)+IF($F37&lt;&gt;0,VLOOKUP($H37,'Allocation Factors - C'!$B$13:$U$117,10,FALSE)*$F37,0)</f>
        <v>0</v>
      </c>
      <c r="T37" s="76">
        <f ca="1">IF($J37&lt;&gt;0,VLOOKUP($L37,'Allocation Factors - C'!$B$13:$U$117,11,FALSE)*$J37,0)+IF($F37&lt;&gt;0,VLOOKUP($H37,'Allocation Factors - C'!$B$13:$U$117,11,FALSE)*$F37,0)</f>
        <v>0</v>
      </c>
      <c r="U37" s="76">
        <f ca="1">IF($J37&lt;&gt;0,VLOOKUP($L37,'Allocation Factors - C'!$B$13:$U$117,12,FALSE)*$J37,0)+IF($F37&lt;&gt;0,VLOOKUP($H37,'Allocation Factors - C'!$B$13:$U$117,12,FALSE)*$F37,0)</f>
        <v>0</v>
      </c>
      <c r="V37" s="76">
        <f ca="1">IF($J37&lt;&gt;0,VLOOKUP($L37,'Allocation Factors - C'!$B$13:$U$117,13,FALSE)*$J37,0)+IF($F37&lt;&gt;0,VLOOKUP($H37,'Allocation Factors - C'!$B$13:$U$117,13,FALSE)*$F37,0)</f>
        <v>0</v>
      </c>
      <c r="W37" s="76">
        <f ca="1">IF($J37&lt;&gt;0,VLOOKUP($L37,'Allocation Factors - C'!$B$13:$U$117,14,FALSE)*$J37,0)+IF($F37&lt;&gt;0,VLOOKUP($H37,'Allocation Factors - C'!$B$13:$U$117,14,FALSE)*$F37,0)</f>
        <v>0</v>
      </c>
      <c r="X37" s="76">
        <f ca="1">IF($J37&lt;&gt;0,VLOOKUP($L37,'Allocation Factors - C'!$B$13:$U$117,15,FALSE)*$J37,0)+IF($F37&lt;&gt;0,VLOOKUP($H37,'Allocation Factors - C'!$B$13:$U$117,15,FALSE)*$F37,0)</f>
        <v>0</v>
      </c>
      <c r="Y37" s="76">
        <f ca="1">IF($J37&lt;&gt;0,VLOOKUP($L37,'Allocation Factors - C'!$B$13:$U$117,16,FALSE)*$J37,0)+IF($F37&lt;&gt;0,VLOOKUP($H37,'Allocation Factors - C'!$B$13:$U$117,16,FALSE)*$F37,0)</f>
        <v>0</v>
      </c>
      <c r="Z37" s="76">
        <f ca="1">IF($J37&lt;&gt;0,VLOOKUP($L37,'Allocation Factors - C'!$B$13:$U$117,17,FALSE)*$J37,0)+IF($F37&lt;&gt;0,VLOOKUP($H37,'Allocation Factors - C'!$B$13:$U$117,17,FALSE)*$F37,0)</f>
        <v>0</v>
      </c>
      <c r="AA37" s="76">
        <f ca="1">IF($J37&lt;&gt;0,VLOOKUP($L37,'Allocation Factors - C'!$B$13:$U$117,18,FALSE)*$J37,0)+IF($F37&lt;&gt;0,VLOOKUP($H37,'Allocation Factors - C'!$B$13:$U$117,18,FALSE)*$F37,0)</f>
        <v>0</v>
      </c>
      <c r="AB37" s="76">
        <f ca="1">IF($J37&lt;&gt;0,VLOOKUP($L37,'Allocation Factors - C'!$B$13:$U$117,19,FALSE)*$J37,0)+IF($F37&lt;&gt;0,VLOOKUP($H37,'Allocation Factors - C'!$B$13:$U$117,19,FALSE)*$F37,0)</f>
        <v>0</v>
      </c>
      <c r="AC37" s="76">
        <f ca="1">IF($J37&lt;&gt;0,VLOOKUP($L37,'Allocation Factors - C'!$B$13:$U$117,20,FALSE)*$J37,0)+IF($F37&lt;&gt;0,VLOOKUP($H37,'Allocation Factors - C'!$B$13:$U$117,20,FALSE)*$F37,0)</f>
        <v>0</v>
      </c>
    </row>
    <row r="38" spans="1:29" x14ac:dyDescent="0.25">
      <c r="A38" s="2">
        <f t="shared" si="7"/>
        <v>20</v>
      </c>
      <c r="B38" s="31" t="s">
        <v>386</v>
      </c>
      <c r="D38" s="76">
        <f ca="1">'Total Allocation by Rate Zone'!Q38</f>
        <v>3912.8666997724104</v>
      </c>
      <c r="F38" s="76">
        <f>'Rate Zone Allocation Factors'!H16</f>
        <v>3695.2725161225453</v>
      </c>
      <c r="H38" s="2" t="s">
        <v>462</v>
      </c>
      <c r="J38" s="76">
        <f t="shared" ca="1" si="6"/>
        <v>217.59418364986504</v>
      </c>
      <c r="L38" s="2" t="s">
        <v>463</v>
      </c>
      <c r="N38" s="76">
        <f ca="1">IF($J38&lt;&gt;0,VLOOKUP($L38,'Allocation Factors - C'!$B$13:$U$117,5,FALSE)*$J38,0)+IF($F38&lt;&gt;0,VLOOKUP($H38,'Allocation Factors - C'!$B$13:$U$117,5,FALSE)*$F38,0)</f>
        <v>2033.4594335709694</v>
      </c>
      <c r="O38" s="76">
        <f ca="1">IF($J38&lt;&gt;0,VLOOKUP($L38,'Allocation Factors - C'!$B$13:$U$117,6,FALSE)*$J38,0)+IF($F38&lt;&gt;0,VLOOKUP($H38,'Allocation Factors - C'!$B$13:$U$117,6,FALSE)*$F38,0)</f>
        <v>1192.9119294836378</v>
      </c>
      <c r="P38" s="76">
        <f ca="1">IF($J38&lt;&gt;0,VLOOKUP($L38,'Allocation Factors - C'!$B$13:$U$117,7,FALSE)*$J38,0)+IF($F38&lt;&gt;0,VLOOKUP($H38,'Allocation Factors - C'!$B$13:$U$117,7,FALSE)*$F38,0)</f>
        <v>492.0538408175986</v>
      </c>
      <c r="Q38" s="76"/>
      <c r="R38" s="76"/>
      <c r="S38" s="76">
        <f ca="1">IF($J38&lt;&gt;0,VLOOKUP($L38,'Allocation Factors - C'!$B$13:$U$117,10,FALSE)*$J38,0)+IF($F38&lt;&gt;0,VLOOKUP($H38,'Allocation Factors - C'!$B$13:$U$117,10,FALSE)*$F38,0)</f>
        <v>0</v>
      </c>
      <c r="T38" s="76">
        <f ca="1">IF($J38&lt;&gt;0,VLOOKUP($L38,'Allocation Factors - C'!$B$13:$U$117,11,FALSE)*$J38,0)+IF($F38&lt;&gt;0,VLOOKUP($H38,'Allocation Factors - C'!$B$13:$U$117,11,FALSE)*$F38,0)</f>
        <v>0</v>
      </c>
      <c r="U38" s="76">
        <f ca="1">IF($J38&lt;&gt;0,VLOOKUP($L38,'Allocation Factors - C'!$B$13:$U$117,12,FALSE)*$J38,0)+IF($F38&lt;&gt;0,VLOOKUP($H38,'Allocation Factors - C'!$B$13:$U$117,12,FALSE)*$F38,0)</f>
        <v>0</v>
      </c>
      <c r="V38" s="76">
        <f ca="1">IF($J38&lt;&gt;0,VLOOKUP($L38,'Allocation Factors - C'!$B$13:$U$117,13,FALSE)*$J38,0)+IF($F38&lt;&gt;0,VLOOKUP($H38,'Allocation Factors - C'!$B$13:$U$117,13,FALSE)*$F38,0)</f>
        <v>0</v>
      </c>
      <c r="W38" s="76">
        <f ca="1">IF($J38&lt;&gt;0,VLOOKUP($L38,'Allocation Factors - C'!$B$13:$U$117,14,FALSE)*$J38,0)+IF($F38&lt;&gt;0,VLOOKUP($H38,'Allocation Factors - C'!$B$13:$U$117,14,FALSE)*$F38,0)</f>
        <v>0</v>
      </c>
      <c r="X38" s="76">
        <f ca="1">IF($J38&lt;&gt;0,VLOOKUP($L38,'Allocation Factors - C'!$B$13:$U$117,15,FALSE)*$J38,0)+IF($F38&lt;&gt;0,VLOOKUP($H38,'Allocation Factors - C'!$B$13:$U$117,15,FALSE)*$F38,0)</f>
        <v>0</v>
      </c>
      <c r="Y38" s="76">
        <f ca="1">IF($J38&lt;&gt;0,VLOOKUP($L38,'Allocation Factors - C'!$B$13:$U$117,16,FALSE)*$J38,0)+IF($F38&lt;&gt;0,VLOOKUP($H38,'Allocation Factors - C'!$B$13:$U$117,16,FALSE)*$F38,0)</f>
        <v>105.36672540600911</v>
      </c>
      <c r="Z38" s="76">
        <f ca="1">IF($J38&lt;&gt;0,VLOOKUP($L38,'Allocation Factors - C'!$B$13:$U$117,17,FALSE)*$J38,0)+IF($F38&lt;&gt;0,VLOOKUP($H38,'Allocation Factors - C'!$B$13:$U$117,17,FALSE)*$F38,0)</f>
        <v>16.564876365804594</v>
      </c>
      <c r="AA38" s="76">
        <f ca="1">IF($J38&lt;&gt;0,VLOOKUP($L38,'Allocation Factors - C'!$B$13:$U$117,18,FALSE)*$J38,0)+IF($F38&lt;&gt;0,VLOOKUP($H38,'Allocation Factors - C'!$B$13:$U$117,18,FALSE)*$F38,0)</f>
        <v>0</v>
      </c>
      <c r="AB38" s="76">
        <f ca="1">IF($J38&lt;&gt;0,VLOOKUP($L38,'Allocation Factors - C'!$B$13:$U$117,19,FALSE)*$J38,0)+IF($F38&lt;&gt;0,VLOOKUP($H38,'Allocation Factors - C'!$B$13:$U$117,19,FALSE)*$F38,0)</f>
        <v>72.509894128391267</v>
      </c>
      <c r="AC38" s="76">
        <f ca="1">IF($J38&lt;&gt;0,VLOOKUP($L38,'Allocation Factors - C'!$B$13:$U$117,20,FALSE)*$J38,0)+IF($F38&lt;&gt;0,VLOOKUP($H38,'Allocation Factors - C'!$B$13:$U$117,20,FALSE)*$F38,0)</f>
        <v>0</v>
      </c>
    </row>
    <row r="39" spans="1:29" x14ac:dyDescent="0.25">
      <c r="A39" s="2">
        <f t="shared" si="7"/>
        <v>21</v>
      </c>
      <c r="B39" s="31" t="s">
        <v>389</v>
      </c>
      <c r="D39" s="40">
        <f ca="1">SUM(D31:D38)</f>
        <v>151857.00279038487</v>
      </c>
      <c r="F39" s="40">
        <f>SUM(F31:F38)</f>
        <v>3695.2725161225453</v>
      </c>
      <c r="J39" s="40">
        <f ca="1">SUM(J31:J38)</f>
        <v>148161.73027426231</v>
      </c>
      <c r="N39" s="40">
        <f t="shared" ref="N39:AB39" ca="1" si="8">SUM(N31:N38)</f>
        <v>92005.466884248861</v>
      </c>
      <c r="O39" s="40">
        <f t="shared" ca="1" si="8"/>
        <v>48775.523732766902</v>
      </c>
      <c r="P39" s="40">
        <f t="shared" ca="1" si="8"/>
        <v>9807.9090820021829</v>
      </c>
      <c r="Q39" s="40"/>
      <c r="R39" s="40"/>
      <c r="S39" s="40">
        <f t="shared" ca="1" si="8"/>
        <v>0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0</v>
      </c>
      <c r="X39" s="40">
        <f t="shared" ca="1" si="8"/>
        <v>0</v>
      </c>
      <c r="Y39" s="40">
        <f t="shared" ca="1" si="8"/>
        <v>105.36672540600911</v>
      </c>
      <c r="Z39" s="40">
        <f t="shared" ca="1" si="8"/>
        <v>43.241526222291256</v>
      </c>
      <c r="AA39" s="40">
        <f t="shared" ca="1" si="8"/>
        <v>0</v>
      </c>
      <c r="AB39" s="40">
        <f t="shared" ca="1" si="8"/>
        <v>1119.4948397385961</v>
      </c>
      <c r="AC39" s="40">
        <f ca="1">SUM(AC31:AC38)</f>
        <v>0</v>
      </c>
    </row>
    <row r="40" spans="1:29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x14ac:dyDescent="0.25">
      <c r="D41" s="48"/>
    </row>
    <row r="42" spans="1:29" ht="13" thickBot="1" x14ac:dyDescent="0.3">
      <c r="A42" s="2">
        <f>A39+1</f>
        <v>22</v>
      </c>
      <c r="B42" s="31" t="s">
        <v>464</v>
      </c>
      <c r="D42" s="80">
        <f ca="1">D21+D28+D39</f>
        <v>1744434.2356675505</v>
      </c>
      <c r="F42" s="80">
        <f>F21+F28+F39</f>
        <v>15999.994131418727</v>
      </c>
      <c r="H42" s="48"/>
      <c r="J42" s="80">
        <f ca="1">J21+J28+J39</f>
        <v>1728434.2415361318</v>
      </c>
      <c r="L42" s="48"/>
      <c r="N42" s="80">
        <f ca="1">N21+N28+N39</f>
        <v>1153746.8813719985</v>
      </c>
      <c r="O42" s="80">
        <f t="shared" ref="O42:AB42" ca="1" si="9">O21+O28+O39</f>
        <v>500191.52448984963</v>
      </c>
      <c r="P42" s="80">
        <f t="shared" ca="1" si="9"/>
        <v>53959.650234329391</v>
      </c>
      <c r="Q42" s="80"/>
      <c r="R42" s="80"/>
      <c r="S42" s="80">
        <f t="shared" ca="1" si="9"/>
        <v>0</v>
      </c>
      <c r="T42" s="80">
        <f t="shared" ca="1" si="9"/>
        <v>0</v>
      </c>
      <c r="U42" s="80">
        <f t="shared" ca="1" si="9"/>
        <v>4.4764619110855133</v>
      </c>
      <c r="V42" s="80">
        <f t="shared" ca="1" si="9"/>
        <v>0.24131795531018349</v>
      </c>
      <c r="W42" s="80">
        <f t="shared" ca="1" si="9"/>
        <v>19.589302578672275</v>
      </c>
      <c r="X42" s="80">
        <f t="shared" ca="1" si="9"/>
        <v>0.14003114333803826</v>
      </c>
      <c r="Y42" s="80">
        <f t="shared" ca="1" si="9"/>
        <v>4237.4058639177529</v>
      </c>
      <c r="Z42" s="80">
        <f t="shared" ca="1" si="9"/>
        <v>1224.3473386661872</v>
      </c>
      <c r="AA42" s="80">
        <f t="shared" ca="1" si="9"/>
        <v>0</v>
      </c>
      <c r="AB42" s="80">
        <f t="shared" ca="1" si="9"/>
        <v>31049.979255200516</v>
      </c>
      <c r="AC42" s="80">
        <f ca="1">AC21+AC28+AC39</f>
        <v>0</v>
      </c>
    </row>
    <row r="43" spans="1:29" ht="13" thickTop="1" x14ac:dyDescent="0.25"/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BA8D-2457-4E0D-91A0-7BAB86EED5FF}">
  <sheetPr>
    <tabColor theme="0" tint="-0.249977111117893"/>
  </sheetPr>
  <dimension ref="A6:AD45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4" width="12.81640625" style="31" customWidth="1"/>
    <col min="15" max="15" width="14.54296875" style="31" customWidth="1"/>
    <col min="16" max="16" width="17.1796875" style="31" customWidth="1"/>
    <col min="17" max="17" width="16.81640625" style="31" hidden="1" customWidth="1"/>
    <col min="18" max="18" width="14.7265625" style="31" hidden="1" customWidth="1"/>
    <col min="19" max="19" width="15.81640625" style="31" customWidth="1"/>
    <col min="20" max="20" width="14.26953125" style="31" customWidth="1"/>
    <col min="21" max="22" width="14.7265625" style="31" customWidth="1"/>
    <col min="23" max="23" width="15.1796875" style="31" customWidth="1"/>
    <col min="24" max="24" width="12.81640625" style="31" customWidth="1"/>
    <col min="25" max="26" width="13.81640625" style="31" customWidth="1"/>
    <col min="27" max="27" width="15.1796875" style="31" customWidth="1"/>
    <col min="28" max="28" width="13.81640625" style="31" customWidth="1"/>
    <col min="29" max="29" width="13.54296875" style="31" customWidth="1"/>
    <col min="3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469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/>
      <c r="R13" s="70"/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'Total Allocation - C'!D15-'Allocation - C Gas'!D15</f>
        <v>0</v>
      </c>
      <c r="F15" s="76">
        <f>'Total Allocation - C'!F15-'Allocation - C Gas'!F15</f>
        <v>0</v>
      </c>
      <c r="J15" s="76">
        <f ca="1">D15-F15</f>
        <v>0</v>
      </c>
      <c r="L15" s="2" t="s">
        <v>445</v>
      </c>
      <c r="N15" s="76">
        <f ca="1">'Total Allocation - C'!N15-'Allocation - C Gas'!N15</f>
        <v>0</v>
      </c>
      <c r="O15" s="76">
        <f ca="1">'Total Allocation - C'!O15-'Allocation - C Gas'!O15</f>
        <v>0</v>
      </c>
      <c r="P15" s="76">
        <f ca="1">'Total Allocation - C'!P15-'Allocation - C Gas'!P15</f>
        <v>0</v>
      </c>
      <c r="Q15" s="76"/>
      <c r="R15" s="76"/>
      <c r="S15" s="76">
        <f ca="1">'Total Allocation - C'!S15-'Allocation - C Gas'!S15</f>
        <v>0</v>
      </c>
      <c r="T15" s="76">
        <f ca="1">'Total Allocation - C'!T15-'Allocation - C Gas'!T15</f>
        <v>0</v>
      </c>
      <c r="U15" s="76">
        <f ca="1">'Total Allocation - C'!U15-'Allocation - C Gas'!U15</f>
        <v>0</v>
      </c>
      <c r="V15" s="76">
        <f ca="1">'Total Allocation - C'!V15-'Allocation - C Gas'!V15</f>
        <v>0</v>
      </c>
      <c r="W15" s="76">
        <f ca="1">'Total Allocation - C'!W15-'Allocation - C Gas'!W15</f>
        <v>0</v>
      </c>
      <c r="X15" s="76">
        <f ca="1">'Total Allocation - C'!X15-'Allocation - C Gas'!X15</f>
        <v>0</v>
      </c>
      <c r="Y15" s="76">
        <f ca="1">'Total Allocation - C'!Y15-'Allocation - C Gas'!Y15</f>
        <v>0</v>
      </c>
      <c r="Z15" s="76">
        <f ca="1">'Total Allocation - C'!Z15-'Allocation - C Gas'!Z15</f>
        <v>0</v>
      </c>
      <c r="AA15" s="76">
        <f ca="1">'Total Allocation - C'!AA15-'Allocation - C Gas'!AA15</f>
        <v>0</v>
      </c>
      <c r="AB15" s="76">
        <f ca="1">'Total Allocation - C'!AB15-'Allocation - C Gas'!AB15</f>
        <v>0</v>
      </c>
      <c r="AC15" s="76">
        <f ca="1">'Total Allocation - C'!AC15-'Allocation - C Gas'!AC15</f>
        <v>0</v>
      </c>
      <c r="AD15" s="48"/>
    </row>
    <row r="16" spans="1:30" x14ac:dyDescent="0.25">
      <c r="A16" s="2">
        <f>A15+1</f>
        <v>2</v>
      </c>
      <c r="B16" s="31" t="s">
        <v>351</v>
      </c>
      <c r="D16" s="76">
        <f ca="1">'Total Allocation - C'!D16-'Allocation - C Gas'!D16</f>
        <v>-6542.5561474460555</v>
      </c>
      <c r="E16" s="71"/>
      <c r="F16" s="76">
        <f>'Total Allocation - C'!F16-'Allocation - C Gas'!F16</f>
        <v>0</v>
      </c>
      <c r="J16" s="76">
        <f ca="1">D16-F16</f>
        <v>-6542.5561474460555</v>
      </c>
      <c r="L16" s="2" t="s">
        <v>446</v>
      </c>
      <c r="N16" s="76">
        <f ca="1">'Total Allocation - C'!N16-'Allocation - C Gas'!N16</f>
        <v>-4169.7126032976521</v>
      </c>
      <c r="O16" s="76">
        <f ca="1">'Total Allocation - C'!O16-'Allocation - C Gas'!O16</f>
        <v>-2085.3134305036219</v>
      </c>
      <c r="P16" s="76">
        <f ca="1">'Total Allocation - C'!P16-'Allocation - C Gas'!P16</f>
        <v>-226.95002119995206</v>
      </c>
      <c r="Q16" s="76"/>
      <c r="R16" s="76"/>
      <c r="S16" s="76">
        <f ca="1">'Total Allocation - C'!S16-'Allocation - C Gas'!S16</f>
        <v>0</v>
      </c>
      <c r="T16" s="76">
        <f ca="1">'Total Allocation - C'!T16-'Allocation - C Gas'!T16</f>
        <v>0</v>
      </c>
      <c r="U16" s="76">
        <f ca="1">'Total Allocation - C'!U16-'Allocation - C Gas'!U16</f>
        <v>0</v>
      </c>
      <c r="V16" s="76">
        <f ca="1">'Total Allocation - C'!V16-'Allocation - C Gas'!V16</f>
        <v>0</v>
      </c>
      <c r="W16" s="76">
        <f ca="1">'Total Allocation - C'!W16-'Allocation - C Gas'!W16</f>
        <v>0</v>
      </c>
      <c r="X16" s="76">
        <f ca="1">'Total Allocation - C'!X16-'Allocation - C Gas'!X16</f>
        <v>0</v>
      </c>
      <c r="Y16" s="76">
        <f ca="1">'Total Allocation - C'!Y16-'Allocation - C Gas'!Y16</f>
        <v>-3.2748115746360495E-2</v>
      </c>
      <c r="Z16" s="76">
        <f ca="1">'Total Allocation - C'!Z16-'Allocation - C Gas'!Z16</f>
        <v>0</v>
      </c>
      <c r="AA16" s="76">
        <f ca="1">'Total Allocation - C'!AA16-'Allocation - C Gas'!AA16</f>
        <v>0</v>
      </c>
      <c r="AB16" s="76">
        <f ca="1">'Total Allocation - C'!AB16-'Allocation - C Gas'!AB16</f>
        <v>-60.54734432908208</v>
      </c>
      <c r="AC16" s="76">
        <f ca="1">'Total Allocation - C'!AC16-'Allocation - C Gas'!AC16</f>
        <v>0</v>
      </c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'Total Allocation - C'!D17-'Allocation - C Gas'!D17</f>
        <v>0</v>
      </c>
      <c r="F17" s="76">
        <f>'Total Allocation - C'!F17-'Allocation - C Gas'!F17</f>
        <v>0</v>
      </c>
      <c r="J17" s="76">
        <f t="shared" ref="J17:J20" ca="1" si="1">D17-F17</f>
        <v>0</v>
      </c>
      <c r="L17" s="2" t="s">
        <v>447</v>
      </c>
      <c r="N17" s="76">
        <f ca="1">'Total Allocation - C'!N17-'Allocation - C Gas'!N17</f>
        <v>0</v>
      </c>
      <c r="O17" s="76">
        <f ca="1">'Total Allocation - C'!O17-'Allocation - C Gas'!O17</f>
        <v>0</v>
      </c>
      <c r="P17" s="76">
        <f ca="1">'Total Allocation - C'!P17-'Allocation - C Gas'!P17</f>
        <v>0</v>
      </c>
      <c r="Q17" s="76"/>
      <c r="R17" s="76"/>
      <c r="S17" s="76">
        <f ca="1">'Total Allocation - C'!S17-'Allocation - C Gas'!S17</f>
        <v>0</v>
      </c>
      <c r="T17" s="76">
        <f ca="1">'Total Allocation - C'!T17-'Allocation - C Gas'!T17</f>
        <v>0</v>
      </c>
      <c r="U17" s="76">
        <f ca="1">'Total Allocation - C'!U17-'Allocation - C Gas'!U17</f>
        <v>0</v>
      </c>
      <c r="V17" s="76">
        <f ca="1">'Total Allocation - C'!V17-'Allocation - C Gas'!V17</f>
        <v>0</v>
      </c>
      <c r="W17" s="76">
        <f ca="1">'Total Allocation - C'!W17-'Allocation - C Gas'!W17</f>
        <v>0</v>
      </c>
      <c r="X17" s="76">
        <f ca="1">'Total Allocation - C'!X17-'Allocation - C Gas'!X17</f>
        <v>0</v>
      </c>
      <c r="Y17" s="76">
        <f ca="1">'Total Allocation - C'!Y17-'Allocation - C Gas'!Y17</f>
        <v>0</v>
      </c>
      <c r="Z17" s="76">
        <f ca="1">'Total Allocation - C'!Z17-'Allocation - C Gas'!Z17</f>
        <v>0</v>
      </c>
      <c r="AA17" s="76">
        <f ca="1">'Total Allocation - C'!AA17-'Allocation - C Gas'!AA17</f>
        <v>0</v>
      </c>
      <c r="AB17" s="76">
        <f ca="1">'Total Allocation - C'!AB17-'Allocation - C Gas'!AB17</f>
        <v>0</v>
      </c>
      <c r="AC17" s="76">
        <f ca="1">'Total Allocation - C'!AC17-'Allocation - C Gas'!AC17</f>
        <v>0</v>
      </c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'Total Allocation - C'!D18-'Allocation - C Gas'!D18</f>
        <v>-5950.5396894632577</v>
      </c>
      <c r="F18" s="76">
        <f>'Total Allocation - C'!F18-'Allocation - C Gas'!F18</f>
        <v>-5950.5396894632559</v>
      </c>
      <c r="H18" s="2" t="s">
        <v>448</v>
      </c>
      <c r="J18" s="76">
        <f t="shared" ca="1" si="1"/>
        <v>0</v>
      </c>
      <c r="L18" s="2" t="s">
        <v>449</v>
      </c>
      <c r="N18" s="76">
        <f ca="1">'Total Allocation - C'!N18-'Allocation - C Gas'!N18</f>
        <v>-2986.5986526661218</v>
      </c>
      <c r="O18" s="76">
        <f ca="1">'Total Allocation - C'!O18-'Allocation - C Gas'!O18</f>
        <v>-1752.0630618574069</v>
      </c>
      <c r="P18" s="76">
        <f ca="1">'Total Allocation - C'!P18-'Allocation - C Gas'!P18</f>
        <v>-716.47145134706261</v>
      </c>
      <c r="Q18" s="76"/>
      <c r="R18" s="76"/>
      <c r="S18" s="76">
        <f ca="1">'Total Allocation - C'!S18-'Allocation - C Gas'!S18</f>
        <v>0</v>
      </c>
      <c r="T18" s="76">
        <f ca="1">'Total Allocation - C'!T18-'Allocation - C Gas'!T18</f>
        <v>0</v>
      </c>
      <c r="U18" s="76">
        <f ca="1">'Total Allocation - C'!U18-'Allocation - C Gas'!U18</f>
        <v>0</v>
      </c>
      <c r="V18" s="76">
        <f ca="1">'Total Allocation - C'!V18-'Allocation - C Gas'!V18</f>
        <v>0</v>
      </c>
      <c r="W18" s="76">
        <f ca="1">'Total Allocation - C'!W18-'Allocation - C Gas'!W18</f>
        <v>0</v>
      </c>
      <c r="X18" s="76">
        <f ca="1">'Total Allocation - C'!X18-'Allocation - C Gas'!X18</f>
        <v>0</v>
      </c>
      <c r="Y18" s="76">
        <f ca="1">'Total Allocation - C'!Y18-'Allocation - C Gas'!Y18</f>
        <v>-122.9518792770541</v>
      </c>
      <c r="Z18" s="76">
        <f ca="1">'Total Allocation - C'!Z18-'Allocation - C Gas'!Z18</f>
        <v>-23.346857424076234</v>
      </c>
      <c r="AA18" s="76">
        <f ca="1">'Total Allocation - C'!AA18-'Allocation - C Gas'!AA18</f>
        <v>0</v>
      </c>
      <c r="AB18" s="76">
        <f ca="1">'Total Allocation - C'!AB18-'Allocation - C Gas'!AB18</f>
        <v>-349.10778689153722</v>
      </c>
      <c r="AC18" s="76">
        <f ca="1">'Total Allocation - C'!AC18-'Allocation - C Gas'!AC18</f>
        <v>0</v>
      </c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'Total Allocation - C'!D19-'Allocation - C Gas'!D19</f>
        <v>0</v>
      </c>
      <c r="F19" s="76">
        <f>'Total Allocation - C'!F19-'Allocation - C Gas'!F19</f>
        <v>0</v>
      </c>
      <c r="J19" s="76">
        <f t="shared" ca="1" si="1"/>
        <v>0</v>
      </c>
      <c r="L19" s="2" t="s">
        <v>450</v>
      </c>
      <c r="N19" s="76">
        <f ca="1">'Total Allocation - C'!N19-'Allocation - C Gas'!N19</f>
        <v>0</v>
      </c>
      <c r="O19" s="76">
        <f ca="1">'Total Allocation - C'!O19-'Allocation - C Gas'!O19</f>
        <v>0</v>
      </c>
      <c r="P19" s="76">
        <f ca="1">'Total Allocation - C'!P19-'Allocation - C Gas'!P19</f>
        <v>0</v>
      </c>
      <c r="Q19" s="76"/>
      <c r="R19" s="76"/>
      <c r="S19" s="76">
        <f ca="1">'Total Allocation - C'!S19-'Allocation - C Gas'!S19</f>
        <v>0</v>
      </c>
      <c r="T19" s="76">
        <f ca="1">'Total Allocation - C'!T19-'Allocation - C Gas'!T19</f>
        <v>0</v>
      </c>
      <c r="U19" s="76">
        <f ca="1">'Total Allocation - C'!U19-'Allocation - C Gas'!U19</f>
        <v>0</v>
      </c>
      <c r="V19" s="76">
        <f ca="1">'Total Allocation - C'!V19-'Allocation - C Gas'!V19</f>
        <v>0</v>
      </c>
      <c r="W19" s="76">
        <f ca="1">'Total Allocation - C'!W19-'Allocation - C Gas'!W19</f>
        <v>0</v>
      </c>
      <c r="X19" s="76">
        <f ca="1">'Total Allocation - C'!X19-'Allocation - C Gas'!X19</f>
        <v>0</v>
      </c>
      <c r="Y19" s="76">
        <f ca="1">'Total Allocation - C'!Y19-'Allocation - C Gas'!Y19</f>
        <v>0</v>
      </c>
      <c r="Z19" s="76">
        <f ca="1">'Total Allocation - C'!Z19-'Allocation - C Gas'!Z19</f>
        <v>0</v>
      </c>
      <c r="AA19" s="76">
        <f ca="1">'Total Allocation - C'!AA19-'Allocation - C Gas'!AA19</f>
        <v>0</v>
      </c>
      <c r="AB19" s="76">
        <f ca="1">'Total Allocation - C'!AB19-'Allocation - C Gas'!AB19</f>
        <v>0</v>
      </c>
      <c r="AC19" s="76">
        <f ca="1">'Total Allocation - C'!AC19-'Allocation - C Gas'!AC19</f>
        <v>0</v>
      </c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'Total Allocation - C'!D20-'Allocation - C Gas'!D20</f>
        <v>10000.109352543885</v>
      </c>
      <c r="F20" s="76">
        <f>'Total Allocation - C'!F20-'Allocation - C Gas'!F20</f>
        <v>0</v>
      </c>
      <c r="J20" s="76">
        <f t="shared" ca="1" si="1"/>
        <v>10000.109352543885</v>
      </c>
      <c r="L20" s="2" t="s">
        <v>445</v>
      </c>
      <c r="N20" s="76">
        <f ca="1">'Total Allocation - C'!N20-'Allocation - C Gas'!N20</f>
        <v>6938.5730100598539</v>
      </c>
      <c r="O20" s="76">
        <f ca="1">'Total Allocation - C'!O20-'Allocation - C Gas'!O20</f>
        <v>2739.3287532517561</v>
      </c>
      <c r="P20" s="76">
        <f ca="1">'Total Allocation - C'!P20-'Allocation - C Gas'!P20</f>
        <v>144.85486964331491</v>
      </c>
      <c r="Q20" s="76"/>
      <c r="R20" s="76"/>
      <c r="S20" s="76">
        <f ca="1">'Total Allocation - C'!S20-'Allocation - C Gas'!S20</f>
        <v>0</v>
      </c>
      <c r="T20" s="76">
        <f ca="1">'Total Allocation - C'!T20-'Allocation - C Gas'!T20</f>
        <v>0</v>
      </c>
      <c r="U20" s="76">
        <f ca="1">'Total Allocation - C'!U20-'Allocation - C Gas'!U20</f>
        <v>0</v>
      </c>
      <c r="V20" s="76">
        <f ca="1">'Total Allocation - C'!V20-'Allocation - C Gas'!V20</f>
        <v>0</v>
      </c>
      <c r="W20" s="76">
        <f ca="1">'Total Allocation - C'!W20-'Allocation - C Gas'!W20</f>
        <v>0</v>
      </c>
      <c r="X20" s="76">
        <f ca="1">'Total Allocation - C'!X20-'Allocation - C Gas'!X20</f>
        <v>0</v>
      </c>
      <c r="Y20" s="76">
        <f ca="1">'Total Allocation - C'!Y20-'Allocation - C Gas'!Y20</f>
        <v>7.2286781047564395</v>
      </c>
      <c r="Z20" s="76">
        <f ca="1">'Total Allocation - C'!Z20-'Allocation - C Gas'!Z20</f>
        <v>5.1632061992571874</v>
      </c>
      <c r="AA20" s="76">
        <f ca="1">'Total Allocation - C'!AA20-'Allocation - C Gas'!AA20</f>
        <v>0</v>
      </c>
      <c r="AB20" s="76">
        <f ca="1">'Total Allocation - C'!AB20-'Allocation - C Gas'!AB20</f>
        <v>164.9608352849466</v>
      </c>
      <c r="AC20" s="76">
        <f ca="1">'Total Allocation - C'!AC20-'Allocation - C Gas'!AC20</f>
        <v>0</v>
      </c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-2492.9864843654286</v>
      </c>
      <c r="F21" s="78">
        <f>SUM(F15:F20)</f>
        <v>-5950.5396894632559</v>
      </c>
      <c r="J21" s="40">
        <f ca="1">SUM(J15:J20)</f>
        <v>3457.553205097829</v>
      </c>
      <c r="N21" s="40">
        <f t="shared" ref="N21:AA21" ca="1" si="2">SUM(N15:N20)</f>
        <v>-217.73824590391996</v>
      </c>
      <c r="O21" s="40">
        <f t="shared" ca="1" si="2"/>
        <v>-1098.0477391092727</v>
      </c>
      <c r="P21" s="40">
        <f t="shared" ca="1" si="2"/>
        <v>-798.56660290369973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-115.75594928804402</v>
      </c>
      <c r="Z21" s="40">
        <f t="shared" ca="1" si="2"/>
        <v>-18.183651224819045</v>
      </c>
      <c r="AA21" s="40">
        <f t="shared" ca="1" si="2"/>
        <v>0</v>
      </c>
      <c r="AB21" s="40">
        <f ca="1">SUM(AB15:AB20)</f>
        <v>-244.6942959356727</v>
      </c>
      <c r="AC21" s="40">
        <f ca="1">SUM(AC15:AC20)</f>
        <v>0</v>
      </c>
      <c r="AD21" s="48"/>
    </row>
    <row r="22" spans="1:30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48"/>
    </row>
    <row r="24" spans="1:30" x14ac:dyDescent="0.25">
      <c r="A24" s="2">
        <f>A21+1</f>
        <v>8</v>
      </c>
      <c r="B24" s="31" t="s">
        <v>363</v>
      </c>
      <c r="D24" s="76">
        <f ca="1">'Total Allocation - C'!D24-'Allocation - C Gas'!D24</f>
        <v>58618.76109476346</v>
      </c>
      <c r="F24" s="76">
        <f>'Total Allocation - C'!F24-'Allocation - C Gas'!F24</f>
        <v>0</v>
      </c>
      <c r="J24" s="76">
        <f ca="1">D24-F24</f>
        <v>58618.76109476346</v>
      </c>
      <c r="L24" s="2" t="s">
        <v>447</v>
      </c>
      <c r="N24" s="76">
        <f ca="1">'Total Allocation - C'!N24-'Allocation - C Gas'!N24</f>
        <v>37358.806041647797</v>
      </c>
      <c r="O24" s="76">
        <f ca="1">'Total Allocation - C'!O24-'Allocation - C Gas'!O24</f>
        <v>18683.498695957169</v>
      </c>
      <c r="P24" s="76">
        <f ca="1">'Total Allocation - C'!P24-'Allocation - C Gas'!P24</f>
        <v>2033.6194267298583</v>
      </c>
      <c r="Q24" s="76"/>
      <c r="R24" s="76"/>
      <c r="S24" s="76">
        <f ca="1">'Total Allocation - C'!S24-'Allocation - C Gas'!S24</f>
        <v>0</v>
      </c>
      <c r="T24" s="76">
        <f ca="1">'Total Allocation - C'!T24-'Allocation - C Gas'!T24</f>
        <v>0</v>
      </c>
      <c r="U24" s="76">
        <f ca="1">'Total Allocation - C'!U24-'Allocation - C Gas'!U24</f>
        <v>0</v>
      </c>
      <c r="V24" s="76">
        <f ca="1">'Total Allocation - C'!V24-'Allocation - C Gas'!V24</f>
        <v>0</v>
      </c>
      <c r="W24" s="76">
        <f ca="1">'Total Allocation - C'!W24-'Allocation - C Gas'!W24</f>
        <v>0</v>
      </c>
      <c r="X24" s="76">
        <f ca="1">'Total Allocation - C'!X24-'Allocation - C Gas'!X24</f>
        <v>0</v>
      </c>
      <c r="Y24" s="76">
        <f ca="1">'Total Allocation - C'!Y24-'Allocation - C Gas'!Y24</f>
        <v>0.29344436285344899</v>
      </c>
      <c r="Z24" s="76">
        <f ca="1">'Total Allocation - C'!Z24-'Allocation - C Gas'!Z24</f>
        <v>0</v>
      </c>
      <c r="AA24" s="76">
        <f ca="1">'Total Allocation - C'!AA24-'Allocation - C Gas'!AA24</f>
        <v>0</v>
      </c>
      <c r="AB24" s="76">
        <f ca="1">'Total Allocation - C'!AB24-'Allocation - C Gas'!AB24</f>
        <v>542.54348606577321</v>
      </c>
      <c r="AC24" s="76">
        <f ca="1">'Total Allocation - C'!AC24-'Allocation - C Gas'!AC24</f>
        <v>0</v>
      </c>
      <c r="AD24" s="48"/>
    </row>
    <row r="25" spans="1:30" x14ac:dyDescent="0.25">
      <c r="A25" s="2">
        <f>A24+1</f>
        <v>9</v>
      </c>
      <c r="B25" s="31" t="s">
        <v>364</v>
      </c>
      <c r="D25" s="76">
        <f ca="1">'Total Allocation - C'!D25-'Allocation - C Gas'!D25</f>
        <v>39941.907843002286</v>
      </c>
      <c r="F25" s="76">
        <f>'Total Allocation - C'!F25-'Allocation - C Gas'!F25</f>
        <v>18255.261304759439</v>
      </c>
      <c r="H25" s="2" t="s">
        <v>451</v>
      </c>
      <c r="J25" s="76">
        <f t="shared" ref="J25:J27" ca="1" si="3">D25-F25</f>
        <v>21686.646538242847</v>
      </c>
      <c r="L25" s="2" t="s">
        <v>452</v>
      </c>
      <c r="N25" s="76">
        <f ca="1">'Total Allocation - C'!N25-'Allocation - C Gas'!N25</f>
        <v>24929.175437034333</v>
      </c>
      <c r="O25" s="76">
        <f ca="1">'Total Allocation - C'!O25-'Allocation - C Gas'!O25</f>
        <v>12599.519776425563</v>
      </c>
      <c r="P25" s="76">
        <f ca="1">'Total Allocation - C'!P25-'Allocation - C Gas'!P25</f>
        <v>1652.1870013433463</v>
      </c>
      <c r="Q25" s="76"/>
      <c r="R25" s="76"/>
      <c r="S25" s="76">
        <f ca="1">'Total Allocation - C'!S25-'Allocation - C Gas'!S25</f>
        <v>0</v>
      </c>
      <c r="T25" s="76">
        <f ca="1">'Total Allocation - C'!T25-'Allocation - C Gas'!T25</f>
        <v>0</v>
      </c>
      <c r="U25" s="76">
        <f ca="1">'Total Allocation - C'!U25-'Allocation - C Gas'!U25</f>
        <v>0</v>
      </c>
      <c r="V25" s="76">
        <f ca="1">'Total Allocation - C'!V25-'Allocation - C Gas'!V25</f>
        <v>0</v>
      </c>
      <c r="W25" s="76">
        <f ca="1">'Total Allocation - C'!W25-'Allocation - C Gas'!W25</f>
        <v>0</v>
      </c>
      <c r="X25" s="76">
        <f ca="1">'Total Allocation - C'!X25-'Allocation - C Gas'!X25</f>
        <v>0</v>
      </c>
      <c r="Y25" s="76">
        <f ca="1">'Total Allocation - C'!Y25-'Allocation - C Gas'!Y25</f>
        <v>184.54312141550983</v>
      </c>
      <c r="Z25" s="76">
        <f ca="1">'Total Allocation - C'!Z25-'Allocation - C Gas'!Z25</f>
        <v>0</v>
      </c>
      <c r="AA25" s="76">
        <f ca="1">'Total Allocation - C'!AA25-'Allocation - C Gas'!AA25</f>
        <v>0</v>
      </c>
      <c r="AB25" s="76">
        <f ca="1">'Total Allocation - C'!AB25-'Allocation - C Gas'!AB25</f>
        <v>576.48250678353111</v>
      </c>
      <c r="AC25" s="76">
        <f ca="1">'Total Allocation - C'!AC25-'Allocation - C Gas'!AC25</f>
        <v>0</v>
      </c>
      <c r="AD25" s="48"/>
    </row>
    <row r="26" spans="1:30" x14ac:dyDescent="0.25">
      <c r="A26" s="2">
        <f t="shared" ref="A26:A28" si="4">A25+1</f>
        <v>10</v>
      </c>
      <c r="B26" s="31" t="s">
        <v>367</v>
      </c>
      <c r="D26" s="76">
        <f ca="1">'Total Allocation - C'!D26-'Allocation - C Gas'!D26</f>
        <v>3465.2664142229587</v>
      </c>
      <c r="F26" s="76">
        <f>'Total Allocation - C'!F26-'Allocation - C Gas'!F26</f>
        <v>0</v>
      </c>
      <c r="J26" s="76">
        <f t="shared" ca="1" si="3"/>
        <v>3465.2664142229587</v>
      </c>
      <c r="L26" s="2" t="s">
        <v>453</v>
      </c>
      <c r="N26" s="76">
        <f ca="1">'Total Allocation - C'!N26-'Allocation - C Gas'!N26</f>
        <v>2217.484220965207</v>
      </c>
      <c r="O26" s="76">
        <f ca="1">'Total Allocation - C'!O26-'Allocation - C Gas'!O26</f>
        <v>1141.2230510194152</v>
      </c>
      <c r="P26" s="76">
        <f ca="1">'Total Allocation - C'!P26-'Allocation - C Gas'!P26</f>
        <v>61.837545071523188</v>
      </c>
      <c r="Q26" s="76"/>
      <c r="R26" s="76"/>
      <c r="S26" s="76">
        <f ca="1">'Total Allocation - C'!S26-'Allocation - C Gas'!S26</f>
        <v>0</v>
      </c>
      <c r="T26" s="76">
        <f ca="1">'Total Allocation - C'!T26-'Allocation - C Gas'!T26</f>
        <v>0</v>
      </c>
      <c r="U26" s="76">
        <f ca="1">'Total Allocation - C'!U26-'Allocation - C Gas'!U26</f>
        <v>4.4764619110855133</v>
      </c>
      <c r="V26" s="76">
        <f ca="1">'Total Allocation - C'!V26-'Allocation - C Gas'!V26</f>
        <v>0.24131795531018349</v>
      </c>
      <c r="W26" s="76">
        <f ca="1">'Total Allocation - C'!W26-'Allocation - C Gas'!W26</f>
        <v>19.589302578672275</v>
      </c>
      <c r="X26" s="76">
        <f ca="1">'Total Allocation - C'!X26-'Allocation - C Gas'!X26</f>
        <v>0.14003114333803826</v>
      </c>
      <c r="Y26" s="76">
        <f ca="1">'Total Allocation - C'!Y26-'Allocation - C Gas'!Y26</f>
        <v>7.3988951359619515</v>
      </c>
      <c r="Z26" s="76">
        <f ca="1">'Total Allocation - C'!Z26-'Allocation - C Gas'!Z26</f>
        <v>0.85737744070511657</v>
      </c>
      <c r="AA26" s="76">
        <f ca="1">'Total Allocation - C'!AA26-'Allocation - C Gas'!AA26</f>
        <v>0</v>
      </c>
      <c r="AB26" s="76">
        <f ca="1">'Total Allocation - C'!AB26-'Allocation - C Gas'!AB26</f>
        <v>12.018211001740362</v>
      </c>
      <c r="AC26" s="76">
        <f ca="1">'Total Allocation - C'!AC26-'Allocation - C Gas'!AC26</f>
        <v>0</v>
      </c>
      <c r="AD26" s="48"/>
    </row>
    <row r="27" spans="1:30" x14ac:dyDescent="0.25">
      <c r="A27" s="2">
        <f t="shared" si="4"/>
        <v>11</v>
      </c>
      <c r="B27" s="31" t="s">
        <v>369</v>
      </c>
      <c r="D27" s="76">
        <f ca="1">'Total Allocation - C'!D27-'Allocation - C Gas'!D27</f>
        <v>0</v>
      </c>
      <c r="F27" s="76">
        <f>'Total Allocation - C'!F27-'Allocation - C Gas'!F27</f>
        <v>0</v>
      </c>
      <c r="J27" s="76">
        <f t="shared" ca="1" si="3"/>
        <v>0</v>
      </c>
      <c r="L27" s="2" t="s">
        <v>454</v>
      </c>
      <c r="N27" s="76">
        <f ca="1">'Total Allocation - C'!N27-'Allocation - C Gas'!N27</f>
        <v>0</v>
      </c>
      <c r="O27" s="76">
        <f ca="1">'Total Allocation - C'!O27-'Allocation - C Gas'!O27</f>
        <v>0</v>
      </c>
      <c r="P27" s="76">
        <f ca="1">'Total Allocation - C'!P27-'Allocation - C Gas'!P27</f>
        <v>0</v>
      </c>
      <c r="Q27" s="76"/>
      <c r="R27" s="76"/>
      <c r="S27" s="76">
        <f ca="1">'Total Allocation - C'!S27-'Allocation - C Gas'!S27</f>
        <v>0</v>
      </c>
      <c r="T27" s="76">
        <f ca="1">'Total Allocation - C'!T27-'Allocation - C Gas'!T27</f>
        <v>0</v>
      </c>
      <c r="U27" s="76">
        <f ca="1">'Total Allocation - C'!U27-'Allocation - C Gas'!U27</f>
        <v>0</v>
      </c>
      <c r="V27" s="76">
        <f ca="1">'Total Allocation - C'!V27-'Allocation - C Gas'!V27</f>
        <v>0</v>
      </c>
      <c r="W27" s="76">
        <f ca="1">'Total Allocation - C'!W27-'Allocation - C Gas'!W27</f>
        <v>0</v>
      </c>
      <c r="X27" s="76">
        <f ca="1">'Total Allocation - C'!X27-'Allocation - C Gas'!X27</f>
        <v>0</v>
      </c>
      <c r="Y27" s="76">
        <f ca="1">'Total Allocation - C'!Y27-'Allocation - C Gas'!Y27</f>
        <v>0</v>
      </c>
      <c r="Z27" s="76">
        <f ca="1">'Total Allocation - C'!Z27-'Allocation - C Gas'!Z27</f>
        <v>0</v>
      </c>
      <c r="AA27" s="76">
        <f ca="1">'Total Allocation - C'!AA27-'Allocation - C Gas'!AA27</f>
        <v>0</v>
      </c>
      <c r="AB27" s="76">
        <f ca="1">'Total Allocation - C'!AB27-'Allocation - C Gas'!AB27</f>
        <v>0</v>
      </c>
      <c r="AC27" s="76">
        <f ca="1">'Total Allocation - C'!AC27-'Allocation - C Gas'!AC27</f>
        <v>0</v>
      </c>
      <c r="AD27" s="48"/>
    </row>
    <row r="28" spans="1:30" x14ac:dyDescent="0.25">
      <c r="A28" s="2">
        <f t="shared" si="4"/>
        <v>12</v>
      </c>
      <c r="B28" s="31" t="s">
        <v>371</v>
      </c>
      <c r="D28" s="40">
        <f ca="1">SUM(D24:D27)</f>
        <v>102025.93535198871</v>
      </c>
      <c r="F28" s="40">
        <f>SUM(F24:F27)</f>
        <v>18255.261304759439</v>
      </c>
      <c r="H28" s="115"/>
      <c r="J28" s="40">
        <f ca="1">SUM(J24:J27)</f>
        <v>83770.674047229273</v>
      </c>
      <c r="N28" s="40">
        <f t="shared" ref="N28:AA28" ca="1" si="5">SUM(N24:N27)</f>
        <v>64505.465699647335</v>
      </c>
      <c r="O28" s="40">
        <f t="shared" ca="1" si="5"/>
        <v>32424.24152340215</v>
      </c>
      <c r="P28" s="40">
        <f t="shared" ca="1" si="5"/>
        <v>3747.6439731447276</v>
      </c>
      <c r="Q28" s="40"/>
      <c r="R28" s="40"/>
      <c r="S28" s="40">
        <f t="shared" ca="1" si="5"/>
        <v>0</v>
      </c>
      <c r="T28" s="40">
        <f t="shared" ca="1" si="5"/>
        <v>0</v>
      </c>
      <c r="U28" s="40">
        <f t="shared" ca="1" si="5"/>
        <v>4.4764619110855133</v>
      </c>
      <c r="V28" s="40">
        <f t="shared" ca="1" si="5"/>
        <v>0.24131795531018349</v>
      </c>
      <c r="W28" s="40">
        <f t="shared" ca="1" si="5"/>
        <v>19.589302578672275</v>
      </c>
      <c r="X28" s="40">
        <f t="shared" ca="1" si="5"/>
        <v>0.14003114333803826</v>
      </c>
      <c r="Y28" s="40">
        <f t="shared" ca="1" si="5"/>
        <v>192.23546091432524</v>
      </c>
      <c r="Z28" s="40">
        <f t="shared" ca="1" si="5"/>
        <v>0.85737744070511657</v>
      </c>
      <c r="AA28" s="40">
        <f t="shared" ca="1" si="5"/>
        <v>0</v>
      </c>
      <c r="AB28" s="40">
        <f ca="1">SUM(AB24:AB27)</f>
        <v>1131.0442038510446</v>
      </c>
      <c r="AC28" s="40">
        <f ca="1">SUM(AC24:AC27)</f>
        <v>0</v>
      </c>
      <c r="AD28" s="48"/>
    </row>
    <row r="29" spans="1:30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48"/>
    </row>
    <row r="31" spans="1:30" x14ac:dyDescent="0.25">
      <c r="A31" s="2">
        <f>A28+1</f>
        <v>13</v>
      </c>
      <c r="B31" s="31" t="s">
        <v>373</v>
      </c>
      <c r="D31" s="76">
        <f ca="1">'Total Allocation - C'!D31-'Allocation - C Gas'!D31</f>
        <v>5058.8991334695847</v>
      </c>
      <c r="F31" s="76">
        <f>'Total Allocation - C'!F31-'Allocation - C Gas'!F31</f>
        <v>0</v>
      </c>
      <c r="J31" s="76">
        <f ca="1">D31-F31</f>
        <v>5058.8991334695847</v>
      </c>
      <c r="L31" s="2" t="s">
        <v>455</v>
      </c>
      <c r="N31" s="76">
        <f ca="1">'Total Allocation - C'!N31-'Allocation - C Gas'!N31</f>
        <v>3076.7076183477202</v>
      </c>
      <c r="O31" s="76">
        <f ca="1">'Total Allocation - C'!O31-'Allocation - C Gas'!O31</f>
        <v>1624.0472729890553</v>
      </c>
      <c r="P31" s="76">
        <f ca="1">'Total Allocation - C'!P31-'Allocation - C Gas'!P31</f>
        <v>318.21514641448931</v>
      </c>
      <c r="Q31" s="76"/>
      <c r="R31" s="76"/>
      <c r="S31" s="76">
        <f ca="1">'Total Allocation - C'!S31-'Allocation - C Gas'!S31</f>
        <v>0</v>
      </c>
      <c r="T31" s="76">
        <f ca="1">'Total Allocation - C'!T31-'Allocation - C Gas'!T31</f>
        <v>0</v>
      </c>
      <c r="U31" s="76">
        <f ca="1">'Total Allocation - C'!U31-'Allocation - C Gas'!U31</f>
        <v>0</v>
      </c>
      <c r="V31" s="76">
        <f ca="1">'Total Allocation - C'!V31-'Allocation - C Gas'!V31</f>
        <v>0</v>
      </c>
      <c r="W31" s="76">
        <f ca="1">'Total Allocation - C'!W31-'Allocation - C Gas'!W31</f>
        <v>0</v>
      </c>
      <c r="X31" s="76">
        <f ca="1">'Total Allocation - C'!X31-'Allocation - C Gas'!X31</f>
        <v>0</v>
      </c>
      <c r="Y31" s="76">
        <f ca="1">'Total Allocation - C'!Y31-'Allocation - C Gas'!Y31</f>
        <v>0</v>
      </c>
      <c r="Z31" s="76">
        <f ca="1">'Total Allocation - C'!Z31-'Allocation - C Gas'!Z31</f>
        <v>0.90214179681191153</v>
      </c>
      <c r="AA31" s="76">
        <f ca="1">'Total Allocation - C'!AA31-'Allocation - C Gas'!AA31</f>
        <v>0</v>
      </c>
      <c r="AB31" s="76">
        <f ca="1">'Total Allocation - C'!AB31-'Allocation - C Gas'!AB31</f>
        <v>39.026953921507435</v>
      </c>
      <c r="AC31" s="76">
        <f ca="1">'Total Allocation - C'!AC31-'Allocation - C Gas'!AC31</f>
        <v>0</v>
      </c>
      <c r="AD31" s="48"/>
    </row>
    <row r="32" spans="1:30" x14ac:dyDescent="0.25">
      <c r="A32" s="2">
        <f>A31+1</f>
        <v>14</v>
      </c>
      <c r="B32" s="31" t="s">
        <v>375</v>
      </c>
      <c r="D32" s="76">
        <f ca="1">'Total Allocation - C'!D32-'Allocation - C Gas'!D32</f>
        <v>135.75366221986272</v>
      </c>
      <c r="F32" s="76">
        <f>'Total Allocation - C'!F32-'Allocation - C Gas'!F32</f>
        <v>0</v>
      </c>
      <c r="J32" s="76">
        <f t="shared" ref="J32:J38" ca="1" si="6">D32-F32</f>
        <v>135.75366221986272</v>
      </c>
      <c r="L32" s="2" t="s">
        <v>456</v>
      </c>
      <c r="N32" s="76">
        <f ca="1">'Total Allocation - C'!N32-'Allocation - C Gas'!N32</f>
        <v>82.562295817904143</v>
      </c>
      <c r="O32" s="76">
        <f ca="1">'Total Allocation - C'!O32-'Allocation - C Gas'!O32</f>
        <v>43.580699893345859</v>
      </c>
      <c r="P32" s="76">
        <f ca="1">'Total Allocation - C'!P32-'Allocation - C Gas'!P32</f>
        <v>8.5391841900530903</v>
      </c>
      <c r="Q32" s="76"/>
      <c r="R32" s="76"/>
      <c r="S32" s="76">
        <f ca="1">'Total Allocation - C'!S32-'Allocation - C Gas'!S32</f>
        <v>0</v>
      </c>
      <c r="T32" s="76">
        <f ca="1">'Total Allocation - C'!T32-'Allocation - C Gas'!T32</f>
        <v>0</v>
      </c>
      <c r="U32" s="76">
        <f ca="1">'Total Allocation - C'!U32-'Allocation - C Gas'!U32</f>
        <v>0</v>
      </c>
      <c r="V32" s="76">
        <f ca="1">'Total Allocation - C'!V32-'Allocation - C Gas'!V32</f>
        <v>0</v>
      </c>
      <c r="W32" s="76">
        <f ca="1">'Total Allocation - C'!W32-'Allocation - C Gas'!W32</f>
        <v>0</v>
      </c>
      <c r="X32" s="76">
        <f ca="1">'Total Allocation - C'!X32-'Allocation - C Gas'!X32</f>
        <v>0</v>
      </c>
      <c r="Y32" s="76">
        <f ca="1">'Total Allocation - C'!Y32-'Allocation - C Gas'!Y32</f>
        <v>0</v>
      </c>
      <c r="Z32" s="76">
        <f ca="1">'Total Allocation - C'!Z32-'Allocation - C Gas'!Z32</f>
        <v>2.420863700336922E-2</v>
      </c>
      <c r="AA32" s="76">
        <f ca="1">'Total Allocation - C'!AA32-'Allocation - C Gas'!AA32</f>
        <v>0</v>
      </c>
      <c r="AB32" s="76">
        <f ca="1">'Total Allocation - C'!AB32-'Allocation - C Gas'!AB32</f>
        <v>1.0472736815562604</v>
      </c>
      <c r="AC32" s="76">
        <f ca="1">'Total Allocation - C'!AC32-'Allocation - C Gas'!AC32</f>
        <v>0</v>
      </c>
      <c r="AD32" s="48"/>
    </row>
    <row r="33" spans="1:30" x14ac:dyDescent="0.25">
      <c r="A33" s="2">
        <f t="shared" ref="A33:A39" si="7">A32+1</f>
        <v>15</v>
      </c>
      <c r="B33" s="31" t="s">
        <v>377</v>
      </c>
      <c r="D33" s="76">
        <f ca="1">'Total Allocation - C'!D33-'Allocation - C Gas'!D33</f>
        <v>20136.013668639356</v>
      </c>
      <c r="F33" s="76">
        <f>'Total Allocation - C'!F33-'Allocation - C Gas'!F33</f>
        <v>0</v>
      </c>
      <c r="J33" s="76">
        <f t="shared" ca="1" si="6"/>
        <v>20136.013668639356</v>
      </c>
      <c r="L33" s="2" t="s">
        <v>457</v>
      </c>
      <c r="N33" s="76">
        <f ca="1">'Total Allocation - C'!N33-'Allocation - C Gas'!N33</f>
        <v>12246.267011663753</v>
      </c>
      <c r="O33" s="76">
        <f ca="1">'Total Allocation - C'!O33-'Allocation - C Gas'!O33</f>
        <v>6464.2205278085676</v>
      </c>
      <c r="P33" s="76">
        <f ca="1">'Total Allocation - C'!P33-'Allocation - C Gas'!P33</f>
        <v>1266.5958363846996</v>
      </c>
      <c r="Q33" s="76"/>
      <c r="R33" s="76"/>
      <c r="S33" s="76">
        <f ca="1">'Total Allocation - C'!S33-'Allocation - C Gas'!S33</f>
        <v>0</v>
      </c>
      <c r="T33" s="76">
        <f ca="1">'Total Allocation - C'!T33-'Allocation - C Gas'!T33</f>
        <v>0</v>
      </c>
      <c r="U33" s="76">
        <f ca="1">'Total Allocation - C'!U33-'Allocation - C Gas'!U33</f>
        <v>0</v>
      </c>
      <c r="V33" s="76">
        <f ca="1">'Total Allocation - C'!V33-'Allocation - C Gas'!V33</f>
        <v>0</v>
      </c>
      <c r="W33" s="76">
        <f ca="1">'Total Allocation - C'!W33-'Allocation - C Gas'!W33</f>
        <v>0</v>
      </c>
      <c r="X33" s="76">
        <f ca="1">'Total Allocation - C'!X33-'Allocation - C Gas'!X33</f>
        <v>0</v>
      </c>
      <c r="Y33" s="76">
        <f ca="1">'Total Allocation - C'!Y33-'Allocation - C Gas'!Y33</f>
        <v>0</v>
      </c>
      <c r="Z33" s="76">
        <f ca="1">'Total Allocation - C'!Z33-'Allocation - C Gas'!Z33</f>
        <v>3.5908065865043</v>
      </c>
      <c r="AA33" s="76">
        <f ca="1">'Total Allocation - C'!AA33-'Allocation - C Gas'!AA33</f>
        <v>0</v>
      </c>
      <c r="AB33" s="76">
        <f ca="1">'Total Allocation - C'!AB33-'Allocation - C Gas'!AB33</f>
        <v>155.3394861958339</v>
      </c>
      <c r="AC33" s="76">
        <f ca="1">'Total Allocation - C'!AC33-'Allocation - C Gas'!AC33</f>
        <v>0</v>
      </c>
      <c r="AD33" s="48"/>
    </row>
    <row r="34" spans="1:30" x14ac:dyDescent="0.25">
      <c r="A34" s="2">
        <f t="shared" si="7"/>
        <v>16</v>
      </c>
      <c r="B34" s="31" t="s">
        <v>379</v>
      </c>
      <c r="D34" s="76">
        <f ca="1">'Total Allocation - C'!D34-'Allocation - C Gas'!D34</f>
        <v>110385.58057496099</v>
      </c>
      <c r="F34" s="76">
        <f>'Total Allocation - C'!F34-'Allocation - C Gas'!F34</f>
        <v>0</v>
      </c>
      <c r="J34" s="76">
        <f t="shared" ca="1" si="6"/>
        <v>110385.58057496099</v>
      </c>
      <c r="L34" s="2" t="s">
        <v>458</v>
      </c>
      <c r="N34" s="76">
        <f ca="1">'Total Allocation - C'!N34-'Allocation - C Gas'!N34</f>
        <v>67134.004404984342</v>
      </c>
      <c r="O34" s="76">
        <f ca="1">'Total Allocation - C'!O34-'Allocation - C Gas'!O34</f>
        <v>35436.840383715629</v>
      </c>
      <c r="P34" s="76">
        <f ca="1">'Total Allocation - C'!P34-'Allocation - C Gas'!P34</f>
        <v>6943.479748847777</v>
      </c>
      <c r="Q34" s="76"/>
      <c r="R34" s="76"/>
      <c r="S34" s="76">
        <f ca="1">'Total Allocation - C'!S34-'Allocation - C Gas'!S34</f>
        <v>0</v>
      </c>
      <c r="T34" s="76">
        <f ca="1">'Total Allocation - C'!T34-'Allocation - C Gas'!T34</f>
        <v>0</v>
      </c>
      <c r="U34" s="76">
        <f ca="1">'Total Allocation - C'!U34-'Allocation - C Gas'!U34</f>
        <v>0</v>
      </c>
      <c r="V34" s="76">
        <f ca="1">'Total Allocation - C'!V34-'Allocation - C Gas'!V34</f>
        <v>0</v>
      </c>
      <c r="W34" s="76">
        <f ca="1">'Total Allocation - C'!W34-'Allocation - C Gas'!W34</f>
        <v>0</v>
      </c>
      <c r="X34" s="76">
        <f ca="1">'Total Allocation - C'!X34-'Allocation - C Gas'!X34</f>
        <v>0</v>
      </c>
      <c r="Y34" s="76">
        <f ca="1">'Total Allocation - C'!Y34-'Allocation - C Gas'!Y34</f>
        <v>0</v>
      </c>
      <c r="Z34" s="76">
        <f ca="1">'Total Allocation - C'!Z34-'Allocation - C Gas'!Z34</f>
        <v>19.684805601910316</v>
      </c>
      <c r="AA34" s="76">
        <f ca="1">'Total Allocation - C'!AA34-'Allocation - C Gas'!AA34</f>
        <v>0</v>
      </c>
      <c r="AB34" s="76">
        <f ca="1">'Total Allocation - C'!AB34-'Allocation - C Gas'!AB34</f>
        <v>851.57123181130703</v>
      </c>
      <c r="AC34" s="76">
        <f ca="1">'Total Allocation - C'!AC34-'Allocation - C Gas'!AC34</f>
        <v>0</v>
      </c>
      <c r="AD34" s="48"/>
    </row>
    <row r="35" spans="1:30" x14ac:dyDescent="0.25">
      <c r="A35" s="2">
        <f t="shared" si="7"/>
        <v>17</v>
      </c>
      <c r="B35" s="31" t="s">
        <v>381</v>
      </c>
      <c r="D35" s="76">
        <f ca="1">'Total Allocation - C'!D35-'Allocation - C Gas'!D35</f>
        <v>12227.889051322658</v>
      </c>
      <c r="F35" s="76">
        <f>'Total Allocation - C'!F35-'Allocation - C Gas'!F35</f>
        <v>0</v>
      </c>
      <c r="J35" s="76">
        <f t="shared" ca="1" si="6"/>
        <v>12227.889051322658</v>
      </c>
      <c r="L35" s="2" t="s">
        <v>459</v>
      </c>
      <c r="N35" s="76">
        <f ca="1">'Total Allocation - C'!N35-'Allocation - C Gas'!N35</f>
        <v>7432.4661198641688</v>
      </c>
      <c r="O35" s="76">
        <f ca="1">'Total Allocation - C'!O35-'Allocation - C Gas'!O35</f>
        <v>4013.9229188766662</v>
      </c>
      <c r="P35" s="76">
        <f ca="1">'Total Allocation - C'!P35-'Allocation - C Gas'!P35</f>
        <v>779.02532534756585</v>
      </c>
      <c r="Q35" s="76"/>
      <c r="R35" s="76"/>
      <c r="S35" s="76">
        <f ca="1">'Total Allocation - C'!S35-'Allocation - C Gas'!S35</f>
        <v>0</v>
      </c>
      <c r="T35" s="76">
        <f ca="1">'Total Allocation - C'!T35-'Allocation - C Gas'!T35</f>
        <v>0</v>
      </c>
      <c r="U35" s="76">
        <f ca="1">'Total Allocation - C'!U35-'Allocation - C Gas'!U35</f>
        <v>0</v>
      </c>
      <c r="V35" s="76">
        <f ca="1">'Total Allocation - C'!V35-'Allocation - C Gas'!V35</f>
        <v>0</v>
      </c>
      <c r="W35" s="76">
        <f ca="1">'Total Allocation - C'!W35-'Allocation - C Gas'!W35</f>
        <v>0</v>
      </c>
      <c r="X35" s="76">
        <f ca="1">'Total Allocation - C'!X35-'Allocation - C Gas'!X35</f>
        <v>0</v>
      </c>
      <c r="Y35" s="76">
        <f ca="1">'Total Allocation - C'!Y35-'Allocation - C Gas'!Y35</f>
        <v>0</v>
      </c>
      <c r="Z35" s="76">
        <f ca="1">'Total Allocation - C'!Z35-'Allocation - C Gas'!Z35</f>
        <v>2.474687234256765</v>
      </c>
      <c r="AA35" s="76">
        <f ca="1">'Total Allocation - C'!AA35-'Allocation - C Gas'!AA35</f>
        <v>0</v>
      </c>
      <c r="AB35" s="76">
        <f ca="1">'Total Allocation - C'!AB35-'Allocation - C Gas'!AB35</f>
        <v>0</v>
      </c>
      <c r="AC35" s="76">
        <f ca="1">'Total Allocation - C'!AC35-'Allocation - C Gas'!AC35</f>
        <v>0</v>
      </c>
      <c r="AD35" s="48"/>
    </row>
    <row r="36" spans="1:30" x14ac:dyDescent="0.25">
      <c r="A36" s="2">
        <f t="shared" si="7"/>
        <v>18</v>
      </c>
      <c r="B36" s="31" t="s">
        <v>383</v>
      </c>
      <c r="D36" s="76">
        <f ca="1">'Total Allocation - C'!D36-'Allocation - C Gas'!D36</f>
        <v>0</v>
      </c>
      <c r="F36" s="76">
        <f>'Total Allocation - C'!F36-'Allocation - C Gas'!F36</f>
        <v>0</v>
      </c>
      <c r="J36" s="76">
        <f t="shared" ca="1" si="6"/>
        <v>0</v>
      </c>
      <c r="L36" s="2" t="s">
        <v>460</v>
      </c>
      <c r="N36" s="76">
        <f ca="1">'Total Allocation - C'!N36-'Allocation - C Gas'!N36</f>
        <v>0</v>
      </c>
      <c r="O36" s="76">
        <f ca="1">'Total Allocation - C'!O36-'Allocation - C Gas'!O36</f>
        <v>0</v>
      </c>
      <c r="P36" s="76">
        <f ca="1">'Total Allocation - C'!P36-'Allocation - C Gas'!P36</f>
        <v>0</v>
      </c>
      <c r="Q36" s="76"/>
      <c r="R36" s="76"/>
      <c r="S36" s="76">
        <f ca="1">'Total Allocation - C'!S36-'Allocation - C Gas'!S36</f>
        <v>0</v>
      </c>
      <c r="T36" s="76">
        <f ca="1">'Total Allocation - C'!T36-'Allocation - C Gas'!T36</f>
        <v>0</v>
      </c>
      <c r="U36" s="76">
        <f ca="1">'Total Allocation - C'!U36-'Allocation - C Gas'!U36</f>
        <v>0</v>
      </c>
      <c r="V36" s="76">
        <f ca="1">'Total Allocation - C'!V36-'Allocation - C Gas'!V36</f>
        <v>0</v>
      </c>
      <c r="W36" s="76">
        <f ca="1">'Total Allocation - C'!W36-'Allocation - C Gas'!W36</f>
        <v>0</v>
      </c>
      <c r="X36" s="76">
        <f ca="1">'Total Allocation - C'!X36-'Allocation - C Gas'!X36</f>
        <v>0</v>
      </c>
      <c r="Y36" s="76">
        <f ca="1">'Total Allocation - C'!Y36-'Allocation - C Gas'!Y36</f>
        <v>0</v>
      </c>
      <c r="Z36" s="76">
        <f ca="1">'Total Allocation - C'!Z36-'Allocation - C Gas'!Z36</f>
        <v>0</v>
      </c>
      <c r="AA36" s="76">
        <f ca="1">'Total Allocation - C'!AA36-'Allocation - C Gas'!AA36</f>
        <v>0</v>
      </c>
      <c r="AB36" s="76">
        <f ca="1">'Total Allocation - C'!AB36-'Allocation - C Gas'!AB36</f>
        <v>0</v>
      </c>
      <c r="AC36" s="76">
        <f ca="1">'Total Allocation - C'!AC36-'Allocation - C Gas'!AC36</f>
        <v>0</v>
      </c>
      <c r="AD36" s="48"/>
    </row>
    <row r="37" spans="1:30" x14ac:dyDescent="0.25">
      <c r="A37" s="2">
        <f t="shared" si="7"/>
        <v>19</v>
      </c>
      <c r="B37" s="31" t="s">
        <v>385</v>
      </c>
      <c r="D37" s="76">
        <f ca="1">'Total Allocation - C'!D37-'Allocation - C Gas'!D37</f>
        <v>0</v>
      </c>
      <c r="F37" s="76">
        <f>'Total Allocation - C'!F37-'Allocation - C Gas'!F37</f>
        <v>0</v>
      </c>
      <c r="J37" s="76">
        <f t="shared" ca="1" si="6"/>
        <v>0</v>
      </c>
      <c r="L37" s="2" t="s">
        <v>461</v>
      </c>
      <c r="N37" s="76">
        <f ca="1">'Total Allocation - C'!N37-'Allocation - C Gas'!N37</f>
        <v>0</v>
      </c>
      <c r="O37" s="76">
        <f ca="1">'Total Allocation - C'!O37-'Allocation - C Gas'!O37</f>
        <v>0</v>
      </c>
      <c r="P37" s="76">
        <f ca="1">'Total Allocation - C'!P37-'Allocation - C Gas'!P37</f>
        <v>0</v>
      </c>
      <c r="Q37" s="76"/>
      <c r="R37" s="76"/>
      <c r="S37" s="76">
        <f ca="1">'Total Allocation - C'!S37-'Allocation - C Gas'!S37</f>
        <v>0</v>
      </c>
      <c r="T37" s="76">
        <f ca="1">'Total Allocation - C'!T37-'Allocation - C Gas'!T37</f>
        <v>0</v>
      </c>
      <c r="U37" s="76">
        <f ca="1">'Total Allocation - C'!U37-'Allocation - C Gas'!U37</f>
        <v>0</v>
      </c>
      <c r="V37" s="76">
        <f ca="1">'Total Allocation - C'!V37-'Allocation - C Gas'!V37</f>
        <v>0</v>
      </c>
      <c r="W37" s="76">
        <f ca="1">'Total Allocation - C'!W37-'Allocation - C Gas'!W37</f>
        <v>0</v>
      </c>
      <c r="X37" s="76">
        <f ca="1">'Total Allocation - C'!X37-'Allocation - C Gas'!X37</f>
        <v>0</v>
      </c>
      <c r="Y37" s="76">
        <f ca="1">'Total Allocation - C'!Y37-'Allocation - C Gas'!Y37</f>
        <v>0</v>
      </c>
      <c r="Z37" s="76">
        <f ca="1">'Total Allocation - C'!Z37-'Allocation - C Gas'!Z37</f>
        <v>0</v>
      </c>
      <c r="AA37" s="76">
        <f ca="1">'Total Allocation - C'!AA37-'Allocation - C Gas'!AA37</f>
        <v>0</v>
      </c>
      <c r="AB37" s="76">
        <f ca="1">'Total Allocation - C'!AB37-'Allocation - C Gas'!AB37</f>
        <v>0</v>
      </c>
      <c r="AC37" s="76">
        <f ca="1">'Total Allocation - C'!AC37-'Allocation - C Gas'!AC37</f>
        <v>0</v>
      </c>
      <c r="AD37" s="48"/>
    </row>
    <row r="38" spans="1:30" x14ac:dyDescent="0.25">
      <c r="A38" s="2">
        <f t="shared" si="7"/>
        <v>20</v>
      </c>
      <c r="B38" s="31" t="s">
        <v>386</v>
      </c>
      <c r="D38" s="76">
        <f ca="1">'Total Allocation - C'!D38-'Allocation - C Gas'!D38</f>
        <v>0</v>
      </c>
      <c r="F38" s="76">
        <f>'Total Allocation - C'!F38-'Allocation - C Gas'!F38</f>
        <v>0</v>
      </c>
      <c r="H38" s="2" t="s">
        <v>462</v>
      </c>
      <c r="J38" s="76">
        <f t="shared" ca="1" si="6"/>
        <v>0</v>
      </c>
      <c r="L38" s="2" t="s">
        <v>463</v>
      </c>
      <c r="N38" s="76">
        <f ca="1">'Total Allocation - C'!N38-'Allocation - C Gas'!N38</f>
        <v>0</v>
      </c>
      <c r="O38" s="76">
        <f ca="1">'Total Allocation - C'!O38-'Allocation - C Gas'!O38</f>
        <v>0</v>
      </c>
      <c r="P38" s="76">
        <f ca="1">'Total Allocation - C'!P38-'Allocation - C Gas'!P38</f>
        <v>0</v>
      </c>
      <c r="Q38" s="76"/>
      <c r="R38" s="76"/>
      <c r="S38" s="76">
        <f ca="1">'Total Allocation - C'!S38-'Allocation - C Gas'!S38</f>
        <v>0</v>
      </c>
      <c r="T38" s="76">
        <f ca="1">'Total Allocation - C'!T38-'Allocation - C Gas'!T38</f>
        <v>0</v>
      </c>
      <c r="U38" s="76">
        <f ca="1">'Total Allocation - C'!U38-'Allocation - C Gas'!U38</f>
        <v>0</v>
      </c>
      <c r="V38" s="76">
        <f ca="1">'Total Allocation - C'!V38-'Allocation - C Gas'!V38</f>
        <v>0</v>
      </c>
      <c r="W38" s="76">
        <f ca="1">'Total Allocation - C'!W38-'Allocation - C Gas'!W38</f>
        <v>0</v>
      </c>
      <c r="X38" s="76">
        <f ca="1">'Total Allocation - C'!X38-'Allocation - C Gas'!X38</f>
        <v>0</v>
      </c>
      <c r="Y38" s="76">
        <f ca="1">'Total Allocation - C'!Y38-'Allocation - C Gas'!Y38</f>
        <v>0</v>
      </c>
      <c r="Z38" s="76">
        <f ca="1">'Total Allocation - C'!Z38-'Allocation - C Gas'!Z38</f>
        <v>0</v>
      </c>
      <c r="AA38" s="76">
        <f ca="1">'Total Allocation - C'!AA38-'Allocation - C Gas'!AA38</f>
        <v>0</v>
      </c>
      <c r="AB38" s="76">
        <f ca="1">'Total Allocation - C'!AB38-'Allocation - C Gas'!AB38</f>
        <v>0</v>
      </c>
      <c r="AC38" s="76">
        <f ca="1">'Total Allocation - C'!AC38-'Allocation - C Gas'!AC38</f>
        <v>0</v>
      </c>
      <c r="AD38" s="48"/>
    </row>
    <row r="39" spans="1:30" x14ac:dyDescent="0.25">
      <c r="A39" s="2">
        <f t="shared" si="7"/>
        <v>21</v>
      </c>
      <c r="B39" s="31" t="s">
        <v>389</v>
      </c>
      <c r="D39" s="40">
        <f ca="1">SUM(D31:D38)</f>
        <v>147944.13609061245</v>
      </c>
      <c r="F39" s="40">
        <f>SUM(F31:F38)</f>
        <v>0</v>
      </c>
      <c r="J39" s="40">
        <f ca="1">SUM(J31:J38)</f>
        <v>147944.13609061245</v>
      </c>
      <c r="N39" s="40">
        <f t="shared" ref="N39:AA39" ca="1" si="8">SUM(N31:N38)</f>
        <v>89972.007450677891</v>
      </c>
      <c r="O39" s="40">
        <f t="shared" ca="1" si="8"/>
        <v>47582.611803283267</v>
      </c>
      <c r="P39" s="40">
        <f t="shared" ca="1" si="8"/>
        <v>9315.8552411845849</v>
      </c>
      <c r="Q39" s="40"/>
      <c r="R39" s="40"/>
      <c r="S39" s="40">
        <f t="shared" ca="1" si="8"/>
        <v>0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0</v>
      </c>
      <c r="X39" s="40">
        <f t="shared" ca="1" si="8"/>
        <v>0</v>
      </c>
      <c r="Y39" s="40">
        <f t="shared" ca="1" si="8"/>
        <v>0</v>
      </c>
      <c r="Z39" s="40">
        <f t="shared" ca="1" si="8"/>
        <v>26.676649856486662</v>
      </c>
      <c r="AA39" s="40">
        <f t="shared" ca="1" si="8"/>
        <v>0</v>
      </c>
      <c r="AB39" s="40">
        <f ca="1">SUM(AB31:AB38)</f>
        <v>1046.9849456102047</v>
      </c>
      <c r="AC39" s="40">
        <f ca="1">SUM(AC31:AC38)</f>
        <v>0</v>
      </c>
      <c r="AD39" s="48"/>
    </row>
    <row r="40" spans="1:30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247477.08495823573</v>
      </c>
      <c r="F42" s="80">
        <f>F21+F28+F39</f>
        <v>12304.721615296183</v>
      </c>
      <c r="J42" s="80">
        <f ca="1">J21+J28+J39</f>
        <v>235172.36334293956</v>
      </c>
      <c r="N42" s="80">
        <f t="shared" ref="N42:AC42" ca="1" si="9">N21+N28+N39</f>
        <v>154259.73490442132</v>
      </c>
      <c r="O42" s="80">
        <f t="shared" ca="1" si="9"/>
        <v>78908.805587576149</v>
      </c>
      <c r="P42" s="80">
        <f t="shared" ca="1" si="9"/>
        <v>12264.932611425613</v>
      </c>
      <c r="Q42" s="80"/>
      <c r="R42" s="80"/>
      <c r="S42" s="80">
        <f t="shared" ca="1" si="9"/>
        <v>0</v>
      </c>
      <c r="T42" s="80">
        <f t="shared" ca="1" si="9"/>
        <v>0</v>
      </c>
      <c r="U42" s="80">
        <f t="shared" ca="1" si="9"/>
        <v>4.4764619110855133</v>
      </c>
      <c r="V42" s="80">
        <f t="shared" ca="1" si="9"/>
        <v>0.24131795531018349</v>
      </c>
      <c r="W42" s="80">
        <f t="shared" ca="1" si="9"/>
        <v>19.589302578672275</v>
      </c>
      <c r="X42" s="80">
        <f t="shared" ca="1" si="9"/>
        <v>0.14003114333803826</v>
      </c>
      <c r="Y42" s="80">
        <f t="shared" ca="1" si="9"/>
        <v>76.479511626281223</v>
      </c>
      <c r="Z42" s="80">
        <f t="shared" ca="1" si="9"/>
        <v>9.350376072372736</v>
      </c>
      <c r="AA42" s="80">
        <f t="shared" ca="1" si="9"/>
        <v>0</v>
      </c>
      <c r="AB42" s="80">
        <f t="shared" ca="1" si="9"/>
        <v>1933.3348535255766</v>
      </c>
      <c r="AC42" s="80">
        <f t="shared" ca="1" si="9"/>
        <v>0</v>
      </c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E8F5-38B4-477A-9C71-EA513C655522}">
  <sheetPr>
    <tabColor theme="0" tint="-0.249977111117893"/>
  </sheetPr>
  <dimension ref="A6:AD45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3.2695312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4" width="12.81640625" style="31" customWidth="1"/>
    <col min="15" max="15" width="14.54296875" style="31" customWidth="1"/>
    <col min="16" max="16" width="17.1796875" style="31" customWidth="1"/>
    <col min="17" max="17" width="16.81640625" style="31" hidden="1" customWidth="1"/>
    <col min="18" max="18" width="14.7265625" style="31" hidden="1" customWidth="1"/>
    <col min="19" max="19" width="13.81640625" style="31" customWidth="1"/>
    <col min="20" max="20" width="14.453125" style="31" customWidth="1"/>
    <col min="21" max="21" width="15.453125" style="31" customWidth="1"/>
    <col min="22" max="22" width="15" style="31" customWidth="1"/>
    <col min="23" max="23" width="12.81640625" style="31" customWidth="1"/>
    <col min="24" max="24" width="15.7265625" style="31" customWidth="1"/>
    <col min="25" max="25" width="14.54296875" style="31" customWidth="1"/>
    <col min="26" max="26" width="15" style="31" customWidth="1"/>
    <col min="27" max="27" width="14.26953125" style="31" customWidth="1"/>
    <col min="28" max="28" width="15.1796875" style="31" customWidth="1"/>
    <col min="29" max="29" width="14.7265625" style="31" customWidth="1"/>
    <col min="3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470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/>
      <c r="R13" s="70"/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'Rate Zone Allocation - Gas Cost'!Q15</f>
        <v>1171021.2005978464</v>
      </c>
      <c r="F15" s="76"/>
      <c r="J15" s="76">
        <f ca="1">D15-F15</f>
        <v>1171021.2005978464</v>
      </c>
      <c r="L15" s="2" t="s">
        <v>445</v>
      </c>
      <c r="N15" s="76">
        <f ca="1">IF($J15&lt;&gt;0,VLOOKUP($L15,'Allocation Factors - C'!$B$13:$U$117,5,FALSE)*$J15,0)+IF($F15&lt;&gt;0,VLOOKUP($H15,'Allocation Factors - C'!$B$13:$U$117,5,FALSE)*$F15,0)</f>
        <v>812512.72463427251</v>
      </c>
      <c r="O15" s="76">
        <f ca="1">IF($J15&lt;&gt;0,VLOOKUP($L15,'Allocation Factors - C'!$B$13:$U$117,6,FALSE)*$J15,0)+IF($F15&lt;&gt;0,VLOOKUP($H15,'Allocation Factors - C'!$B$13:$U$117,6,FALSE)*$F15,0)</f>
        <v>320777.69676079106</v>
      </c>
      <c r="P15" s="76">
        <f ca="1">IF($J15&lt;&gt;0,VLOOKUP($L15,'Allocation Factors - C'!$B$13:$U$117,7,FALSE)*$J15,0)+IF($F15&lt;&gt;0,VLOOKUP($H15,'Allocation Factors - C'!$B$13:$U$117,7,FALSE)*$F15,0)</f>
        <v>16962.626845576266</v>
      </c>
      <c r="Q15" s="76"/>
      <c r="R15" s="76"/>
      <c r="S15" s="76">
        <f ca="1">IF($J15&lt;&gt;0,VLOOKUP($L15,'Allocation Factors - C'!$B$13:$U$117,10,FALSE)*$J15,0)+IF($F15&lt;&gt;0,VLOOKUP($H15,'Allocation Factors - C'!$B$13:$U$117,10,FALSE)*$F15,0)</f>
        <v>0</v>
      </c>
      <c r="T15" s="76">
        <f ca="1">IF($J15&lt;&gt;0,VLOOKUP($L15,'Allocation Factors - C'!$B$13:$U$117,11,FALSE)*$J15,0)+IF($F15&lt;&gt;0,VLOOKUP($H15,'Allocation Factors - C'!$B$13:$U$117,11,FALSE)*$F15,0)</f>
        <v>0</v>
      </c>
      <c r="U15" s="76">
        <f ca="1">IF($J15&lt;&gt;0,VLOOKUP($L15,'Allocation Factors - C'!$B$13:$U$117,12,FALSE)*$J15,0)+IF($F15&lt;&gt;0,VLOOKUP($H15,'Allocation Factors - C'!$B$13:$U$117,12,FALSE)*$F15,0)</f>
        <v>0</v>
      </c>
      <c r="V15" s="76">
        <f ca="1">IF($J15&lt;&gt;0,VLOOKUP($L15,'Allocation Factors - C'!$B$13:$U$117,13,FALSE)*$J15,0)+IF($F15&lt;&gt;0,VLOOKUP($H15,'Allocation Factors - C'!$B$13:$U$117,13,FALSE)*$F15,0)</f>
        <v>0</v>
      </c>
      <c r="W15" s="76">
        <f ca="1">IF($J15&lt;&gt;0,VLOOKUP($L15,'Allocation Factors - C'!$B$13:$U$117,14,FALSE)*$J15,0)+IF($F15&lt;&gt;0,VLOOKUP($H15,'Allocation Factors - C'!$B$13:$U$117,14,FALSE)*$F15,0)</f>
        <v>0</v>
      </c>
      <c r="X15" s="76">
        <f ca="1">IF($J15&lt;&gt;0,VLOOKUP($L15,'Allocation Factors - C'!$B$13:$U$117,15,FALSE)*$J15,0)+IF($F15&lt;&gt;0,VLOOKUP($H15,'Allocation Factors - C'!$B$13:$U$117,15,FALSE)*$F15,0)</f>
        <v>0</v>
      </c>
      <c r="Y15" s="76">
        <f ca="1">IF($J15&lt;&gt;0,VLOOKUP($L15,'Allocation Factors - C'!$B$13:$U$117,16,FALSE)*$J15,0)+IF($F15&lt;&gt;0,VLOOKUP($H15,'Allocation Factors - C'!$B$13:$U$117,16,FALSE)*$F15,0)</f>
        <v>846.4842747758446</v>
      </c>
      <c r="Z15" s="76">
        <f ca="1">IF($J15&lt;&gt;0,VLOOKUP($L15,'Allocation Factors - C'!$B$13:$U$117,17,FALSE)*$J15,0)+IF($F15&lt;&gt;0,VLOOKUP($H15,'Allocation Factors - C'!$B$13:$U$117,17,FALSE)*$F15,0)</f>
        <v>604.61578061147122</v>
      </c>
      <c r="AA15" s="76">
        <f ca="1">IF($J15&lt;&gt;0,VLOOKUP($L15,'Allocation Factors - C'!$B$13:$U$117,18,FALSE)*$J15,0)+IF($F15&lt;&gt;0,VLOOKUP($H15,'Allocation Factors - C'!$B$13:$U$117,18,FALSE)*$F15,0)</f>
        <v>0</v>
      </c>
      <c r="AB15" s="76">
        <f ca="1">IF($J15&lt;&gt;0,VLOOKUP($L15,'Allocation Factors - C'!$B$13:$U$117,19,FALSE)*$J15,0)+IF($F15&lt;&gt;0,VLOOKUP($H15,'Allocation Factors - C'!$B$13:$U$117,19,FALSE)*$F15,0)</f>
        <v>19317.052301819218</v>
      </c>
      <c r="AC15" s="76">
        <f ca="1">IF($J15&lt;&gt;0,VLOOKUP($L15,'Allocation Factors - C'!$B$13:$U$117,20,FALSE)*$J15,0)+IF($F15&lt;&gt;0,VLOOKUP($H15,'Allocation Factors - C'!$B$13:$U$117,20,FALSE)*$F15,0)</f>
        <v>0</v>
      </c>
      <c r="AD15" s="48"/>
    </row>
    <row r="16" spans="1:30" x14ac:dyDescent="0.25">
      <c r="A16" s="2">
        <f>A15+1</f>
        <v>2</v>
      </c>
      <c r="B16" s="31" t="s">
        <v>351</v>
      </c>
      <c r="D16" s="76">
        <f ca="1">'Rate Zone Allocation - Gas Cost'!Q16</f>
        <v>133955.89576996167</v>
      </c>
      <c r="E16" s="71"/>
      <c r="F16" s="76"/>
      <c r="J16" s="76">
        <f ca="1">D16-F16</f>
        <v>133955.89576996167</v>
      </c>
      <c r="L16" s="2" t="s">
        <v>446</v>
      </c>
      <c r="N16" s="76">
        <f ca="1">IF($J16&lt;&gt;0,VLOOKUP($L16,'Allocation Factors - C'!$B$13:$U$117,5,FALSE)*$J16,0)+IF($F16&lt;&gt;0,VLOOKUP($H16,'Allocation Factors - C'!$B$13:$U$117,5,FALSE)*$F16,0)</f>
        <v>85372.99096715801</v>
      </c>
      <c r="O16" s="76">
        <f ca="1">IF($J16&lt;&gt;0,VLOOKUP($L16,'Allocation Factors - C'!$B$13:$U$117,6,FALSE)*$J16,0)+IF($F16&lt;&gt;0,VLOOKUP($H16,'Allocation Factors - C'!$B$13:$U$117,6,FALSE)*$F16,0)</f>
        <v>42695.854991368607</v>
      </c>
      <c r="P16" s="76">
        <f ca="1">IF($J16&lt;&gt;0,VLOOKUP($L16,'Allocation Factors - C'!$B$13:$U$117,7,FALSE)*$J16,0)+IF($F16&lt;&gt;0,VLOOKUP($H16,'Allocation Factors - C'!$B$13:$U$117,7,FALSE)*$F16,0)</f>
        <v>4646.6996537307177</v>
      </c>
      <c r="Q16" s="76"/>
      <c r="R16" s="76"/>
      <c r="S16" s="76">
        <f ca="1">IF($J16&lt;&gt;0,VLOOKUP($L16,'Allocation Factors - C'!$B$13:$U$117,10,FALSE)*$J16,0)+IF($F16&lt;&gt;0,VLOOKUP($H16,'Allocation Factors - C'!$B$13:$U$117,10,FALSE)*$F16,0)</f>
        <v>0</v>
      </c>
      <c r="T16" s="76">
        <f ca="1">IF($J16&lt;&gt;0,VLOOKUP($L16,'Allocation Factors - C'!$B$13:$U$117,11,FALSE)*$J16,0)+IF($F16&lt;&gt;0,VLOOKUP($H16,'Allocation Factors - C'!$B$13:$U$117,11,FALSE)*$F16,0)</f>
        <v>0</v>
      </c>
      <c r="U16" s="76">
        <f ca="1">IF($J16&lt;&gt;0,VLOOKUP($L16,'Allocation Factors - C'!$B$13:$U$117,12,FALSE)*$J16,0)+IF($F16&lt;&gt;0,VLOOKUP($H16,'Allocation Factors - C'!$B$13:$U$117,12,FALSE)*$F16,0)</f>
        <v>0</v>
      </c>
      <c r="V16" s="76">
        <f ca="1">IF($J16&lt;&gt;0,VLOOKUP($L16,'Allocation Factors - C'!$B$13:$U$117,13,FALSE)*$J16,0)+IF($F16&lt;&gt;0,VLOOKUP($H16,'Allocation Factors - C'!$B$13:$U$117,13,FALSE)*$F16,0)</f>
        <v>0</v>
      </c>
      <c r="W16" s="76">
        <f ca="1">IF($J16&lt;&gt;0,VLOOKUP($L16,'Allocation Factors - C'!$B$13:$U$117,14,FALSE)*$J16,0)+IF($F16&lt;&gt;0,VLOOKUP($H16,'Allocation Factors - C'!$B$13:$U$117,14,FALSE)*$F16,0)</f>
        <v>0</v>
      </c>
      <c r="X16" s="76">
        <f ca="1">IF($J16&lt;&gt;0,VLOOKUP($L16,'Allocation Factors - C'!$B$13:$U$117,15,FALSE)*$J16,0)+IF($F16&lt;&gt;0,VLOOKUP($H16,'Allocation Factors - C'!$B$13:$U$117,15,FALSE)*$F16,0)</f>
        <v>0</v>
      </c>
      <c r="Y16" s="76">
        <f ca="1">IF($J16&lt;&gt;0,VLOOKUP($L16,'Allocation Factors - C'!$B$13:$U$117,16,FALSE)*$J16,0)+IF($F16&lt;&gt;0,VLOOKUP($H16,'Allocation Factors - C'!$B$13:$U$117,16,FALSE)*$F16,0)</f>
        <v>0.67050294727612458</v>
      </c>
      <c r="Z16" s="76">
        <f ca="1">IF($J16&lt;&gt;0,VLOOKUP($L16,'Allocation Factors - C'!$B$13:$U$117,17,FALSE)*$J16,0)+IF($F16&lt;&gt;0,VLOOKUP($H16,'Allocation Factors - C'!$B$13:$U$117,17,FALSE)*$F16,0)</f>
        <v>0</v>
      </c>
      <c r="AA16" s="76">
        <f ca="1">IF($J16&lt;&gt;0,VLOOKUP($L16,'Allocation Factors - C'!$B$13:$U$117,18,FALSE)*$J16,0)+IF($F16&lt;&gt;0,VLOOKUP($H16,'Allocation Factors - C'!$B$13:$U$117,18,FALSE)*$F16,0)</f>
        <v>0</v>
      </c>
      <c r="AB16" s="76">
        <f ca="1">IF($J16&lt;&gt;0,VLOOKUP($L16,'Allocation Factors - C'!$B$13:$U$117,19,FALSE)*$J16,0)+IF($F16&lt;&gt;0,VLOOKUP($H16,'Allocation Factors - C'!$B$13:$U$117,19,FALSE)*$F16,0)</f>
        <v>1239.6796547570423</v>
      </c>
      <c r="AC16" s="76">
        <f ca="1">IF($J16&lt;&gt;0,VLOOKUP($L16,'Allocation Factors - C'!$B$13:$U$117,20,FALSE)*$J16,0)+IF($F16&lt;&gt;0,VLOOKUP($H16,'Allocation Factors - C'!$B$13:$U$117,20,FALSE)*$F16,0)</f>
        <v>0</v>
      </c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'Rate Zone Allocation - Gas Cost'!Q17</f>
        <v>24624.003101098595</v>
      </c>
      <c r="F17" s="76"/>
      <c r="J17" s="76">
        <f t="shared" ref="J17:J20" ca="1" si="1">D17-F17</f>
        <v>24624.003101098595</v>
      </c>
      <c r="L17" s="2" t="s">
        <v>447</v>
      </c>
      <c r="N17" s="76">
        <f ca="1">IF($J17&lt;&gt;0,VLOOKUP($L17,'Allocation Factors - C'!$B$13:$U$117,5,FALSE)*$J17,0)+IF($F17&lt;&gt;0,VLOOKUP($H17,'Allocation Factors - C'!$B$13:$U$117,5,FALSE)*$F17,0)</f>
        <v>15693.326481870239</v>
      </c>
      <c r="O17" s="76">
        <f ca="1">IF($J17&lt;&gt;0,VLOOKUP($L17,'Allocation Factors - C'!$B$13:$U$117,6,FALSE)*$J17,0)+IF($F17&lt;&gt;0,VLOOKUP($H17,'Allocation Factors - C'!$B$13:$U$117,6,FALSE)*$F17,0)</f>
        <v>7848.383712594692</v>
      </c>
      <c r="P17" s="76">
        <f ca="1">IF($J17&lt;&gt;0,VLOOKUP($L17,'Allocation Factors - C'!$B$13:$U$117,7,FALSE)*$J17,0)+IF($F17&lt;&gt;0,VLOOKUP($H17,'Allocation Factors - C'!$B$13:$U$117,7,FALSE)*$F17,0)</f>
        <v>854.26321087369013</v>
      </c>
      <c r="Q17" s="76"/>
      <c r="R17" s="76"/>
      <c r="S17" s="76">
        <f ca="1">IF($J17&lt;&gt;0,VLOOKUP($L17,'Allocation Factors - C'!$B$13:$U$117,10,FALSE)*$J17,0)+IF($F17&lt;&gt;0,VLOOKUP($H17,'Allocation Factors - C'!$B$13:$U$117,10,FALSE)*$F17,0)</f>
        <v>0</v>
      </c>
      <c r="T17" s="76">
        <f ca="1">IF($J17&lt;&gt;0,VLOOKUP($L17,'Allocation Factors - C'!$B$13:$U$117,11,FALSE)*$J17,0)+IF($F17&lt;&gt;0,VLOOKUP($H17,'Allocation Factors - C'!$B$13:$U$117,11,FALSE)*$F17,0)</f>
        <v>0</v>
      </c>
      <c r="U17" s="76">
        <f ca="1">IF($J17&lt;&gt;0,VLOOKUP($L17,'Allocation Factors - C'!$B$13:$U$117,12,FALSE)*$J17,0)+IF($F17&lt;&gt;0,VLOOKUP($H17,'Allocation Factors - C'!$B$13:$U$117,12,FALSE)*$F17,0)</f>
        <v>0</v>
      </c>
      <c r="V17" s="76">
        <f ca="1">IF($J17&lt;&gt;0,VLOOKUP($L17,'Allocation Factors - C'!$B$13:$U$117,13,FALSE)*$J17,0)+IF($F17&lt;&gt;0,VLOOKUP($H17,'Allocation Factors - C'!$B$13:$U$117,13,FALSE)*$F17,0)</f>
        <v>0</v>
      </c>
      <c r="W17" s="76">
        <f ca="1">IF($J17&lt;&gt;0,VLOOKUP($L17,'Allocation Factors - C'!$B$13:$U$117,14,FALSE)*$J17,0)+IF($F17&lt;&gt;0,VLOOKUP($H17,'Allocation Factors - C'!$B$13:$U$117,14,FALSE)*$F17,0)</f>
        <v>0</v>
      </c>
      <c r="X17" s="76">
        <f ca="1">IF($J17&lt;&gt;0,VLOOKUP($L17,'Allocation Factors - C'!$B$13:$U$117,15,FALSE)*$J17,0)+IF($F17&lt;&gt;0,VLOOKUP($H17,'Allocation Factors - C'!$B$13:$U$117,15,FALSE)*$F17,0)</f>
        <v>0</v>
      </c>
      <c r="Y17" s="76">
        <f ca="1">IF($J17&lt;&gt;0,VLOOKUP($L17,'Allocation Factors - C'!$B$13:$U$117,16,FALSE)*$J17,0)+IF($F17&lt;&gt;0,VLOOKUP($H17,'Allocation Factors - C'!$B$13:$U$117,16,FALSE)*$F17,0)</f>
        <v>0.12326727426432635</v>
      </c>
      <c r="Z17" s="76">
        <f ca="1">IF($J17&lt;&gt;0,VLOOKUP($L17,'Allocation Factors - C'!$B$13:$U$117,17,FALSE)*$J17,0)+IF($F17&lt;&gt;0,VLOOKUP($H17,'Allocation Factors - C'!$B$13:$U$117,17,FALSE)*$F17,0)</f>
        <v>0</v>
      </c>
      <c r="AA17" s="76">
        <f ca="1">IF($J17&lt;&gt;0,VLOOKUP($L17,'Allocation Factors - C'!$B$13:$U$117,18,FALSE)*$J17,0)+IF($F17&lt;&gt;0,VLOOKUP($H17,'Allocation Factors - C'!$B$13:$U$117,18,FALSE)*$F17,0)</f>
        <v>0</v>
      </c>
      <c r="AB17" s="76">
        <f ca="1">IF($J17&lt;&gt;0,VLOOKUP($L17,'Allocation Factors - C'!$B$13:$U$117,19,FALSE)*$J17,0)+IF($F17&lt;&gt;0,VLOOKUP($H17,'Allocation Factors - C'!$B$13:$U$117,19,FALSE)*$F17,0)</f>
        <v>227.90642848570681</v>
      </c>
      <c r="AC17" s="76">
        <f ca="1">IF($J17&lt;&gt;0,VLOOKUP($L17,'Allocation Factors - C'!$B$13:$U$117,20,FALSE)*$J17,0)+IF($F17&lt;&gt;0,VLOOKUP($H17,'Allocation Factors - C'!$B$13:$U$117,20,FALSE)*$F17,0)</f>
        <v>0</v>
      </c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'Rate Zone Allocation - Gas Cost'!Q18</f>
        <v>134741.34843719404</v>
      </c>
      <c r="F18" s="76"/>
      <c r="H18" s="2" t="s">
        <v>448</v>
      </c>
      <c r="J18" s="76">
        <f t="shared" ca="1" si="1"/>
        <v>134741.34843719404</v>
      </c>
      <c r="L18" s="2" t="s">
        <v>449</v>
      </c>
      <c r="N18" s="76">
        <f ca="1">IF($J18&lt;&gt;0,VLOOKUP($L18,'Allocation Factors - C'!$B$13:$U$117,5,FALSE)*$J18,0)+IF($F18&lt;&gt;0,VLOOKUP($H18,'Allocation Factors - C'!$B$13:$U$117,5,FALSE)*$F18,0)</f>
        <v>68004.396580005181</v>
      </c>
      <c r="O18" s="76">
        <f ca="1">IF($J18&lt;&gt;0,VLOOKUP($L18,'Allocation Factors - C'!$B$13:$U$117,6,FALSE)*$J18,0)+IF($F18&lt;&gt;0,VLOOKUP($H18,'Allocation Factors - C'!$B$13:$U$117,6,FALSE)*$F18,0)</f>
        <v>39894.209148378955</v>
      </c>
      <c r="P18" s="76">
        <f ca="1">IF($J18&lt;&gt;0,VLOOKUP($L18,'Allocation Factors - C'!$B$13:$U$117,7,FALSE)*$J18,0)+IF($F18&lt;&gt;0,VLOOKUP($H18,'Allocation Factors - C'!$B$13:$U$117,7,FALSE)*$F18,0)</f>
        <v>15842.792583915487</v>
      </c>
      <c r="Q18" s="76"/>
      <c r="R18" s="76"/>
      <c r="S18" s="76">
        <f ca="1">IF($J18&lt;&gt;0,VLOOKUP($L18,'Allocation Factors - C'!$B$13:$U$117,10,FALSE)*$J18,0)+IF($F18&lt;&gt;0,VLOOKUP($H18,'Allocation Factors - C'!$B$13:$U$117,10,FALSE)*$F18,0)</f>
        <v>0</v>
      </c>
      <c r="T18" s="76">
        <f ca="1">IF($J18&lt;&gt;0,VLOOKUP($L18,'Allocation Factors - C'!$B$13:$U$117,11,FALSE)*$J18,0)+IF($F18&lt;&gt;0,VLOOKUP($H18,'Allocation Factors - C'!$B$13:$U$117,11,FALSE)*$F18,0)</f>
        <v>0</v>
      </c>
      <c r="U18" s="76">
        <f ca="1">IF($J18&lt;&gt;0,VLOOKUP($L18,'Allocation Factors - C'!$B$13:$U$117,12,FALSE)*$J18,0)+IF($F18&lt;&gt;0,VLOOKUP($H18,'Allocation Factors - C'!$B$13:$U$117,12,FALSE)*$F18,0)</f>
        <v>0</v>
      </c>
      <c r="V18" s="76">
        <f ca="1">IF($J18&lt;&gt;0,VLOOKUP($L18,'Allocation Factors - C'!$B$13:$U$117,13,FALSE)*$J18,0)+IF($F18&lt;&gt;0,VLOOKUP($H18,'Allocation Factors - C'!$B$13:$U$117,13,FALSE)*$F18,0)</f>
        <v>0</v>
      </c>
      <c r="W18" s="76">
        <f ca="1">IF($J18&lt;&gt;0,VLOOKUP($L18,'Allocation Factors - C'!$B$13:$U$117,14,FALSE)*$J18,0)+IF($F18&lt;&gt;0,VLOOKUP($H18,'Allocation Factors - C'!$B$13:$U$117,14,FALSE)*$F18,0)</f>
        <v>0</v>
      </c>
      <c r="X18" s="76">
        <f ca="1">IF($J18&lt;&gt;0,VLOOKUP($L18,'Allocation Factors - C'!$B$13:$U$117,15,FALSE)*$J18,0)+IF($F18&lt;&gt;0,VLOOKUP($H18,'Allocation Factors - C'!$B$13:$U$117,15,FALSE)*$F18,0)</f>
        <v>0</v>
      </c>
      <c r="Y18" s="76">
        <f ca="1">IF($J18&lt;&gt;0,VLOOKUP($L18,'Allocation Factors - C'!$B$13:$U$117,16,FALSE)*$J18,0)+IF($F18&lt;&gt;0,VLOOKUP($H18,'Allocation Factors - C'!$B$13:$U$117,16,FALSE)*$F18,0)</f>
        <v>2633.7422718710309</v>
      </c>
      <c r="Z18" s="76">
        <f ca="1">IF($J18&lt;&gt;0,VLOOKUP($L18,'Allocation Factors - C'!$B$13:$U$117,17,FALSE)*$J18,0)+IF($F18&lt;&gt;0,VLOOKUP($H18,'Allocation Factors - C'!$B$13:$U$117,17,FALSE)*$F18,0)</f>
        <v>505.91454897720951</v>
      </c>
      <c r="AA18" s="76">
        <f ca="1">IF($J18&lt;&gt;0,VLOOKUP($L18,'Allocation Factors - C'!$B$13:$U$117,18,FALSE)*$J18,0)+IF($F18&lt;&gt;0,VLOOKUP($H18,'Allocation Factors - C'!$B$13:$U$117,18,FALSE)*$F18,0)</f>
        <v>0</v>
      </c>
      <c r="AB18" s="76">
        <f ca="1">IF($J18&lt;&gt;0,VLOOKUP($L18,'Allocation Factors - C'!$B$13:$U$117,19,FALSE)*$J18,0)+IF($F18&lt;&gt;0,VLOOKUP($H18,'Allocation Factors - C'!$B$13:$U$117,19,FALSE)*$F18,0)</f>
        <v>7860.2933040461703</v>
      </c>
      <c r="AC18" s="76">
        <f ca="1">IF($J18&lt;&gt;0,VLOOKUP($L18,'Allocation Factors - C'!$B$13:$U$117,20,FALSE)*$J18,0)+IF($F18&lt;&gt;0,VLOOKUP($H18,'Allocation Factors - C'!$B$13:$U$117,20,FALSE)*$F18,0)</f>
        <v>0</v>
      </c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'Rate Zone Allocation - Gas Cost'!Q19</f>
        <v>12417.343062049933</v>
      </c>
      <c r="F19" s="76"/>
      <c r="J19" s="76">
        <f t="shared" ca="1" si="1"/>
        <v>12417.343062049933</v>
      </c>
      <c r="L19" s="2" t="s">
        <v>450</v>
      </c>
      <c r="N19" s="76">
        <f ca="1">IF($J19&lt;&gt;0,VLOOKUP($L19,'Allocation Factors - C'!$B$13:$U$117,5,FALSE)*$J19,0)+IF($F19&lt;&gt;0,VLOOKUP($H19,'Allocation Factors - C'!$B$13:$U$117,5,FALSE)*$F19,0)</f>
        <v>6471.3602949677052</v>
      </c>
      <c r="O19" s="76">
        <f ca="1">IF($J19&lt;&gt;0,VLOOKUP($L19,'Allocation Factors - C'!$B$13:$U$117,6,FALSE)*$J19,0)+IF($F19&lt;&gt;0,VLOOKUP($H19,'Allocation Factors - C'!$B$13:$U$117,6,FALSE)*$F19,0)</f>
        <v>3796.3692653051908</v>
      </c>
      <c r="P19" s="76">
        <f ca="1">IF($J19&lt;&gt;0,VLOOKUP($L19,'Allocation Factors - C'!$B$13:$U$117,7,FALSE)*$J19,0)+IF($F19&lt;&gt;0,VLOOKUP($H19,'Allocation Factors - C'!$B$13:$U$117,7,FALSE)*$F19,0)</f>
        <v>1566.5036924769636</v>
      </c>
      <c r="Q19" s="76"/>
      <c r="R19" s="76"/>
      <c r="S19" s="76">
        <f ca="1">IF($J19&lt;&gt;0,VLOOKUP($L19,'Allocation Factors - C'!$B$13:$U$117,10,FALSE)*$J19,0)+IF($F19&lt;&gt;0,VLOOKUP($H19,'Allocation Factors - C'!$B$13:$U$117,10,FALSE)*$F19,0)</f>
        <v>0</v>
      </c>
      <c r="T19" s="76">
        <f ca="1">IF($J19&lt;&gt;0,VLOOKUP($L19,'Allocation Factors - C'!$B$13:$U$117,11,FALSE)*$J19,0)+IF($F19&lt;&gt;0,VLOOKUP($H19,'Allocation Factors - C'!$B$13:$U$117,11,FALSE)*$F19,0)</f>
        <v>0</v>
      </c>
      <c r="U19" s="76">
        <f ca="1">IF($J19&lt;&gt;0,VLOOKUP($L19,'Allocation Factors - C'!$B$13:$U$117,12,FALSE)*$J19,0)+IF($F19&lt;&gt;0,VLOOKUP($H19,'Allocation Factors - C'!$B$13:$U$117,12,FALSE)*$F19,0)</f>
        <v>0</v>
      </c>
      <c r="V19" s="76">
        <f ca="1">IF($J19&lt;&gt;0,VLOOKUP($L19,'Allocation Factors - C'!$B$13:$U$117,13,FALSE)*$J19,0)+IF($F19&lt;&gt;0,VLOOKUP($H19,'Allocation Factors - C'!$B$13:$U$117,13,FALSE)*$F19,0)</f>
        <v>0</v>
      </c>
      <c r="W19" s="76">
        <f ca="1">IF($J19&lt;&gt;0,VLOOKUP($L19,'Allocation Factors - C'!$B$13:$U$117,14,FALSE)*$J19,0)+IF($F19&lt;&gt;0,VLOOKUP($H19,'Allocation Factors - C'!$B$13:$U$117,14,FALSE)*$F19,0)</f>
        <v>0</v>
      </c>
      <c r="X19" s="76">
        <f ca="1">IF($J19&lt;&gt;0,VLOOKUP($L19,'Allocation Factors - C'!$B$13:$U$117,15,FALSE)*$J19,0)+IF($F19&lt;&gt;0,VLOOKUP($H19,'Allocation Factors - C'!$B$13:$U$117,15,FALSE)*$F19,0)</f>
        <v>0</v>
      </c>
      <c r="Y19" s="76">
        <f ca="1">IF($J19&lt;&gt;0,VLOOKUP($L19,'Allocation Factors - C'!$B$13:$U$117,16,FALSE)*$J19,0)+IF($F19&lt;&gt;0,VLOOKUP($H19,'Allocation Factors - C'!$B$13:$U$117,16,FALSE)*$F19,0)</f>
        <v>340.60086437582117</v>
      </c>
      <c r="Z19" s="76">
        <f ca="1">IF($J19&lt;&gt;0,VLOOKUP($L19,'Allocation Factors - C'!$B$13:$U$117,17,FALSE)*$J19,0)+IF($F19&lt;&gt;0,VLOOKUP($H19,'Allocation Factors - C'!$B$13:$U$117,17,FALSE)*$F19,0)</f>
        <v>52.866752116928133</v>
      </c>
      <c r="AA19" s="76">
        <f ca="1">IF($J19&lt;&gt;0,VLOOKUP($L19,'Allocation Factors - C'!$B$13:$U$117,18,FALSE)*$J19,0)+IF($F19&lt;&gt;0,VLOOKUP($H19,'Allocation Factors - C'!$B$13:$U$117,18,FALSE)*$F19,0)</f>
        <v>0</v>
      </c>
      <c r="AB19" s="76">
        <f ca="1">IF($J19&lt;&gt;0,VLOOKUP($L19,'Allocation Factors - C'!$B$13:$U$117,19,FALSE)*$J19,0)+IF($F19&lt;&gt;0,VLOOKUP($H19,'Allocation Factors - C'!$B$13:$U$117,19,FALSE)*$F19,0)</f>
        <v>189.64219280732505</v>
      </c>
      <c r="AC19" s="76">
        <f ca="1">IF($J19&lt;&gt;0,VLOOKUP($L19,'Allocation Factors - C'!$B$13:$U$117,20,FALSE)*$J19,0)+IF($F19&lt;&gt;0,VLOOKUP($H19,'Allocation Factors - C'!$B$13:$U$117,20,FALSE)*$F19,0)</f>
        <v>0</v>
      </c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'Rate Zone Allocation - Gas Cost'!Q20</f>
        <v>0</v>
      </c>
      <c r="F20" s="76"/>
      <c r="J20" s="76">
        <f t="shared" ca="1" si="1"/>
        <v>0</v>
      </c>
      <c r="L20" s="2" t="s">
        <v>445</v>
      </c>
      <c r="N20" s="76">
        <f ca="1">IF($J20&lt;&gt;0,VLOOKUP($L20,'Allocation Factors - C'!$B$13:$U$117,5,FALSE)*$J20,0)+IF($F20&lt;&gt;0,VLOOKUP($H20,'Allocation Factors - C'!$B$13:$U$117,5,FALSE)*$F20,0)</f>
        <v>0</v>
      </c>
      <c r="O20" s="76">
        <f ca="1">IF($J20&lt;&gt;0,VLOOKUP($L20,'Allocation Factors - C'!$B$13:$U$117,6,FALSE)*$J20,0)+IF($F20&lt;&gt;0,VLOOKUP($H20,'Allocation Factors - C'!$B$13:$U$117,6,FALSE)*$F20,0)</f>
        <v>0</v>
      </c>
      <c r="P20" s="76">
        <f ca="1">IF($J20&lt;&gt;0,VLOOKUP($L20,'Allocation Factors - C'!$B$13:$U$117,7,FALSE)*$J20,0)+IF($F20&lt;&gt;0,VLOOKUP($H20,'Allocation Factors - C'!$B$13:$U$117,7,FALSE)*$F20,0)</f>
        <v>0</v>
      </c>
      <c r="Q20" s="76"/>
      <c r="R20" s="76"/>
      <c r="S20" s="76">
        <f ca="1">IF($J20&lt;&gt;0,VLOOKUP($L20,'Allocation Factors - C'!$B$13:$U$117,10,FALSE)*$J20,0)+IF($F20&lt;&gt;0,VLOOKUP($H20,'Allocation Factors - C'!$B$13:$U$117,10,FALSE)*$F20,0)</f>
        <v>0</v>
      </c>
      <c r="T20" s="76">
        <f ca="1">IF($J20&lt;&gt;0,VLOOKUP($L20,'Allocation Factors - C'!$B$13:$U$117,11,FALSE)*$J20,0)+IF($F20&lt;&gt;0,VLOOKUP($H20,'Allocation Factors - C'!$B$13:$U$117,11,FALSE)*$F20,0)</f>
        <v>0</v>
      </c>
      <c r="U20" s="76">
        <f ca="1">IF($J20&lt;&gt;0,VLOOKUP($L20,'Allocation Factors - C'!$B$13:$U$117,12,FALSE)*$J20,0)+IF($F20&lt;&gt;0,VLOOKUP($H20,'Allocation Factors - C'!$B$13:$U$117,12,FALSE)*$F20,0)</f>
        <v>0</v>
      </c>
      <c r="V20" s="76">
        <f ca="1">IF($J20&lt;&gt;0,VLOOKUP($L20,'Allocation Factors - C'!$B$13:$U$117,13,FALSE)*$J20,0)+IF($F20&lt;&gt;0,VLOOKUP($H20,'Allocation Factors - C'!$B$13:$U$117,13,FALSE)*$F20,0)</f>
        <v>0</v>
      </c>
      <c r="W20" s="76">
        <f ca="1">IF($J20&lt;&gt;0,VLOOKUP($L20,'Allocation Factors - C'!$B$13:$U$117,14,FALSE)*$J20,0)+IF($F20&lt;&gt;0,VLOOKUP($H20,'Allocation Factors - C'!$B$13:$U$117,14,FALSE)*$F20,0)</f>
        <v>0</v>
      </c>
      <c r="X20" s="76">
        <f ca="1">IF($J20&lt;&gt;0,VLOOKUP($L20,'Allocation Factors - C'!$B$13:$U$117,15,FALSE)*$J20,0)+IF($F20&lt;&gt;0,VLOOKUP($H20,'Allocation Factors - C'!$B$13:$U$117,15,FALSE)*$F20,0)</f>
        <v>0</v>
      </c>
      <c r="Y20" s="76">
        <f ca="1">IF($J20&lt;&gt;0,VLOOKUP($L20,'Allocation Factors - C'!$B$13:$U$117,16,FALSE)*$J20,0)+IF($F20&lt;&gt;0,VLOOKUP($H20,'Allocation Factors - C'!$B$13:$U$117,16,FALSE)*$F20,0)</f>
        <v>0</v>
      </c>
      <c r="Z20" s="76">
        <f ca="1">IF($J20&lt;&gt;0,VLOOKUP($L20,'Allocation Factors - C'!$B$13:$U$117,17,FALSE)*$J20,0)+IF($F20&lt;&gt;0,VLOOKUP($H20,'Allocation Factors - C'!$B$13:$U$117,17,FALSE)*$F20,0)</f>
        <v>0</v>
      </c>
      <c r="AA20" s="76">
        <f ca="1">IF($J20&lt;&gt;0,VLOOKUP($L20,'Allocation Factors - C'!$B$13:$U$117,18,FALSE)*$J20,0)+IF($F20&lt;&gt;0,VLOOKUP($H20,'Allocation Factors - C'!$B$13:$U$117,18,FALSE)*$F20,0)</f>
        <v>0</v>
      </c>
      <c r="AB20" s="76">
        <f ca="1">IF($J20&lt;&gt;0,VLOOKUP($L20,'Allocation Factors - C'!$B$13:$U$117,19,FALSE)*$J20,0)+IF($F20&lt;&gt;0,VLOOKUP($H20,'Allocation Factors - C'!$B$13:$U$117,19,FALSE)*$F20,0)</f>
        <v>0</v>
      </c>
      <c r="AC20" s="76">
        <f ca="1">IF($J20&lt;&gt;0,VLOOKUP($L20,'Allocation Factors - C'!$B$13:$U$117,20,FALSE)*$J20,0)+IF($F20&lt;&gt;0,VLOOKUP($H20,'Allocation Factors - C'!$B$13:$U$117,20,FALSE)*$F20,0)</f>
        <v>0</v>
      </c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1476759.7909681506</v>
      </c>
      <c r="F21" s="78">
        <f>SUM(F15:F20)</f>
        <v>0</v>
      </c>
      <c r="J21" s="40">
        <f ca="1">SUM(J15:J20)</f>
        <v>1476759.7909681506</v>
      </c>
      <c r="N21" s="40">
        <f t="shared" ref="N21:AA21" ca="1" si="2">SUM(N15:N20)</f>
        <v>988054.7989582736</v>
      </c>
      <c r="O21" s="40">
        <f t="shared" ca="1" si="2"/>
        <v>415012.51387843845</v>
      </c>
      <c r="P21" s="40">
        <f t="shared" ca="1" si="2"/>
        <v>39872.885986573128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3821.6211812442371</v>
      </c>
      <c r="Z21" s="40">
        <f t="shared" ca="1" si="2"/>
        <v>1163.3970817056088</v>
      </c>
      <c r="AA21" s="40">
        <f t="shared" ca="1" si="2"/>
        <v>0</v>
      </c>
      <c r="AB21" s="40">
        <f ca="1">SUM(AB15:AB20)</f>
        <v>28834.573881915465</v>
      </c>
      <c r="AC21" s="40">
        <f ca="1">SUM(AC15:AC20)</f>
        <v>0</v>
      </c>
      <c r="AD21" s="48"/>
    </row>
    <row r="22" spans="1:30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48"/>
    </row>
    <row r="24" spans="1:30" x14ac:dyDescent="0.25">
      <c r="A24" s="2">
        <f>A21+1</f>
        <v>8</v>
      </c>
      <c r="B24" s="31" t="s">
        <v>363</v>
      </c>
      <c r="D24" s="76">
        <f ca="1">'Rate Zone Allocation - Gas Cost'!Q24</f>
        <v>6265.3910319536253</v>
      </c>
      <c r="F24" s="76"/>
      <c r="J24" s="76">
        <f ca="1">D24-F24</f>
        <v>6265.3910319536253</v>
      </c>
      <c r="L24" s="2" t="s">
        <v>447</v>
      </c>
      <c r="N24" s="76">
        <f ca="1">IF($J24&lt;&gt;0,VLOOKUP($L24,'Allocation Factors - C'!$B$13:$U$117,5,FALSE)*$J24,0)+IF($F24&lt;&gt;0,VLOOKUP($H24,'Allocation Factors - C'!$B$13:$U$117,5,FALSE)*$F24,0)</f>
        <v>3993.0480270546827</v>
      </c>
      <c r="O24" s="76">
        <f ca="1">IF($J24&lt;&gt;0,VLOOKUP($L24,'Allocation Factors - C'!$B$13:$U$117,6,FALSE)*$J24,0)+IF($F24&lt;&gt;0,VLOOKUP($H24,'Allocation Factors - C'!$B$13:$U$117,6,FALSE)*$F24,0)</f>
        <v>1996.9617745064299</v>
      </c>
      <c r="P24" s="76">
        <f ca="1">IF($J24&lt;&gt;0,VLOOKUP($L24,'Allocation Factors - C'!$B$13:$U$117,7,FALSE)*$J24,0)+IF($F24&lt;&gt;0,VLOOKUP($H24,'Allocation Factors - C'!$B$13:$U$117,7,FALSE)*$F24,0)</f>
        <v>217.36080191190098</v>
      </c>
      <c r="Q24" s="76"/>
      <c r="R24" s="76"/>
      <c r="S24" s="76">
        <f ca="1">IF($J24&lt;&gt;0,VLOOKUP($L24,'Allocation Factors - C'!$B$13:$U$117,10,FALSE)*$J24,0)+IF($F24&lt;&gt;0,VLOOKUP($H24,'Allocation Factors - C'!$B$13:$U$117,10,FALSE)*$F24,0)</f>
        <v>0</v>
      </c>
      <c r="T24" s="76">
        <f ca="1">IF($J24&lt;&gt;0,VLOOKUP($L24,'Allocation Factors - C'!$B$13:$U$117,11,FALSE)*$J24,0)+IF($F24&lt;&gt;0,VLOOKUP($H24,'Allocation Factors - C'!$B$13:$U$117,11,FALSE)*$F24,0)</f>
        <v>0</v>
      </c>
      <c r="U24" s="76">
        <f ca="1">IF($J24&lt;&gt;0,VLOOKUP($L24,'Allocation Factors - C'!$B$13:$U$117,12,FALSE)*$J24,0)+IF($F24&lt;&gt;0,VLOOKUP($H24,'Allocation Factors - C'!$B$13:$U$117,12,FALSE)*$F24,0)</f>
        <v>0</v>
      </c>
      <c r="V24" s="76">
        <f ca="1">IF($J24&lt;&gt;0,VLOOKUP($L24,'Allocation Factors - C'!$B$13:$U$117,13,FALSE)*$J24,0)+IF($F24&lt;&gt;0,VLOOKUP($H24,'Allocation Factors - C'!$B$13:$U$117,13,FALSE)*$F24,0)</f>
        <v>0</v>
      </c>
      <c r="W24" s="76">
        <f ca="1">IF($J24&lt;&gt;0,VLOOKUP($L24,'Allocation Factors - C'!$B$13:$U$117,14,FALSE)*$J24,0)+IF($F24&lt;&gt;0,VLOOKUP($H24,'Allocation Factors - C'!$B$13:$U$117,14,FALSE)*$F24,0)</f>
        <v>0</v>
      </c>
      <c r="X24" s="76">
        <f ca="1">IF($J24&lt;&gt;0,VLOOKUP($L24,'Allocation Factors - C'!$B$13:$U$117,15,FALSE)*$J24,0)+IF($F24&lt;&gt;0,VLOOKUP($H24,'Allocation Factors - C'!$B$13:$U$117,15,FALSE)*$F24,0)</f>
        <v>0</v>
      </c>
      <c r="Y24" s="76">
        <f ca="1">IF($J24&lt;&gt;0,VLOOKUP($L24,'Allocation Factors - C'!$B$13:$U$117,16,FALSE)*$J24,0)+IF($F24&lt;&gt;0,VLOOKUP($H24,'Allocation Factors - C'!$B$13:$U$117,16,FALSE)*$F24,0)</f>
        <v>3.136442403528699E-2</v>
      </c>
      <c r="Z24" s="76">
        <f ca="1">IF($J24&lt;&gt;0,VLOOKUP($L24,'Allocation Factors - C'!$B$13:$U$117,17,FALSE)*$J24,0)+IF($F24&lt;&gt;0,VLOOKUP($H24,'Allocation Factors - C'!$B$13:$U$117,17,FALSE)*$F24,0)</f>
        <v>0</v>
      </c>
      <c r="AA24" s="76">
        <f ca="1">IF($J24&lt;&gt;0,VLOOKUP($L24,'Allocation Factors - C'!$B$13:$U$117,18,FALSE)*$J24,0)+IF($F24&lt;&gt;0,VLOOKUP($H24,'Allocation Factors - C'!$B$13:$U$117,18,FALSE)*$F24,0)</f>
        <v>0</v>
      </c>
      <c r="AB24" s="76">
        <f ca="1">IF($J24&lt;&gt;0,VLOOKUP($L24,'Allocation Factors - C'!$B$13:$U$117,19,FALSE)*$J24,0)+IF($F24&lt;&gt;0,VLOOKUP($H24,'Allocation Factors - C'!$B$13:$U$117,19,FALSE)*$F24,0)</f>
        <v>57.989064056575806</v>
      </c>
      <c r="AC24" s="76">
        <f ca="1">IF($J24&lt;&gt;0,VLOOKUP($L24,'Allocation Factors - C'!$B$13:$U$117,20,FALSE)*$J24,0)+IF($F24&lt;&gt;0,VLOOKUP($H24,'Allocation Factors - C'!$B$13:$U$117,20,FALSE)*$F24,0)</f>
        <v>0</v>
      </c>
      <c r="AD24" s="48"/>
    </row>
    <row r="25" spans="1:30" x14ac:dyDescent="0.25">
      <c r="A25" s="2">
        <f>A24+1</f>
        <v>9</v>
      </c>
      <c r="B25" s="31" t="s">
        <v>364</v>
      </c>
      <c r="D25" s="76">
        <f ca="1">'Rate Zone Allocation - Gas Cost'!Q25</f>
        <v>1794.1448025215277</v>
      </c>
      <c r="F25" s="76"/>
      <c r="H25" s="2" t="s">
        <v>451</v>
      </c>
      <c r="J25" s="76">
        <f t="shared" ref="J25:J27" ca="1" si="3">D25-F25</f>
        <v>1794.1448025215277</v>
      </c>
      <c r="L25" s="2" t="s">
        <v>452</v>
      </c>
      <c r="N25" s="76">
        <f ca="1">IF($J25&lt;&gt;0,VLOOKUP($L25,'Allocation Factors - C'!$B$13:$U$117,5,FALSE)*$J25,0)+IF($F25&lt;&gt;0,VLOOKUP($H25,'Allocation Factors - C'!$B$13:$U$117,5,FALSE)*$F25,0)</f>
        <v>1119.7900390063228</v>
      </c>
      <c r="O25" s="76">
        <f ca="1">IF($J25&lt;&gt;0,VLOOKUP($L25,'Allocation Factors - C'!$B$13:$U$117,6,FALSE)*$J25,0)+IF($F25&lt;&gt;0,VLOOKUP($H25,'Allocation Factors - C'!$B$13:$U$117,6,FALSE)*$F25,0)</f>
        <v>565.95601316779664</v>
      </c>
      <c r="P25" s="76">
        <f ca="1">IF($J25&lt;&gt;0,VLOOKUP($L25,'Allocation Factors - C'!$B$13:$U$117,7,FALSE)*$J25,0)+IF($F25&lt;&gt;0,VLOOKUP($H25,'Allocation Factors - C'!$B$13:$U$117,7,FALSE)*$F25,0)</f>
        <v>74.214349822879669</v>
      </c>
      <c r="Q25" s="76"/>
      <c r="R25" s="76"/>
      <c r="S25" s="76">
        <f ca="1">IF($J25&lt;&gt;0,VLOOKUP($L25,'Allocation Factors - C'!$B$13:$U$117,10,FALSE)*$J25,0)+IF($F25&lt;&gt;0,VLOOKUP($H25,'Allocation Factors - C'!$B$13:$U$117,10,FALSE)*$F25,0)</f>
        <v>0</v>
      </c>
      <c r="T25" s="76">
        <f ca="1">IF($J25&lt;&gt;0,VLOOKUP($L25,'Allocation Factors - C'!$B$13:$U$117,11,FALSE)*$J25,0)+IF($F25&lt;&gt;0,VLOOKUP($H25,'Allocation Factors - C'!$B$13:$U$117,11,FALSE)*$F25,0)</f>
        <v>0</v>
      </c>
      <c r="U25" s="76">
        <f ca="1">IF($J25&lt;&gt;0,VLOOKUP($L25,'Allocation Factors - C'!$B$13:$U$117,12,FALSE)*$J25,0)+IF($F25&lt;&gt;0,VLOOKUP($H25,'Allocation Factors - C'!$B$13:$U$117,12,FALSE)*$F25,0)</f>
        <v>0</v>
      </c>
      <c r="V25" s="76">
        <f ca="1">IF($J25&lt;&gt;0,VLOOKUP($L25,'Allocation Factors - C'!$B$13:$U$117,13,FALSE)*$J25,0)+IF($F25&lt;&gt;0,VLOOKUP($H25,'Allocation Factors - C'!$B$13:$U$117,13,FALSE)*$F25,0)</f>
        <v>0</v>
      </c>
      <c r="W25" s="76">
        <f ca="1">IF($J25&lt;&gt;0,VLOOKUP($L25,'Allocation Factors - C'!$B$13:$U$117,14,FALSE)*$J25,0)+IF($F25&lt;&gt;0,VLOOKUP($H25,'Allocation Factors - C'!$B$13:$U$117,14,FALSE)*$F25,0)</f>
        <v>0</v>
      </c>
      <c r="X25" s="76">
        <f ca="1">IF($J25&lt;&gt;0,VLOOKUP($L25,'Allocation Factors - C'!$B$13:$U$117,15,FALSE)*$J25,0)+IF($F25&lt;&gt;0,VLOOKUP($H25,'Allocation Factors - C'!$B$13:$U$117,15,FALSE)*$F25,0)</f>
        <v>0</v>
      </c>
      <c r="Y25" s="76">
        <f ca="1">IF($J25&lt;&gt;0,VLOOKUP($L25,'Allocation Factors - C'!$B$13:$U$117,16,FALSE)*$J25,0)+IF($F25&lt;&gt;0,VLOOKUP($H25,'Allocation Factors - C'!$B$13:$U$117,16,FALSE)*$F25,0)</f>
        <v>8.28946587704732</v>
      </c>
      <c r="Z25" s="76">
        <f ca="1">IF($J25&lt;&gt;0,VLOOKUP($L25,'Allocation Factors - C'!$B$13:$U$117,17,FALSE)*$J25,0)+IF($F25&lt;&gt;0,VLOOKUP($H25,'Allocation Factors - C'!$B$13:$U$117,17,FALSE)*$F25,0)</f>
        <v>0</v>
      </c>
      <c r="AA25" s="76">
        <f ca="1">IF($J25&lt;&gt;0,VLOOKUP($L25,'Allocation Factors - C'!$B$13:$U$117,18,FALSE)*$J25,0)+IF($F25&lt;&gt;0,VLOOKUP($H25,'Allocation Factors - C'!$B$13:$U$117,18,FALSE)*$F25,0)</f>
        <v>0</v>
      </c>
      <c r="AB25" s="76">
        <f ca="1">IF($J25&lt;&gt;0,VLOOKUP($L25,'Allocation Factors - C'!$B$13:$U$117,19,FALSE)*$J25,0)+IF($F25&lt;&gt;0,VLOOKUP($H25,'Allocation Factors - C'!$B$13:$U$117,19,FALSE)*$F25,0)</f>
        <v>25.894934647481016</v>
      </c>
      <c r="AC25" s="76">
        <f ca="1">IF($J25&lt;&gt;0,VLOOKUP($L25,'Allocation Factors - C'!$B$13:$U$117,20,FALSE)*$J25,0)+IF($F25&lt;&gt;0,VLOOKUP($H25,'Allocation Factors - C'!$B$13:$U$117,20,FALSE)*$F25,0)</f>
        <v>0</v>
      </c>
      <c r="AD25" s="48"/>
    </row>
    <row r="26" spans="1:30" x14ac:dyDescent="0.25">
      <c r="A26" s="2">
        <f t="shared" ref="A26:A28" si="4">A25+1</f>
        <v>10</v>
      </c>
      <c r="B26" s="31" t="s">
        <v>367</v>
      </c>
      <c r="D26" s="76">
        <f ca="1">'Rate Zone Allocation - Gas Cost'!Q26</f>
        <v>0</v>
      </c>
      <c r="F26" s="76"/>
      <c r="J26" s="76">
        <f t="shared" ca="1" si="3"/>
        <v>0</v>
      </c>
      <c r="L26" s="2" t="s">
        <v>453</v>
      </c>
      <c r="N26" s="76">
        <f ca="1">IF($J26&lt;&gt;0,VLOOKUP($L26,'Allocation Factors - C'!$B$13:$U$117,5,FALSE)*$J26,0)+IF($F26&lt;&gt;0,VLOOKUP($H26,'Allocation Factors - C'!$B$13:$U$117,5,FALSE)*$F26,0)</f>
        <v>0</v>
      </c>
      <c r="O26" s="76">
        <f ca="1">IF($J26&lt;&gt;0,VLOOKUP($L26,'Allocation Factors - C'!$B$13:$U$117,6,FALSE)*$J26,0)+IF($F26&lt;&gt;0,VLOOKUP($H26,'Allocation Factors - C'!$B$13:$U$117,6,FALSE)*$F26,0)</f>
        <v>0</v>
      </c>
      <c r="P26" s="76">
        <f ca="1">IF($J26&lt;&gt;0,VLOOKUP($L26,'Allocation Factors - C'!$B$13:$U$117,7,FALSE)*$J26,0)+IF($F26&lt;&gt;0,VLOOKUP($H26,'Allocation Factors - C'!$B$13:$U$117,7,FALSE)*$F26,0)</f>
        <v>0</v>
      </c>
      <c r="Q26" s="76"/>
      <c r="R26" s="76"/>
      <c r="S26" s="76">
        <f ca="1">IF($J26&lt;&gt;0,VLOOKUP($L26,'Allocation Factors - C'!$B$13:$U$117,10,FALSE)*$J26,0)+IF($F26&lt;&gt;0,VLOOKUP($H26,'Allocation Factors - C'!$B$13:$U$117,10,FALSE)*$F26,0)</f>
        <v>0</v>
      </c>
      <c r="T26" s="76">
        <f ca="1">IF($J26&lt;&gt;0,VLOOKUP($L26,'Allocation Factors - C'!$B$13:$U$117,11,FALSE)*$J26,0)+IF($F26&lt;&gt;0,VLOOKUP($H26,'Allocation Factors - C'!$B$13:$U$117,11,FALSE)*$F26,0)</f>
        <v>0</v>
      </c>
      <c r="U26" s="76">
        <f ca="1">IF($J26&lt;&gt;0,VLOOKUP($L26,'Allocation Factors - C'!$B$13:$U$117,12,FALSE)*$J26,0)+IF($F26&lt;&gt;0,VLOOKUP($H26,'Allocation Factors - C'!$B$13:$U$117,12,FALSE)*$F26,0)</f>
        <v>0</v>
      </c>
      <c r="V26" s="76">
        <f ca="1">IF($J26&lt;&gt;0,VLOOKUP($L26,'Allocation Factors - C'!$B$13:$U$117,13,FALSE)*$J26,0)+IF($F26&lt;&gt;0,VLOOKUP($H26,'Allocation Factors - C'!$B$13:$U$117,13,FALSE)*$F26,0)</f>
        <v>0</v>
      </c>
      <c r="W26" s="76">
        <f ca="1">IF($J26&lt;&gt;0,VLOOKUP($L26,'Allocation Factors - C'!$B$13:$U$117,14,FALSE)*$J26,0)+IF($F26&lt;&gt;0,VLOOKUP($H26,'Allocation Factors - C'!$B$13:$U$117,14,FALSE)*$F26,0)</f>
        <v>0</v>
      </c>
      <c r="X26" s="76">
        <f ca="1">IF($J26&lt;&gt;0,VLOOKUP($L26,'Allocation Factors - C'!$B$13:$U$117,15,FALSE)*$J26,0)+IF($F26&lt;&gt;0,VLOOKUP($H26,'Allocation Factors - C'!$B$13:$U$117,15,FALSE)*$F26,0)</f>
        <v>0</v>
      </c>
      <c r="Y26" s="76">
        <f ca="1">IF($J26&lt;&gt;0,VLOOKUP($L26,'Allocation Factors - C'!$B$13:$U$117,16,FALSE)*$J26,0)+IF($F26&lt;&gt;0,VLOOKUP($H26,'Allocation Factors - C'!$B$13:$U$117,16,FALSE)*$F26,0)</f>
        <v>0</v>
      </c>
      <c r="Z26" s="76">
        <f ca="1">IF($J26&lt;&gt;0,VLOOKUP($L26,'Allocation Factors - C'!$B$13:$U$117,17,FALSE)*$J26,0)+IF($F26&lt;&gt;0,VLOOKUP($H26,'Allocation Factors - C'!$B$13:$U$117,17,FALSE)*$F26,0)</f>
        <v>0</v>
      </c>
      <c r="AA26" s="76">
        <f ca="1">IF($J26&lt;&gt;0,VLOOKUP($L26,'Allocation Factors - C'!$B$13:$U$117,18,FALSE)*$J26,0)+IF($F26&lt;&gt;0,VLOOKUP($H26,'Allocation Factors - C'!$B$13:$U$117,18,FALSE)*$F26,0)</f>
        <v>0</v>
      </c>
      <c r="AB26" s="76">
        <f ca="1">IF($J26&lt;&gt;0,VLOOKUP($L26,'Allocation Factors - C'!$B$13:$U$117,19,FALSE)*$J26,0)+IF($F26&lt;&gt;0,VLOOKUP($H26,'Allocation Factors - C'!$B$13:$U$117,19,FALSE)*$F26,0)</f>
        <v>0</v>
      </c>
      <c r="AC26" s="76">
        <f ca="1">IF($J26&lt;&gt;0,VLOOKUP($L26,'Allocation Factors - C'!$B$13:$U$117,20,FALSE)*$J26,0)+IF($F26&lt;&gt;0,VLOOKUP($H26,'Allocation Factors - C'!$B$13:$U$117,20,FALSE)*$F26,0)</f>
        <v>0</v>
      </c>
      <c r="AD26" s="48"/>
    </row>
    <row r="27" spans="1:30" x14ac:dyDescent="0.25">
      <c r="A27" s="2">
        <f t="shared" si="4"/>
        <v>11</v>
      </c>
      <c r="B27" s="31" t="s">
        <v>369</v>
      </c>
      <c r="D27" s="76">
        <f ca="1">'Rate Zone Allocation - Gas Cost'!Q27</f>
        <v>8224.957206916366</v>
      </c>
      <c r="F27" s="76"/>
      <c r="J27" s="76">
        <f t="shared" ca="1" si="3"/>
        <v>8224.957206916366</v>
      </c>
      <c r="L27" s="2" t="s">
        <v>454</v>
      </c>
      <c r="N27" s="76">
        <f ca="1">IF($J27&lt;&gt;0,VLOOKUP($L27,'Allocation Factors - C'!$B$13:$U$117,5,FALSE)*$J27,0)+IF($F27&lt;&gt;0,VLOOKUP($H27,'Allocation Factors - C'!$B$13:$U$117,5,FALSE)*$F27,0)</f>
        <v>4286.0500096714086</v>
      </c>
      <c r="O27" s="76">
        <f ca="1">IF($J27&lt;&gt;0,VLOOKUP($L27,'Allocation Factors - C'!$B$13:$U$117,6,FALSE)*$J27,0)+IF($F27&lt;&gt;0,VLOOKUP($H27,'Allocation Factors - C'!$B$13:$U$117,6,FALSE)*$F27,0)</f>
        <v>2514.3753066771178</v>
      </c>
      <c r="P27" s="76">
        <f ca="1">IF($J27&lt;&gt;0,VLOOKUP($L27,'Allocation Factors - C'!$B$13:$U$117,7,FALSE)*$J27,0)+IF($F27&lt;&gt;0,VLOOKUP($H27,'Allocation Factors - C'!$B$13:$U$117,7,FALSE)*$F27,0)</f>
        <v>1038.2026437782743</v>
      </c>
      <c r="Q27" s="76"/>
      <c r="R27" s="76"/>
      <c r="S27" s="76">
        <f ca="1">IF($J27&lt;&gt;0,VLOOKUP($L27,'Allocation Factors - C'!$B$13:$U$117,10,FALSE)*$J27,0)+IF($F27&lt;&gt;0,VLOOKUP($H27,'Allocation Factors - C'!$B$13:$U$117,10,FALSE)*$F27,0)</f>
        <v>0</v>
      </c>
      <c r="T27" s="76">
        <f ca="1">IF($J27&lt;&gt;0,VLOOKUP($L27,'Allocation Factors - C'!$B$13:$U$117,11,FALSE)*$J27,0)+IF($F27&lt;&gt;0,VLOOKUP($H27,'Allocation Factors - C'!$B$13:$U$117,11,FALSE)*$F27,0)</f>
        <v>0</v>
      </c>
      <c r="U27" s="76">
        <f ca="1">IF($J27&lt;&gt;0,VLOOKUP($L27,'Allocation Factors - C'!$B$13:$U$117,12,FALSE)*$J27,0)+IF($F27&lt;&gt;0,VLOOKUP($H27,'Allocation Factors - C'!$B$13:$U$117,12,FALSE)*$F27,0)</f>
        <v>0</v>
      </c>
      <c r="V27" s="76">
        <f ca="1">IF($J27&lt;&gt;0,VLOOKUP($L27,'Allocation Factors - C'!$B$13:$U$117,13,FALSE)*$J27,0)+IF($F27&lt;&gt;0,VLOOKUP($H27,'Allocation Factors - C'!$B$13:$U$117,13,FALSE)*$F27,0)</f>
        <v>0</v>
      </c>
      <c r="W27" s="76">
        <f ca="1">IF($J27&lt;&gt;0,VLOOKUP($L27,'Allocation Factors - C'!$B$13:$U$117,14,FALSE)*$J27,0)+IF($F27&lt;&gt;0,VLOOKUP($H27,'Allocation Factors - C'!$B$13:$U$117,14,FALSE)*$F27,0)</f>
        <v>0</v>
      </c>
      <c r="X27" s="76">
        <f ca="1">IF($J27&lt;&gt;0,VLOOKUP($L27,'Allocation Factors - C'!$B$13:$U$117,15,FALSE)*$J27,0)+IF($F27&lt;&gt;0,VLOOKUP($H27,'Allocation Factors - C'!$B$13:$U$117,15,FALSE)*$F27,0)</f>
        <v>0</v>
      </c>
      <c r="Y27" s="76">
        <f ca="1">IF($J27&lt;&gt;0,VLOOKUP($L27,'Allocation Factors - C'!$B$13:$U$117,16,FALSE)*$J27,0)+IF($F27&lt;&gt;0,VLOOKUP($H27,'Allocation Factors - C'!$B$13:$U$117,16,FALSE)*$F27,0)</f>
        <v>225.61761534014317</v>
      </c>
      <c r="Z27" s="76">
        <f ca="1">IF($J27&lt;&gt;0,VLOOKUP($L27,'Allocation Factors - C'!$B$13:$U$117,17,FALSE)*$J27,0)+IF($F27&lt;&gt;0,VLOOKUP($H27,'Allocation Factors - C'!$B$13:$U$117,17,FALSE)*$F27,0)</f>
        <v>35.035004522400662</v>
      </c>
      <c r="AA27" s="76">
        <f ca="1">IF($J27&lt;&gt;0,VLOOKUP($L27,'Allocation Factors - C'!$B$13:$U$117,18,FALSE)*$J27,0)+IF($F27&lt;&gt;0,VLOOKUP($H27,'Allocation Factors - C'!$B$13:$U$117,18,FALSE)*$F27,0)</f>
        <v>0</v>
      </c>
      <c r="AB27" s="76">
        <f ca="1">IF($J27&lt;&gt;0,VLOOKUP($L27,'Allocation Factors - C'!$B$13:$U$117,19,FALSE)*$J27,0)+IF($F27&lt;&gt;0,VLOOKUP($H27,'Allocation Factors - C'!$B$13:$U$117,19,FALSE)*$F27,0)</f>
        <v>125.67662692702356</v>
      </c>
      <c r="AC27" s="76">
        <f ca="1">IF($J27&lt;&gt;0,VLOOKUP($L27,'Allocation Factors - C'!$B$13:$U$117,20,FALSE)*$J27,0)+IF($F27&lt;&gt;0,VLOOKUP($H27,'Allocation Factors - C'!$B$13:$U$117,20,FALSE)*$F27,0)</f>
        <v>0</v>
      </c>
      <c r="AD27" s="48"/>
    </row>
    <row r="28" spans="1:30" x14ac:dyDescent="0.25">
      <c r="A28" s="2">
        <f t="shared" si="4"/>
        <v>12</v>
      </c>
      <c r="B28" s="31" t="s">
        <v>371</v>
      </c>
      <c r="D28" s="40">
        <f ca="1">SUM(D24:D27)</f>
        <v>16284.493041391519</v>
      </c>
      <c r="F28" s="40">
        <f>SUM(F24:F27)</f>
        <v>0</v>
      </c>
      <c r="H28" s="115"/>
      <c r="J28" s="40">
        <f ca="1">SUM(J24:J27)</f>
        <v>16284.493041391519</v>
      </c>
      <c r="N28" s="40">
        <f t="shared" ref="N28:AA28" ca="1" si="5">SUM(N24:N27)</f>
        <v>9398.888075732415</v>
      </c>
      <c r="O28" s="40">
        <f t="shared" ca="1" si="5"/>
        <v>5077.2930943513438</v>
      </c>
      <c r="P28" s="40">
        <f t="shared" ca="1" si="5"/>
        <v>1329.777795513055</v>
      </c>
      <c r="Q28" s="40"/>
      <c r="R28" s="40"/>
      <c r="S28" s="40">
        <f t="shared" ca="1" si="5"/>
        <v>0</v>
      </c>
      <c r="T28" s="40">
        <f t="shared" ca="1" si="5"/>
        <v>0</v>
      </c>
      <c r="U28" s="40">
        <f t="shared" ca="1" si="5"/>
        <v>0</v>
      </c>
      <c r="V28" s="40">
        <f t="shared" ca="1" si="5"/>
        <v>0</v>
      </c>
      <c r="W28" s="40">
        <f t="shared" ca="1" si="5"/>
        <v>0</v>
      </c>
      <c r="X28" s="40">
        <f t="shared" ca="1" si="5"/>
        <v>0</v>
      </c>
      <c r="Y28" s="40">
        <f t="shared" ca="1" si="5"/>
        <v>233.93844564122577</v>
      </c>
      <c r="Z28" s="40">
        <f t="shared" ca="1" si="5"/>
        <v>35.035004522400662</v>
      </c>
      <c r="AA28" s="40">
        <f t="shared" ca="1" si="5"/>
        <v>0</v>
      </c>
      <c r="AB28" s="40">
        <f ca="1">SUM(AB24:AB27)</f>
        <v>209.56062563108037</v>
      </c>
      <c r="AC28" s="40">
        <f ca="1">SUM(AC24:AC27)</f>
        <v>0</v>
      </c>
      <c r="AD28" s="48"/>
    </row>
    <row r="29" spans="1:30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48"/>
    </row>
    <row r="31" spans="1:30" x14ac:dyDescent="0.25">
      <c r="A31" s="2">
        <f>A28+1</f>
        <v>13</v>
      </c>
      <c r="B31" s="31" t="s">
        <v>373</v>
      </c>
      <c r="D31" s="76">
        <f ca="1">'Rate Zone Allocation - Gas Cost'!Q31</f>
        <v>0</v>
      </c>
      <c r="F31" s="76"/>
      <c r="J31" s="76">
        <f ca="1">D31-F31</f>
        <v>0</v>
      </c>
      <c r="L31" s="2" t="s">
        <v>455</v>
      </c>
      <c r="N31" s="76">
        <f ca="1">IF($J31&lt;&gt;0,VLOOKUP($L31,'Allocation Factors - C'!$B$13:$U$117,5,FALSE)*$J31,0)+IF($F31&lt;&gt;0,VLOOKUP($H31,'Allocation Factors - C'!$B$13:$U$117,5,FALSE)*$F31,0)</f>
        <v>0</v>
      </c>
      <c r="O31" s="76">
        <f ca="1">IF($J31&lt;&gt;0,VLOOKUP($L31,'Allocation Factors - C'!$B$13:$U$117,6,FALSE)*$J31,0)+IF($F31&lt;&gt;0,VLOOKUP($H31,'Allocation Factors - C'!$B$13:$U$117,6,FALSE)*$F31,0)</f>
        <v>0</v>
      </c>
      <c r="P31" s="76">
        <f ca="1">IF($J31&lt;&gt;0,VLOOKUP($L31,'Allocation Factors - C'!$B$13:$U$117,7,FALSE)*$J31,0)+IF($F31&lt;&gt;0,VLOOKUP($H31,'Allocation Factors - C'!$B$13:$U$117,7,FALSE)*$F31,0)</f>
        <v>0</v>
      </c>
      <c r="Q31" s="76"/>
      <c r="R31" s="76"/>
      <c r="S31" s="76">
        <f ca="1">IF($J31&lt;&gt;0,VLOOKUP($L31,'Allocation Factors - C'!$B$13:$U$117,10,FALSE)*$J31,0)+IF($F31&lt;&gt;0,VLOOKUP($H31,'Allocation Factors - C'!$B$13:$U$117,10,FALSE)*$F31,0)</f>
        <v>0</v>
      </c>
      <c r="T31" s="76">
        <f ca="1">IF($J31&lt;&gt;0,VLOOKUP($L31,'Allocation Factors - C'!$B$13:$U$117,11,FALSE)*$J31,0)+IF($F31&lt;&gt;0,VLOOKUP($H31,'Allocation Factors - C'!$B$13:$U$117,11,FALSE)*$F31,0)</f>
        <v>0</v>
      </c>
      <c r="U31" s="76">
        <f ca="1">IF($J31&lt;&gt;0,VLOOKUP($L31,'Allocation Factors - C'!$B$13:$U$117,12,FALSE)*$J31,0)+IF($F31&lt;&gt;0,VLOOKUP($H31,'Allocation Factors - C'!$B$13:$U$117,12,FALSE)*$F31,0)</f>
        <v>0</v>
      </c>
      <c r="V31" s="76">
        <f ca="1">IF($J31&lt;&gt;0,VLOOKUP($L31,'Allocation Factors - C'!$B$13:$U$117,13,FALSE)*$J31,0)+IF($F31&lt;&gt;0,VLOOKUP($H31,'Allocation Factors - C'!$B$13:$U$117,13,FALSE)*$F31,0)</f>
        <v>0</v>
      </c>
      <c r="W31" s="76">
        <f ca="1">IF($J31&lt;&gt;0,VLOOKUP($L31,'Allocation Factors - C'!$B$13:$U$117,14,FALSE)*$J31,0)+IF($F31&lt;&gt;0,VLOOKUP($H31,'Allocation Factors - C'!$B$13:$U$117,14,FALSE)*$F31,0)</f>
        <v>0</v>
      </c>
      <c r="X31" s="76">
        <f ca="1">IF($J31&lt;&gt;0,VLOOKUP($L31,'Allocation Factors - C'!$B$13:$U$117,15,FALSE)*$J31,0)+IF($F31&lt;&gt;0,VLOOKUP($H31,'Allocation Factors - C'!$B$13:$U$117,15,FALSE)*$F31,0)</f>
        <v>0</v>
      </c>
      <c r="Y31" s="76">
        <f ca="1">IF($J31&lt;&gt;0,VLOOKUP($L31,'Allocation Factors - C'!$B$13:$U$117,16,FALSE)*$J31,0)+IF($F31&lt;&gt;0,VLOOKUP($H31,'Allocation Factors - C'!$B$13:$U$117,16,FALSE)*$F31,0)</f>
        <v>0</v>
      </c>
      <c r="Z31" s="76">
        <f ca="1">IF($J31&lt;&gt;0,VLOOKUP($L31,'Allocation Factors - C'!$B$13:$U$117,17,FALSE)*$J31,0)+IF($F31&lt;&gt;0,VLOOKUP($H31,'Allocation Factors - C'!$B$13:$U$117,17,FALSE)*$F31,0)</f>
        <v>0</v>
      </c>
      <c r="AA31" s="76">
        <f ca="1">IF($J31&lt;&gt;0,VLOOKUP($L31,'Allocation Factors - C'!$B$13:$U$117,18,FALSE)*$J31,0)+IF($F31&lt;&gt;0,VLOOKUP($H31,'Allocation Factors - C'!$B$13:$U$117,18,FALSE)*$F31,0)</f>
        <v>0</v>
      </c>
      <c r="AB31" s="76">
        <f ca="1">IF($J31&lt;&gt;0,VLOOKUP($L31,'Allocation Factors - C'!$B$13:$U$117,19,FALSE)*$J31,0)+IF($F31&lt;&gt;0,VLOOKUP($H31,'Allocation Factors - C'!$B$13:$U$117,19,FALSE)*$F31,0)</f>
        <v>0</v>
      </c>
      <c r="AC31" s="76">
        <f ca="1">IF($J31&lt;&gt;0,VLOOKUP($L31,'Allocation Factors - C'!$B$13:$U$117,20,FALSE)*$J31,0)+IF($F31&lt;&gt;0,VLOOKUP($H31,'Allocation Factors - C'!$B$13:$U$117,20,FALSE)*$F31,0)</f>
        <v>0</v>
      </c>
      <c r="AD31" s="48"/>
    </row>
    <row r="32" spans="1:30" x14ac:dyDescent="0.25">
      <c r="A32" s="2">
        <f>A31+1</f>
        <v>14</v>
      </c>
      <c r="B32" s="31" t="s">
        <v>375</v>
      </c>
      <c r="D32" s="76">
        <f ca="1">'Rate Zone Allocation - Gas Cost'!Q32</f>
        <v>0</v>
      </c>
      <c r="F32" s="76"/>
      <c r="J32" s="76">
        <f t="shared" ref="J32:J38" ca="1" si="6">D32-F32</f>
        <v>0</v>
      </c>
      <c r="L32" s="2" t="s">
        <v>456</v>
      </c>
      <c r="N32" s="76">
        <f ca="1">IF($J32&lt;&gt;0,VLOOKUP($L32,'Allocation Factors - C'!$B$13:$U$117,5,FALSE)*$J32,0)+IF($F32&lt;&gt;0,VLOOKUP($H32,'Allocation Factors - C'!$B$13:$U$117,5,FALSE)*$F32,0)</f>
        <v>0</v>
      </c>
      <c r="O32" s="76">
        <f ca="1">IF($J32&lt;&gt;0,VLOOKUP($L32,'Allocation Factors - C'!$B$13:$U$117,6,FALSE)*$J32,0)+IF($F32&lt;&gt;0,VLOOKUP($H32,'Allocation Factors - C'!$B$13:$U$117,6,FALSE)*$F32,0)</f>
        <v>0</v>
      </c>
      <c r="P32" s="76">
        <f ca="1">IF($J32&lt;&gt;0,VLOOKUP($L32,'Allocation Factors - C'!$B$13:$U$117,7,FALSE)*$J32,0)+IF($F32&lt;&gt;0,VLOOKUP($H32,'Allocation Factors - C'!$B$13:$U$117,7,FALSE)*$F32,0)</f>
        <v>0</v>
      </c>
      <c r="Q32" s="76"/>
      <c r="R32" s="76"/>
      <c r="S32" s="76">
        <f ca="1">IF($J32&lt;&gt;0,VLOOKUP($L32,'Allocation Factors - C'!$B$13:$U$117,10,FALSE)*$J32,0)+IF($F32&lt;&gt;0,VLOOKUP($H32,'Allocation Factors - C'!$B$13:$U$117,10,FALSE)*$F32,0)</f>
        <v>0</v>
      </c>
      <c r="T32" s="76">
        <f ca="1">IF($J32&lt;&gt;0,VLOOKUP($L32,'Allocation Factors - C'!$B$13:$U$117,11,FALSE)*$J32,0)+IF($F32&lt;&gt;0,VLOOKUP($H32,'Allocation Factors - C'!$B$13:$U$117,11,FALSE)*$F32,0)</f>
        <v>0</v>
      </c>
      <c r="U32" s="76">
        <f ca="1">IF($J32&lt;&gt;0,VLOOKUP($L32,'Allocation Factors - C'!$B$13:$U$117,12,FALSE)*$J32,0)+IF($F32&lt;&gt;0,VLOOKUP($H32,'Allocation Factors - C'!$B$13:$U$117,12,FALSE)*$F32,0)</f>
        <v>0</v>
      </c>
      <c r="V32" s="76">
        <f ca="1">IF($J32&lt;&gt;0,VLOOKUP($L32,'Allocation Factors - C'!$B$13:$U$117,13,FALSE)*$J32,0)+IF($F32&lt;&gt;0,VLOOKUP($H32,'Allocation Factors - C'!$B$13:$U$117,13,FALSE)*$F32,0)</f>
        <v>0</v>
      </c>
      <c r="W32" s="76">
        <f ca="1">IF($J32&lt;&gt;0,VLOOKUP($L32,'Allocation Factors - C'!$B$13:$U$117,14,FALSE)*$J32,0)+IF($F32&lt;&gt;0,VLOOKUP($H32,'Allocation Factors - C'!$B$13:$U$117,14,FALSE)*$F32,0)</f>
        <v>0</v>
      </c>
      <c r="X32" s="76">
        <f ca="1">IF($J32&lt;&gt;0,VLOOKUP($L32,'Allocation Factors - C'!$B$13:$U$117,15,FALSE)*$J32,0)+IF($F32&lt;&gt;0,VLOOKUP($H32,'Allocation Factors - C'!$B$13:$U$117,15,FALSE)*$F32,0)</f>
        <v>0</v>
      </c>
      <c r="Y32" s="76">
        <f ca="1">IF($J32&lt;&gt;0,VLOOKUP($L32,'Allocation Factors - C'!$B$13:$U$117,16,FALSE)*$J32,0)+IF($F32&lt;&gt;0,VLOOKUP($H32,'Allocation Factors - C'!$B$13:$U$117,16,FALSE)*$F32,0)</f>
        <v>0</v>
      </c>
      <c r="Z32" s="76">
        <f ca="1">IF($J32&lt;&gt;0,VLOOKUP($L32,'Allocation Factors - C'!$B$13:$U$117,17,FALSE)*$J32,0)+IF($F32&lt;&gt;0,VLOOKUP($H32,'Allocation Factors - C'!$B$13:$U$117,17,FALSE)*$F32,0)</f>
        <v>0</v>
      </c>
      <c r="AA32" s="76">
        <f ca="1">IF($J32&lt;&gt;0,VLOOKUP($L32,'Allocation Factors - C'!$B$13:$U$117,18,FALSE)*$J32,0)+IF($F32&lt;&gt;0,VLOOKUP($H32,'Allocation Factors - C'!$B$13:$U$117,18,FALSE)*$F32,0)</f>
        <v>0</v>
      </c>
      <c r="AB32" s="76">
        <f ca="1">IF($J32&lt;&gt;0,VLOOKUP($L32,'Allocation Factors - C'!$B$13:$U$117,19,FALSE)*$J32,0)+IF($F32&lt;&gt;0,VLOOKUP($H32,'Allocation Factors - C'!$B$13:$U$117,19,FALSE)*$F32,0)</f>
        <v>0</v>
      </c>
      <c r="AC32" s="76">
        <f ca="1">IF($J32&lt;&gt;0,VLOOKUP($L32,'Allocation Factors - C'!$B$13:$U$117,20,FALSE)*$J32,0)+IF($F32&lt;&gt;0,VLOOKUP($H32,'Allocation Factors - C'!$B$13:$U$117,20,FALSE)*$F32,0)</f>
        <v>0</v>
      </c>
      <c r="AD32" s="48"/>
    </row>
    <row r="33" spans="1:30" x14ac:dyDescent="0.25">
      <c r="A33" s="2">
        <f t="shared" ref="A33:A39" si="7">A32+1</f>
        <v>15</v>
      </c>
      <c r="B33" s="31" t="s">
        <v>377</v>
      </c>
      <c r="D33" s="76">
        <f ca="1">'Rate Zone Allocation - Gas Cost'!Q33</f>
        <v>0</v>
      </c>
      <c r="F33" s="76"/>
      <c r="J33" s="76">
        <f t="shared" ca="1" si="6"/>
        <v>0</v>
      </c>
      <c r="L33" s="2" t="s">
        <v>457</v>
      </c>
      <c r="N33" s="76">
        <f ca="1">IF($J33&lt;&gt;0,VLOOKUP($L33,'Allocation Factors - C'!$B$13:$U$117,5,FALSE)*$J33,0)+IF($F33&lt;&gt;0,VLOOKUP($H33,'Allocation Factors - C'!$B$13:$U$117,5,FALSE)*$F33,0)</f>
        <v>0</v>
      </c>
      <c r="O33" s="76">
        <f ca="1">IF($J33&lt;&gt;0,VLOOKUP($L33,'Allocation Factors - C'!$B$13:$U$117,6,FALSE)*$J33,0)+IF($F33&lt;&gt;0,VLOOKUP($H33,'Allocation Factors - C'!$B$13:$U$117,6,FALSE)*$F33,0)</f>
        <v>0</v>
      </c>
      <c r="P33" s="76">
        <f ca="1">IF($J33&lt;&gt;0,VLOOKUP($L33,'Allocation Factors - C'!$B$13:$U$117,7,FALSE)*$J33,0)+IF($F33&lt;&gt;0,VLOOKUP($H33,'Allocation Factors - C'!$B$13:$U$117,7,FALSE)*$F33,0)</f>
        <v>0</v>
      </c>
      <c r="Q33" s="76"/>
      <c r="R33" s="76"/>
      <c r="S33" s="76">
        <f ca="1">IF($J33&lt;&gt;0,VLOOKUP($L33,'Allocation Factors - C'!$B$13:$U$117,10,FALSE)*$J33,0)+IF($F33&lt;&gt;0,VLOOKUP($H33,'Allocation Factors - C'!$B$13:$U$117,10,FALSE)*$F33,0)</f>
        <v>0</v>
      </c>
      <c r="T33" s="76">
        <f ca="1">IF($J33&lt;&gt;0,VLOOKUP($L33,'Allocation Factors - C'!$B$13:$U$117,11,FALSE)*$J33,0)+IF($F33&lt;&gt;0,VLOOKUP($H33,'Allocation Factors - C'!$B$13:$U$117,11,FALSE)*$F33,0)</f>
        <v>0</v>
      </c>
      <c r="U33" s="76">
        <f ca="1">IF($J33&lt;&gt;0,VLOOKUP($L33,'Allocation Factors - C'!$B$13:$U$117,12,FALSE)*$J33,0)+IF($F33&lt;&gt;0,VLOOKUP($H33,'Allocation Factors - C'!$B$13:$U$117,12,FALSE)*$F33,0)</f>
        <v>0</v>
      </c>
      <c r="V33" s="76">
        <f ca="1">IF($J33&lt;&gt;0,VLOOKUP($L33,'Allocation Factors - C'!$B$13:$U$117,13,FALSE)*$J33,0)+IF($F33&lt;&gt;0,VLOOKUP($H33,'Allocation Factors - C'!$B$13:$U$117,13,FALSE)*$F33,0)</f>
        <v>0</v>
      </c>
      <c r="W33" s="76">
        <f ca="1">IF($J33&lt;&gt;0,VLOOKUP($L33,'Allocation Factors - C'!$B$13:$U$117,14,FALSE)*$J33,0)+IF($F33&lt;&gt;0,VLOOKUP($H33,'Allocation Factors - C'!$B$13:$U$117,14,FALSE)*$F33,0)</f>
        <v>0</v>
      </c>
      <c r="X33" s="76">
        <f ca="1">IF($J33&lt;&gt;0,VLOOKUP($L33,'Allocation Factors - C'!$B$13:$U$117,15,FALSE)*$J33,0)+IF($F33&lt;&gt;0,VLOOKUP($H33,'Allocation Factors - C'!$B$13:$U$117,15,FALSE)*$F33,0)</f>
        <v>0</v>
      </c>
      <c r="Y33" s="76">
        <f ca="1">IF($J33&lt;&gt;0,VLOOKUP($L33,'Allocation Factors - C'!$B$13:$U$117,16,FALSE)*$J33,0)+IF($F33&lt;&gt;0,VLOOKUP($H33,'Allocation Factors - C'!$B$13:$U$117,16,FALSE)*$F33,0)</f>
        <v>0</v>
      </c>
      <c r="Z33" s="76">
        <f ca="1">IF($J33&lt;&gt;0,VLOOKUP($L33,'Allocation Factors - C'!$B$13:$U$117,17,FALSE)*$J33,0)+IF($F33&lt;&gt;0,VLOOKUP($H33,'Allocation Factors - C'!$B$13:$U$117,17,FALSE)*$F33,0)</f>
        <v>0</v>
      </c>
      <c r="AA33" s="76">
        <f ca="1">IF($J33&lt;&gt;0,VLOOKUP($L33,'Allocation Factors - C'!$B$13:$U$117,18,FALSE)*$J33,0)+IF($F33&lt;&gt;0,VLOOKUP($H33,'Allocation Factors - C'!$B$13:$U$117,18,FALSE)*$F33,0)</f>
        <v>0</v>
      </c>
      <c r="AB33" s="76">
        <f ca="1">IF($J33&lt;&gt;0,VLOOKUP($L33,'Allocation Factors - C'!$B$13:$U$117,19,FALSE)*$J33,0)+IF($F33&lt;&gt;0,VLOOKUP($H33,'Allocation Factors - C'!$B$13:$U$117,19,FALSE)*$F33,0)</f>
        <v>0</v>
      </c>
      <c r="AC33" s="76">
        <f ca="1">IF($J33&lt;&gt;0,VLOOKUP($L33,'Allocation Factors - C'!$B$13:$U$117,20,FALSE)*$J33,0)+IF($F33&lt;&gt;0,VLOOKUP($H33,'Allocation Factors - C'!$B$13:$U$117,20,FALSE)*$F33,0)</f>
        <v>0</v>
      </c>
      <c r="AD33" s="48"/>
    </row>
    <row r="34" spans="1:30" x14ac:dyDescent="0.25">
      <c r="A34" s="2">
        <f t="shared" si="7"/>
        <v>16</v>
      </c>
      <c r="B34" s="31" t="s">
        <v>379</v>
      </c>
      <c r="D34" s="76">
        <f ca="1">'Rate Zone Allocation - Gas Cost'!Q34</f>
        <v>0</v>
      </c>
      <c r="F34" s="76"/>
      <c r="J34" s="76">
        <f t="shared" ca="1" si="6"/>
        <v>0</v>
      </c>
      <c r="L34" s="2" t="s">
        <v>458</v>
      </c>
      <c r="N34" s="76">
        <f ca="1">IF($J34&lt;&gt;0,VLOOKUP($L34,'Allocation Factors - C'!$B$13:$U$117,5,FALSE)*$J34,0)+IF($F34&lt;&gt;0,VLOOKUP($H34,'Allocation Factors - C'!$B$13:$U$117,5,FALSE)*$F34,0)</f>
        <v>0</v>
      </c>
      <c r="O34" s="76">
        <f ca="1">IF($J34&lt;&gt;0,VLOOKUP($L34,'Allocation Factors - C'!$B$13:$U$117,6,FALSE)*$J34,0)+IF($F34&lt;&gt;0,VLOOKUP($H34,'Allocation Factors - C'!$B$13:$U$117,6,FALSE)*$F34,0)</f>
        <v>0</v>
      </c>
      <c r="P34" s="76">
        <f ca="1">IF($J34&lt;&gt;0,VLOOKUP($L34,'Allocation Factors - C'!$B$13:$U$117,7,FALSE)*$J34,0)+IF($F34&lt;&gt;0,VLOOKUP($H34,'Allocation Factors - C'!$B$13:$U$117,7,FALSE)*$F34,0)</f>
        <v>0</v>
      </c>
      <c r="Q34" s="76"/>
      <c r="R34" s="76"/>
      <c r="S34" s="76">
        <f ca="1">IF($J34&lt;&gt;0,VLOOKUP($L34,'Allocation Factors - C'!$B$13:$U$117,10,FALSE)*$J34,0)+IF($F34&lt;&gt;0,VLOOKUP($H34,'Allocation Factors - C'!$B$13:$U$117,10,FALSE)*$F34,0)</f>
        <v>0</v>
      </c>
      <c r="T34" s="76">
        <f ca="1">IF($J34&lt;&gt;0,VLOOKUP($L34,'Allocation Factors - C'!$B$13:$U$117,11,FALSE)*$J34,0)+IF($F34&lt;&gt;0,VLOOKUP($H34,'Allocation Factors - C'!$B$13:$U$117,11,FALSE)*$F34,0)</f>
        <v>0</v>
      </c>
      <c r="U34" s="76">
        <f ca="1">IF($J34&lt;&gt;0,VLOOKUP($L34,'Allocation Factors - C'!$B$13:$U$117,12,FALSE)*$J34,0)+IF($F34&lt;&gt;0,VLOOKUP($H34,'Allocation Factors - C'!$B$13:$U$117,12,FALSE)*$F34,0)</f>
        <v>0</v>
      </c>
      <c r="V34" s="76">
        <f ca="1">IF($J34&lt;&gt;0,VLOOKUP($L34,'Allocation Factors - C'!$B$13:$U$117,13,FALSE)*$J34,0)+IF($F34&lt;&gt;0,VLOOKUP($H34,'Allocation Factors - C'!$B$13:$U$117,13,FALSE)*$F34,0)</f>
        <v>0</v>
      </c>
      <c r="W34" s="76">
        <f ca="1">IF($J34&lt;&gt;0,VLOOKUP($L34,'Allocation Factors - C'!$B$13:$U$117,14,FALSE)*$J34,0)+IF($F34&lt;&gt;0,VLOOKUP($H34,'Allocation Factors - C'!$B$13:$U$117,14,FALSE)*$F34,0)</f>
        <v>0</v>
      </c>
      <c r="X34" s="76">
        <f ca="1">IF($J34&lt;&gt;0,VLOOKUP($L34,'Allocation Factors - C'!$B$13:$U$117,15,FALSE)*$J34,0)+IF($F34&lt;&gt;0,VLOOKUP($H34,'Allocation Factors - C'!$B$13:$U$117,15,FALSE)*$F34,0)</f>
        <v>0</v>
      </c>
      <c r="Y34" s="76">
        <f ca="1">IF($J34&lt;&gt;0,VLOOKUP($L34,'Allocation Factors - C'!$B$13:$U$117,16,FALSE)*$J34,0)+IF($F34&lt;&gt;0,VLOOKUP($H34,'Allocation Factors - C'!$B$13:$U$117,16,FALSE)*$F34,0)</f>
        <v>0</v>
      </c>
      <c r="Z34" s="76">
        <f ca="1">IF($J34&lt;&gt;0,VLOOKUP($L34,'Allocation Factors - C'!$B$13:$U$117,17,FALSE)*$J34,0)+IF($F34&lt;&gt;0,VLOOKUP($H34,'Allocation Factors - C'!$B$13:$U$117,17,FALSE)*$F34,0)</f>
        <v>0</v>
      </c>
      <c r="AA34" s="76">
        <f ca="1">IF($J34&lt;&gt;0,VLOOKUP($L34,'Allocation Factors - C'!$B$13:$U$117,18,FALSE)*$J34,0)+IF($F34&lt;&gt;0,VLOOKUP($H34,'Allocation Factors - C'!$B$13:$U$117,18,FALSE)*$F34,0)</f>
        <v>0</v>
      </c>
      <c r="AB34" s="76">
        <f ca="1">IF($J34&lt;&gt;0,VLOOKUP($L34,'Allocation Factors - C'!$B$13:$U$117,19,FALSE)*$J34,0)+IF($F34&lt;&gt;0,VLOOKUP($H34,'Allocation Factors - C'!$B$13:$U$117,19,FALSE)*$F34,0)</f>
        <v>0</v>
      </c>
      <c r="AC34" s="76">
        <f ca="1">IF($J34&lt;&gt;0,VLOOKUP($L34,'Allocation Factors - C'!$B$13:$U$117,20,FALSE)*$J34,0)+IF($F34&lt;&gt;0,VLOOKUP($H34,'Allocation Factors - C'!$B$13:$U$117,20,FALSE)*$F34,0)</f>
        <v>0</v>
      </c>
      <c r="AD34" s="48"/>
    </row>
    <row r="35" spans="1:30" x14ac:dyDescent="0.25">
      <c r="A35" s="2">
        <f t="shared" si="7"/>
        <v>17</v>
      </c>
      <c r="B35" s="31" t="s">
        <v>381</v>
      </c>
      <c r="D35" s="76">
        <f ca="1">'Rate Zone Allocation - Gas Cost'!Q35</f>
        <v>0</v>
      </c>
      <c r="F35" s="76"/>
      <c r="J35" s="76">
        <f t="shared" ca="1" si="6"/>
        <v>0</v>
      </c>
      <c r="L35" s="2" t="s">
        <v>459</v>
      </c>
      <c r="N35" s="76">
        <f ca="1">IF($J35&lt;&gt;0,VLOOKUP($L35,'Allocation Factors - C'!$B$13:$U$117,5,FALSE)*$J35,0)+IF($F35&lt;&gt;0,VLOOKUP($H35,'Allocation Factors - C'!$B$13:$U$117,5,FALSE)*$F35,0)</f>
        <v>0</v>
      </c>
      <c r="O35" s="76">
        <f ca="1">IF($J35&lt;&gt;0,VLOOKUP($L35,'Allocation Factors - C'!$B$13:$U$117,6,FALSE)*$J35,0)+IF($F35&lt;&gt;0,VLOOKUP($H35,'Allocation Factors - C'!$B$13:$U$117,6,FALSE)*$F35,0)</f>
        <v>0</v>
      </c>
      <c r="P35" s="76">
        <f ca="1">IF($J35&lt;&gt;0,VLOOKUP($L35,'Allocation Factors - C'!$B$13:$U$117,7,FALSE)*$J35,0)+IF($F35&lt;&gt;0,VLOOKUP($H35,'Allocation Factors - C'!$B$13:$U$117,7,FALSE)*$F35,0)</f>
        <v>0</v>
      </c>
      <c r="Q35" s="76"/>
      <c r="R35" s="76"/>
      <c r="S35" s="76">
        <f ca="1">IF($J35&lt;&gt;0,VLOOKUP($L35,'Allocation Factors - C'!$B$13:$U$117,10,FALSE)*$J35,0)+IF($F35&lt;&gt;0,VLOOKUP($H35,'Allocation Factors - C'!$B$13:$U$117,10,FALSE)*$F35,0)</f>
        <v>0</v>
      </c>
      <c r="T35" s="76">
        <f ca="1">IF($J35&lt;&gt;0,VLOOKUP($L35,'Allocation Factors - C'!$B$13:$U$117,11,FALSE)*$J35,0)+IF($F35&lt;&gt;0,VLOOKUP($H35,'Allocation Factors - C'!$B$13:$U$117,11,FALSE)*$F35,0)</f>
        <v>0</v>
      </c>
      <c r="U35" s="76">
        <f ca="1">IF($J35&lt;&gt;0,VLOOKUP($L35,'Allocation Factors - C'!$B$13:$U$117,12,FALSE)*$J35,0)+IF($F35&lt;&gt;0,VLOOKUP($H35,'Allocation Factors - C'!$B$13:$U$117,12,FALSE)*$F35,0)</f>
        <v>0</v>
      </c>
      <c r="V35" s="76">
        <f ca="1">IF($J35&lt;&gt;0,VLOOKUP($L35,'Allocation Factors - C'!$B$13:$U$117,13,FALSE)*$J35,0)+IF($F35&lt;&gt;0,VLOOKUP($H35,'Allocation Factors - C'!$B$13:$U$117,13,FALSE)*$F35,0)</f>
        <v>0</v>
      </c>
      <c r="W35" s="76">
        <f ca="1">IF($J35&lt;&gt;0,VLOOKUP($L35,'Allocation Factors - C'!$B$13:$U$117,14,FALSE)*$J35,0)+IF($F35&lt;&gt;0,VLOOKUP($H35,'Allocation Factors - C'!$B$13:$U$117,14,FALSE)*$F35,0)</f>
        <v>0</v>
      </c>
      <c r="X35" s="76">
        <f ca="1">IF($J35&lt;&gt;0,VLOOKUP($L35,'Allocation Factors - C'!$B$13:$U$117,15,FALSE)*$J35,0)+IF($F35&lt;&gt;0,VLOOKUP($H35,'Allocation Factors - C'!$B$13:$U$117,15,FALSE)*$F35,0)</f>
        <v>0</v>
      </c>
      <c r="Y35" s="76">
        <f ca="1">IF($J35&lt;&gt;0,VLOOKUP($L35,'Allocation Factors - C'!$B$13:$U$117,16,FALSE)*$J35,0)+IF($F35&lt;&gt;0,VLOOKUP($H35,'Allocation Factors - C'!$B$13:$U$117,16,FALSE)*$F35,0)</f>
        <v>0</v>
      </c>
      <c r="Z35" s="76">
        <f ca="1">IF($J35&lt;&gt;0,VLOOKUP($L35,'Allocation Factors - C'!$B$13:$U$117,17,FALSE)*$J35,0)+IF($F35&lt;&gt;0,VLOOKUP($H35,'Allocation Factors - C'!$B$13:$U$117,17,FALSE)*$F35,0)</f>
        <v>0</v>
      </c>
      <c r="AA35" s="76">
        <f ca="1">IF($J35&lt;&gt;0,VLOOKUP($L35,'Allocation Factors - C'!$B$13:$U$117,18,FALSE)*$J35,0)+IF($F35&lt;&gt;0,VLOOKUP($H35,'Allocation Factors - C'!$B$13:$U$117,18,FALSE)*$F35,0)</f>
        <v>0</v>
      </c>
      <c r="AB35" s="76">
        <f ca="1">IF($J35&lt;&gt;0,VLOOKUP($L35,'Allocation Factors - C'!$B$13:$U$117,19,FALSE)*$J35,0)+IF($F35&lt;&gt;0,VLOOKUP($H35,'Allocation Factors - C'!$B$13:$U$117,19,FALSE)*$F35,0)</f>
        <v>0</v>
      </c>
      <c r="AC35" s="76">
        <f ca="1">IF($J35&lt;&gt;0,VLOOKUP($L35,'Allocation Factors - C'!$B$13:$U$117,20,FALSE)*$J35,0)+IF($F35&lt;&gt;0,VLOOKUP($H35,'Allocation Factors - C'!$B$13:$U$117,20,FALSE)*$F35,0)</f>
        <v>0</v>
      </c>
      <c r="AD35" s="48"/>
    </row>
    <row r="36" spans="1:30" x14ac:dyDescent="0.25">
      <c r="A36" s="2">
        <f t="shared" si="7"/>
        <v>18</v>
      </c>
      <c r="B36" s="31" t="s">
        <v>383</v>
      </c>
      <c r="D36" s="76">
        <f ca="1">'Rate Zone Allocation - Gas Cost'!Q36</f>
        <v>0</v>
      </c>
      <c r="F36" s="76"/>
      <c r="J36" s="76">
        <f t="shared" ca="1" si="6"/>
        <v>0</v>
      </c>
      <c r="L36" s="2" t="s">
        <v>460</v>
      </c>
      <c r="N36" s="76">
        <f ca="1">IF($J36&lt;&gt;0,VLOOKUP($L36,'Allocation Factors - C'!$B$13:$U$117,5,FALSE)*$J36,0)+IF($F36&lt;&gt;0,VLOOKUP($H36,'Allocation Factors - C'!$B$13:$U$117,5,FALSE)*$F36,0)</f>
        <v>0</v>
      </c>
      <c r="O36" s="76">
        <f ca="1">IF($J36&lt;&gt;0,VLOOKUP($L36,'Allocation Factors - C'!$B$13:$U$117,6,FALSE)*$J36,0)+IF($F36&lt;&gt;0,VLOOKUP($H36,'Allocation Factors - C'!$B$13:$U$117,6,FALSE)*$F36,0)</f>
        <v>0</v>
      </c>
      <c r="P36" s="76">
        <f ca="1">IF($J36&lt;&gt;0,VLOOKUP($L36,'Allocation Factors - C'!$B$13:$U$117,7,FALSE)*$J36,0)+IF($F36&lt;&gt;0,VLOOKUP($H36,'Allocation Factors - C'!$B$13:$U$117,7,FALSE)*$F36,0)</f>
        <v>0</v>
      </c>
      <c r="Q36" s="76"/>
      <c r="R36" s="76"/>
      <c r="S36" s="76">
        <f ca="1">IF($J36&lt;&gt;0,VLOOKUP($L36,'Allocation Factors - C'!$B$13:$U$117,10,FALSE)*$J36,0)+IF($F36&lt;&gt;0,VLOOKUP($H36,'Allocation Factors - C'!$B$13:$U$117,10,FALSE)*$F36,0)</f>
        <v>0</v>
      </c>
      <c r="T36" s="76">
        <f ca="1">IF($J36&lt;&gt;0,VLOOKUP($L36,'Allocation Factors - C'!$B$13:$U$117,11,FALSE)*$J36,0)+IF($F36&lt;&gt;0,VLOOKUP($H36,'Allocation Factors - C'!$B$13:$U$117,11,FALSE)*$F36,0)</f>
        <v>0</v>
      </c>
      <c r="U36" s="76">
        <f ca="1">IF($J36&lt;&gt;0,VLOOKUP($L36,'Allocation Factors - C'!$B$13:$U$117,12,FALSE)*$J36,0)+IF($F36&lt;&gt;0,VLOOKUP($H36,'Allocation Factors - C'!$B$13:$U$117,12,FALSE)*$F36,0)</f>
        <v>0</v>
      </c>
      <c r="V36" s="76">
        <f ca="1">IF($J36&lt;&gt;0,VLOOKUP($L36,'Allocation Factors - C'!$B$13:$U$117,13,FALSE)*$J36,0)+IF($F36&lt;&gt;0,VLOOKUP($H36,'Allocation Factors - C'!$B$13:$U$117,13,FALSE)*$F36,0)</f>
        <v>0</v>
      </c>
      <c r="W36" s="76">
        <f ca="1">IF($J36&lt;&gt;0,VLOOKUP($L36,'Allocation Factors - C'!$B$13:$U$117,14,FALSE)*$J36,0)+IF($F36&lt;&gt;0,VLOOKUP($H36,'Allocation Factors - C'!$B$13:$U$117,14,FALSE)*$F36,0)</f>
        <v>0</v>
      </c>
      <c r="X36" s="76">
        <f ca="1">IF($J36&lt;&gt;0,VLOOKUP($L36,'Allocation Factors - C'!$B$13:$U$117,15,FALSE)*$J36,0)+IF($F36&lt;&gt;0,VLOOKUP($H36,'Allocation Factors - C'!$B$13:$U$117,15,FALSE)*$F36,0)</f>
        <v>0</v>
      </c>
      <c r="Y36" s="76">
        <f ca="1">IF($J36&lt;&gt;0,VLOOKUP($L36,'Allocation Factors - C'!$B$13:$U$117,16,FALSE)*$J36,0)+IF($F36&lt;&gt;0,VLOOKUP($H36,'Allocation Factors - C'!$B$13:$U$117,16,FALSE)*$F36,0)</f>
        <v>0</v>
      </c>
      <c r="Z36" s="76">
        <f ca="1">IF($J36&lt;&gt;0,VLOOKUP($L36,'Allocation Factors - C'!$B$13:$U$117,17,FALSE)*$J36,0)+IF($F36&lt;&gt;0,VLOOKUP($H36,'Allocation Factors - C'!$B$13:$U$117,17,FALSE)*$F36,0)</f>
        <v>0</v>
      </c>
      <c r="AA36" s="76">
        <f ca="1">IF($J36&lt;&gt;0,VLOOKUP($L36,'Allocation Factors - C'!$B$13:$U$117,18,FALSE)*$J36,0)+IF($F36&lt;&gt;0,VLOOKUP($H36,'Allocation Factors - C'!$B$13:$U$117,18,FALSE)*$F36,0)</f>
        <v>0</v>
      </c>
      <c r="AB36" s="76">
        <f ca="1">IF($J36&lt;&gt;0,VLOOKUP($L36,'Allocation Factors - C'!$B$13:$U$117,19,FALSE)*$J36,0)+IF($F36&lt;&gt;0,VLOOKUP($H36,'Allocation Factors - C'!$B$13:$U$117,19,FALSE)*$F36,0)</f>
        <v>0</v>
      </c>
      <c r="AC36" s="76">
        <f ca="1">IF($J36&lt;&gt;0,VLOOKUP($L36,'Allocation Factors - C'!$B$13:$U$117,20,FALSE)*$J36,0)+IF($F36&lt;&gt;0,VLOOKUP($H36,'Allocation Factors - C'!$B$13:$U$117,20,FALSE)*$F36,0)</f>
        <v>0</v>
      </c>
      <c r="AD36" s="48"/>
    </row>
    <row r="37" spans="1:30" x14ac:dyDescent="0.25">
      <c r="A37" s="2">
        <f t="shared" si="7"/>
        <v>19</v>
      </c>
      <c r="B37" s="31" t="s">
        <v>385</v>
      </c>
      <c r="D37" s="76">
        <f ca="1">'Rate Zone Allocation - Gas Cost'!Q37</f>
        <v>0</v>
      </c>
      <c r="F37" s="76"/>
      <c r="J37" s="76">
        <f t="shared" ca="1" si="6"/>
        <v>0</v>
      </c>
      <c r="L37" s="2" t="s">
        <v>461</v>
      </c>
      <c r="N37" s="76">
        <f ca="1">IF($J37&lt;&gt;0,VLOOKUP($L37,'Allocation Factors - C'!$B$13:$U$117,5,FALSE)*$J37,0)+IF($F37&lt;&gt;0,VLOOKUP($H37,'Allocation Factors - C'!$B$13:$U$117,5,FALSE)*$F37,0)</f>
        <v>0</v>
      </c>
      <c r="O37" s="76">
        <f ca="1">IF($J37&lt;&gt;0,VLOOKUP($L37,'Allocation Factors - C'!$B$13:$U$117,6,FALSE)*$J37,0)+IF($F37&lt;&gt;0,VLOOKUP($H37,'Allocation Factors - C'!$B$13:$U$117,6,FALSE)*$F37,0)</f>
        <v>0</v>
      </c>
      <c r="P37" s="76">
        <f ca="1">IF($J37&lt;&gt;0,VLOOKUP($L37,'Allocation Factors - C'!$B$13:$U$117,7,FALSE)*$J37,0)+IF($F37&lt;&gt;0,VLOOKUP($H37,'Allocation Factors - C'!$B$13:$U$117,7,FALSE)*$F37,0)</f>
        <v>0</v>
      </c>
      <c r="Q37" s="76"/>
      <c r="R37" s="76"/>
      <c r="S37" s="76">
        <f ca="1">IF($J37&lt;&gt;0,VLOOKUP($L37,'Allocation Factors - C'!$B$13:$U$117,10,FALSE)*$J37,0)+IF($F37&lt;&gt;0,VLOOKUP($H37,'Allocation Factors - C'!$B$13:$U$117,10,FALSE)*$F37,0)</f>
        <v>0</v>
      </c>
      <c r="T37" s="76">
        <f ca="1">IF($J37&lt;&gt;0,VLOOKUP($L37,'Allocation Factors - C'!$B$13:$U$117,11,FALSE)*$J37,0)+IF($F37&lt;&gt;0,VLOOKUP($H37,'Allocation Factors - C'!$B$13:$U$117,11,FALSE)*$F37,0)</f>
        <v>0</v>
      </c>
      <c r="U37" s="76">
        <f ca="1">IF($J37&lt;&gt;0,VLOOKUP($L37,'Allocation Factors - C'!$B$13:$U$117,12,FALSE)*$J37,0)+IF($F37&lt;&gt;0,VLOOKUP($H37,'Allocation Factors - C'!$B$13:$U$117,12,FALSE)*$F37,0)</f>
        <v>0</v>
      </c>
      <c r="V37" s="76">
        <f ca="1">IF($J37&lt;&gt;0,VLOOKUP($L37,'Allocation Factors - C'!$B$13:$U$117,13,FALSE)*$J37,0)+IF($F37&lt;&gt;0,VLOOKUP($H37,'Allocation Factors - C'!$B$13:$U$117,13,FALSE)*$F37,0)</f>
        <v>0</v>
      </c>
      <c r="W37" s="76">
        <f ca="1">IF($J37&lt;&gt;0,VLOOKUP($L37,'Allocation Factors - C'!$B$13:$U$117,14,FALSE)*$J37,0)+IF($F37&lt;&gt;0,VLOOKUP($H37,'Allocation Factors - C'!$B$13:$U$117,14,FALSE)*$F37,0)</f>
        <v>0</v>
      </c>
      <c r="X37" s="76">
        <f ca="1">IF($J37&lt;&gt;0,VLOOKUP($L37,'Allocation Factors - C'!$B$13:$U$117,15,FALSE)*$J37,0)+IF($F37&lt;&gt;0,VLOOKUP($H37,'Allocation Factors - C'!$B$13:$U$117,15,FALSE)*$F37,0)</f>
        <v>0</v>
      </c>
      <c r="Y37" s="76">
        <f ca="1">IF($J37&lt;&gt;0,VLOOKUP($L37,'Allocation Factors - C'!$B$13:$U$117,16,FALSE)*$J37,0)+IF($F37&lt;&gt;0,VLOOKUP($H37,'Allocation Factors - C'!$B$13:$U$117,16,FALSE)*$F37,0)</f>
        <v>0</v>
      </c>
      <c r="Z37" s="76">
        <f ca="1">IF($J37&lt;&gt;0,VLOOKUP($L37,'Allocation Factors - C'!$B$13:$U$117,17,FALSE)*$J37,0)+IF($F37&lt;&gt;0,VLOOKUP($H37,'Allocation Factors - C'!$B$13:$U$117,17,FALSE)*$F37,0)</f>
        <v>0</v>
      </c>
      <c r="AA37" s="76">
        <f ca="1">IF($J37&lt;&gt;0,VLOOKUP($L37,'Allocation Factors - C'!$B$13:$U$117,18,FALSE)*$J37,0)+IF($F37&lt;&gt;0,VLOOKUP($H37,'Allocation Factors - C'!$B$13:$U$117,18,FALSE)*$F37,0)</f>
        <v>0</v>
      </c>
      <c r="AB37" s="76">
        <f ca="1">IF($J37&lt;&gt;0,VLOOKUP($L37,'Allocation Factors - C'!$B$13:$U$117,19,FALSE)*$J37,0)+IF($F37&lt;&gt;0,VLOOKUP($H37,'Allocation Factors - C'!$B$13:$U$117,19,FALSE)*$F37,0)</f>
        <v>0</v>
      </c>
      <c r="AC37" s="76">
        <f ca="1">IF($J37&lt;&gt;0,VLOOKUP($L37,'Allocation Factors - C'!$B$13:$U$117,20,FALSE)*$J37,0)+IF($F37&lt;&gt;0,VLOOKUP($H37,'Allocation Factors - C'!$B$13:$U$117,20,FALSE)*$F37,0)</f>
        <v>0</v>
      </c>
      <c r="AD37" s="48"/>
    </row>
    <row r="38" spans="1:30" x14ac:dyDescent="0.25">
      <c r="A38" s="2">
        <f t="shared" si="7"/>
        <v>20</v>
      </c>
      <c r="B38" s="31" t="s">
        <v>386</v>
      </c>
      <c r="D38" s="76">
        <f ca="1">'Rate Zone Allocation - Gas Cost'!Q38</f>
        <v>3912.8666997724104</v>
      </c>
      <c r="F38" s="76">
        <f>'Total Allocation - C'!F38</f>
        <v>3695.2725161225453</v>
      </c>
      <c r="H38" s="2" t="s">
        <v>462</v>
      </c>
      <c r="J38" s="76">
        <f t="shared" ca="1" si="6"/>
        <v>217.59418364986504</v>
      </c>
      <c r="L38" s="2" t="s">
        <v>463</v>
      </c>
      <c r="N38" s="76">
        <f ca="1">IF($J38&lt;&gt;0,VLOOKUP($L38,'Allocation Factors - C'!$B$13:$U$117,5,FALSE)*$J38,0)+IF($F38&lt;&gt;0,VLOOKUP($H38,'Allocation Factors - C'!$B$13:$U$117,5,FALSE)*$F38,0)</f>
        <v>2033.4594335709694</v>
      </c>
      <c r="O38" s="76">
        <f ca="1">IF($J38&lt;&gt;0,VLOOKUP($L38,'Allocation Factors - C'!$B$13:$U$117,6,FALSE)*$J38,0)+IF($F38&lt;&gt;0,VLOOKUP($H38,'Allocation Factors - C'!$B$13:$U$117,6,FALSE)*$F38,0)</f>
        <v>1192.9119294836378</v>
      </c>
      <c r="P38" s="76">
        <f ca="1">IF($J38&lt;&gt;0,VLOOKUP($L38,'Allocation Factors - C'!$B$13:$U$117,7,FALSE)*$J38,0)+IF($F38&lt;&gt;0,VLOOKUP($H38,'Allocation Factors - C'!$B$13:$U$117,7,FALSE)*$F38,0)</f>
        <v>492.0538408175986</v>
      </c>
      <c r="Q38" s="76"/>
      <c r="R38" s="76"/>
      <c r="S38" s="76">
        <f ca="1">IF($J38&lt;&gt;0,VLOOKUP($L38,'Allocation Factors - C'!$B$13:$U$117,10,FALSE)*$J38,0)+IF($F38&lt;&gt;0,VLOOKUP($H38,'Allocation Factors - C'!$B$13:$U$117,10,FALSE)*$F38,0)</f>
        <v>0</v>
      </c>
      <c r="T38" s="76">
        <f ca="1">IF($J38&lt;&gt;0,VLOOKUP($L38,'Allocation Factors - C'!$B$13:$U$117,11,FALSE)*$J38,0)+IF($F38&lt;&gt;0,VLOOKUP($H38,'Allocation Factors - C'!$B$13:$U$117,11,FALSE)*$F38,0)</f>
        <v>0</v>
      </c>
      <c r="U38" s="76">
        <f ca="1">IF($J38&lt;&gt;0,VLOOKUP($L38,'Allocation Factors - C'!$B$13:$U$117,12,FALSE)*$J38,0)+IF($F38&lt;&gt;0,VLOOKUP($H38,'Allocation Factors - C'!$B$13:$U$117,12,FALSE)*$F38,0)</f>
        <v>0</v>
      </c>
      <c r="V38" s="76">
        <f ca="1">IF($J38&lt;&gt;0,VLOOKUP($L38,'Allocation Factors - C'!$B$13:$U$117,13,FALSE)*$J38,0)+IF($F38&lt;&gt;0,VLOOKUP($H38,'Allocation Factors - C'!$B$13:$U$117,13,FALSE)*$F38,0)</f>
        <v>0</v>
      </c>
      <c r="W38" s="76">
        <f ca="1">IF($J38&lt;&gt;0,VLOOKUP($L38,'Allocation Factors - C'!$B$13:$U$117,14,FALSE)*$J38,0)+IF($F38&lt;&gt;0,VLOOKUP($H38,'Allocation Factors - C'!$B$13:$U$117,14,FALSE)*$F38,0)</f>
        <v>0</v>
      </c>
      <c r="X38" s="76">
        <f ca="1">IF($J38&lt;&gt;0,VLOOKUP($L38,'Allocation Factors - C'!$B$13:$U$117,15,FALSE)*$J38,0)+IF($F38&lt;&gt;0,VLOOKUP($H38,'Allocation Factors - C'!$B$13:$U$117,15,FALSE)*$F38,0)</f>
        <v>0</v>
      </c>
      <c r="Y38" s="76">
        <f ca="1">IF($J38&lt;&gt;0,VLOOKUP($L38,'Allocation Factors - C'!$B$13:$U$117,16,FALSE)*$J38,0)+IF($F38&lt;&gt;0,VLOOKUP($H38,'Allocation Factors - C'!$B$13:$U$117,16,FALSE)*$F38,0)</f>
        <v>105.36672540600911</v>
      </c>
      <c r="Z38" s="76">
        <f ca="1">IF($J38&lt;&gt;0,VLOOKUP($L38,'Allocation Factors - C'!$B$13:$U$117,17,FALSE)*$J38,0)+IF($F38&lt;&gt;0,VLOOKUP($H38,'Allocation Factors - C'!$B$13:$U$117,17,FALSE)*$F38,0)</f>
        <v>16.564876365804594</v>
      </c>
      <c r="AA38" s="76">
        <f ca="1">IF($J38&lt;&gt;0,VLOOKUP($L38,'Allocation Factors - C'!$B$13:$U$117,18,FALSE)*$J38,0)+IF($F38&lt;&gt;0,VLOOKUP($H38,'Allocation Factors - C'!$B$13:$U$117,18,FALSE)*$F38,0)</f>
        <v>0</v>
      </c>
      <c r="AB38" s="76">
        <f ca="1">IF($J38&lt;&gt;0,VLOOKUP($L38,'Allocation Factors - C'!$B$13:$U$117,19,FALSE)*$J38,0)+IF($F38&lt;&gt;0,VLOOKUP($H38,'Allocation Factors - C'!$B$13:$U$117,19,FALSE)*$F38,0)</f>
        <v>72.509894128391267</v>
      </c>
      <c r="AC38" s="76">
        <f ca="1">IF($J38&lt;&gt;0,VLOOKUP($L38,'Allocation Factors - C'!$B$13:$U$117,20,FALSE)*$J38,0)+IF($F38&lt;&gt;0,VLOOKUP($H38,'Allocation Factors - C'!$B$13:$U$117,20,FALSE)*$F38,0)</f>
        <v>0</v>
      </c>
      <c r="AD38" s="48"/>
    </row>
    <row r="39" spans="1:30" x14ac:dyDescent="0.25">
      <c r="A39" s="2">
        <f t="shared" si="7"/>
        <v>21</v>
      </c>
      <c r="B39" s="31" t="s">
        <v>389</v>
      </c>
      <c r="D39" s="40">
        <f ca="1">SUM(D31:D38)</f>
        <v>3912.8666997724104</v>
      </c>
      <c r="F39" s="40">
        <f>SUM(F31:F38)</f>
        <v>3695.2725161225453</v>
      </c>
      <c r="J39" s="40">
        <f ca="1">SUM(J31:J38)</f>
        <v>217.59418364986504</v>
      </c>
      <c r="N39" s="40">
        <f t="shared" ref="N39:AA39" ca="1" si="8">SUM(N31:N38)</f>
        <v>2033.4594335709694</v>
      </c>
      <c r="O39" s="40">
        <f t="shared" ca="1" si="8"/>
        <v>1192.9119294836378</v>
      </c>
      <c r="P39" s="40">
        <f t="shared" ca="1" si="8"/>
        <v>492.0538408175986</v>
      </c>
      <c r="Q39" s="40"/>
      <c r="R39" s="40"/>
      <c r="S39" s="40">
        <f t="shared" ca="1" si="8"/>
        <v>0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0</v>
      </c>
      <c r="X39" s="40">
        <f t="shared" ca="1" si="8"/>
        <v>0</v>
      </c>
      <c r="Y39" s="40">
        <f t="shared" ca="1" si="8"/>
        <v>105.36672540600911</v>
      </c>
      <c r="Z39" s="40">
        <f t="shared" ca="1" si="8"/>
        <v>16.564876365804594</v>
      </c>
      <c r="AA39" s="40">
        <f t="shared" ca="1" si="8"/>
        <v>0</v>
      </c>
      <c r="AB39" s="40">
        <f ca="1">SUM(AB31:AB38)</f>
        <v>72.509894128391267</v>
      </c>
      <c r="AC39" s="40">
        <f ca="1">SUM(AC31:AC38)</f>
        <v>0</v>
      </c>
      <c r="AD39" s="48"/>
    </row>
    <row r="40" spans="1:30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1496957.1507093145</v>
      </c>
      <c r="F42" s="80">
        <f>F21+F28+F39</f>
        <v>3695.2725161225453</v>
      </c>
      <c r="J42" s="80">
        <f ca="1">J21+J28+J39</f>
        <v>1493261.878193192</v>
      </c>
      <c r="N42" s="80">
        <f t="shared" ref="N42:AC42" ca="1" si="9">N21+N28+N39</f>
        <v>999487.14646757697</v>
      </c>
      <c r="O42" s="80">
        <f t="shared" ca="1" si="9"/>
        <v>421282.71890227345</v>
      </c>
      <c r="P42" s="80">
        <f t="shared" ca="1" si="9"/>
        <v>41694.71762290378</v>
      </c>
      <c r="Q42" s="80"/>
      <c r="R42" s="80"/>
      <c r="S42" s="80">
        <f t="shared" ca="1" si="9"/>
        <v>0</v>
      </c>
      <c r="T42" s="80">
        <f t="shared" ca="1" si="9"/>
        <v>0</v>
      </c>
      <c r="U42" s="80">
        <f t="shared" ca="1" si="9"/>
        <v>0</v>
      </c>
      <c r="V42" s="80">
        <f t="shared" ca="1" si="9"/>
        <v>0</v>
      </c>
      <c r="W42" s="80">
        <f t="shared" ca="1" si="9"/>
        <v>0</v>
      </c>
      <c r="X42" s="80">
        <f t="shared" ca="1" si="9"/>
        <v>0</v>
      </c>
      <c r="Y42" s="80">
        <f t="shared" ca="1" si="9"/>
        <v>4160.9263522914716</v>
      </c>
      <c r="Z42" s="80">
        <f t="shared" ca="1" si="9"/>
        <v>1214.996962593814</v>
      </c>
      <c r="AA42" s="80">
        <f t="shared" ca="1" si="9"/>
        <v>0</v>
      </c>
      <c r="AB42" s="80">
        <f t="shared" ca="1" si="9"/>
        <v>29116.644401674937</v>
      </c>
      <c r="AC42" s="80">
        <f t="shared" ca="1" si="9"/>
        <v>0</v>
      </c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0993-DBE6-4AB2-A468-B67CA2412740}">
  <sheetPr>
    <pageSetUpPr fitToPage="1"/>
  </sheetPr>
  <dimension ref="A2:BK230"/>
  <sheetViews>
    <sheetView zoomScale="80" zoomScaleNormal="80" workbookViewId="0">
      <selection activeCell="B50" sqref="B50"/>
    </sheetView>
  </sheetViews>
  <sheetFormatPr defaultColWidth="9.1796875" defaultRowHeight="12.5" x14ac:dyDescent="0.25"/>
  <cols>
    <col min="1" max="1" width="9.1796875" style="18"/>
    <col min="2" max="2" width="29.1796875" style="1" customWidth="1"/>
    <col min="3" max="3" width="9" style="18" customWidth="1"/>
    <col min="4" max="4" width="15.26953125" style="1" bestFit="1" customWidth="1"/>
    <col min="5" max="5" width="2.81640625" style="1" customWidth="1"/>
    <col min="6" max="8" width="14.7265625" style="1" customWidth="1"/>
    <col min="9" max="10" width="14.7265625" style="1" hidden="1" customWidth="1"/>
    <col min="11" max="17" width="14.7265625" style="1" customWidth="1"/>
    <col min="18" max="18" width="16.453125" style="1" customWidth="1"/>
    <col min="19" max="19" width="15.7265625" style="1" customWidth="1"/>
    <col min="20" max="20" width="13.54296875" style="1" customWidth="1"/>
    <col min="21" max="21" width="16.1796875" style="1" customWidth="1"/>
    <col min="22" max="16384" width="9.1796875" style="1"/>
  </cols>
  <sheetData>
    <row r="2" spans="1:63" x14ac:dyDescent="0.25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63" x14ac:dyDescent="0.25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63" x14ac:dyDescent="0.25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63" x14ac:dyDescent="0.25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63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36"/>
      <c r="S6" s="36"/>
      <c r="T6" s="36"/>
      <c r="U6" s="36"/>
    </row>
    <row r="7" spans="1:63" ht="15" customHeight="1" x14ac:dyDescent="0.25">
      <c r="B7" s="155" t="s">
        <v>471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1:63" ht="14.5" x14ac:dyDescent="0.35">
      <c r="Q8"/>
      <c r="T8"/>
      <c r="U8"/>
    </row>
    <row r="9" spans="1:63" x14ac:dyDescent="0.25">
      <c r="A9" s="18" t="s">
        <v>6</v>
      </c>
      <c r="D9" s="18"/>
      <c r="F9" s="2" t="s">
        <v>426</v>
      </c>
      <c r="G9" s="2" t="s">
        <v>426</v>
      </c>
      <c r="H9" s="2" t="s">
        <v>426</v>
      </c>
      <c r="I9" s="2"/>
      <c r="J9" s="2"/>
      <c r="K9" s="2" t="s">
        <v>426</v>
      </c>
      <c r="L9" s="2" t="s">
        <v>426</v>
      </c>
      <c r="M9" s="2" t="s">
        <v>426</v>
      </c>
      <c r="N9" s="2" t="s">
        <v>426</v>
      </c>
      <c r="O9" s="2" t="s">
        <v>426</v>
      </c>
      <c r="P9" s="2" t="s">
        <v>426</v>
      </c>
      <c r="Q9" s="2" t="s">
        <v>426</v>
      </c>
      <c r="R9" s="2" t="s">
        <v>426</v>
      </c>
      <c r="S9" s="2" t="s">
        <v>426</v>
      </c>
      <c r="T9" s="2" t="s">
        <v>426</v>
      </c>
      <c r="U9" s="2" t="s">
        <v>426</v>
      </c>
    </row>
    <row r="10" spans="1:63" x14ac:dyDescent="0.25">
      <c r="A10" s="4" t="s">
        <v>11</v>
      </c>
      <c r="B10" s="4" t="s">
        <v>423</v>
      </c>
      <c r="D10" s="4" t="s">
        <v>2</v>
      </c>
      <c r="E10" s="18"/>
      <c r="F10" s="33" t="s">
        <v>427</v>
      </c>
      <c r="G10" s="33" t="s">
        <v>428</v>
      </c>
      <c r="H10" s="33" t="s">
        <v>429</v>
      </c>
      <c r="I10" s="33"/>
      <c r="J10" s="33"/>
      <c r="K10" s="33" t="s">
        <v>430</v>
      </c>
      <c r="L10" s="33" t="s">
        <v>431</v>
      </c>
      <c r="M10" s="33" t="s">
        <v>432</v>
      </c>
      <c r="N10" s="33" t="s">
        <v>433</v>
      </c>
      <c r="O10" s="33" t="s">
        <v>434</v>
      </c>
      <c r="P10" s="33" t="s">
        <v>435</v>
      </c>
      <c r="Q10" s="33" t="s">
        <v>436</v>
      </c>
      <c r="R10" s="33" t="s">
        <v>437</v>
      </c>
      <c r="S10" s="117" t="s">
        <v>438</v>
      </c>
      <c r="T10" s="33" t="s">
        <v>439</v>
      </c>
      <c r="U10" s="33" t="s">
        <v>440</v>
      </c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8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8"/>
      <c r="BC10" s="160"/>
      <c r="BD10" s="160"/>
      <c r="BE10" s="160"/>
      <c r="BF10" s="160"/>
      <c r="BG10" s="160"/>
      <c r="BH10" s="160"/>
      <c r="BI10" s="160"/>
      <c r="BJ10" s="160"/>
      <c r="BK10" s="160"/>
    </row>
    <row r="11" spans="1:63" x14ac:dyDescent="0.25">
      <c r="D11" s="18" t="s">
        <v>22</v>
      </c>
      <c r="F11" s="81" t="s">
        <v>23</v>
      </c>
      <c r="G11" s="81" t="s">
        <v>24</v>
      </c>
      <c r="H11" s="81" t="s">
        <v>165</v>
      </c>
      <c r="K11" s="81" t="s">
        <v>26</v>
      </c>
      <c r="L11" s="81" t="s">
        <v>27</v>
      </c>
      <c r="M11" s="81" t="s">
        <v>28</v>
      </c>
      <c r="N11" s="81" t="s">
        <v>29</v>
      </c>
      <c r="O11" s="81" t="s">
        <v>30</v>
      </c>
      <c r="P11" s="81" t="s">
        <v>180</v>
      </c>
      <c r="Q11" s="81" t="s">
        <v>181</v>
      </c>
      <c r="R11" s="81" t="s">
        <v>241</v>
      </c>
      <c r="S11" s="81" t="s">
        <v>242</v>
      </c>
      <c r="T11" s="81" t="s">
        <v>285</v>
      </c>
      <c r="U11" s="81" t="s">
        <v>286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18">
        <v>1</v>
      </c>
      <c r="B13" s="18"/>
      <c r="C13" s="18" t="s">
        <v>166</v>
      </c>
      <c r="D13" s="8">
        <f>SUM(F13:U13)</f>
        <v>100.00000000000001</v>
      </c>
      <c r="F13" s="20">
        <v>62.413582082814457</v>
      </c>
      <c r="G13" s="20">
        <v>31.544611804598532</v>
      </c>
      <c r="H13" s="20">
        <v>4.1364749221231936</v>
      </c>
      <c r="I13" s="20"/>
      <c r="J13" s="20"/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0.46202880979267319</v>
      </c>
      <c r="R13" s="20">
        <v>0</v>
      </c>
      <c r="S13" s="20">
        <v>0</v>
      </c>
      <c r="T13" s="126">
        <v>1.443302380671156</v>
      </c>
      <c r="U13" s="126">
        <v>0</v>
      </c>
    </row>
    <row r="14" spans="1:63" x14ac:dyDescent="0.25">
      <c r="A14" s="18">
        <f>A13+1</f>
        <v>2</v>
      </c>
      <c r="B14" s="18" t="s">
        <v>451</v>
      </c>
      <c r="D14" s="24">
        <f>SUM(F14:U14)</f>
        <v>0.99999999999999989</v>
      </c>
      <c r="E14" s="17"/>
      <c r="F14" s="24">
        <f>IFERROR(F13/$D13,0)</f>
        <v>0.62413582082814445</v>
      </c>
      <c r="G14" s="24">
        <f>IFERROR(G13/$D13,0)</f>
        <v>0.31544611804598527</v>
      </c>
      <c r="H14" s="24">
        <f>IFERROR(H13/$D13,0)</f>
        <v>4.1364749221231928E-2</v>
      </c>
      <c r="I14" s="24"/>
      <c r="J14" s="24"/>
      <c r="K14" s="24">
        <f t="shared" ref="K14:U14" si="0">IFERROR(K13/$D13,0)</f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0"/>
        <v>4.6202880979267311E-3</v>
      </c>
      <c r="R14" s="24">
        <f t="shared" si="0"/>
        <v>0</v>
      </c>
      <c r="S14" s="24">
        <f t="shared" si="0"/>
        <v>0</v>
      </c>
      <c r="T14" s="24">
        <f t="shared" si="0"/>
        <v>1.4433023806711558E-2</v>
      </c>
      <c r="U14" s="24">
        <f t="shared" si="0"/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x14ac:dyDescent="0.25"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</row>
    <row r="16" spans="1:63" x14ac:dyDescent="0.25">
      <c r="A16" s="18">
        <f>A14+1</f>
        <v>3</v>
      </c>
      <c r="B16" s="18"/>
      <c r="C16" s="18" t="s">
        <v>166</v>
      </c>
      <c r="D16" s="8">
        <f>SUM(F16:U16)</f>
        <v>25911.04345507679</v>
      </c>
      <c r="F16" s="20">
        <v>13463.334390307286</v>
      </c>
      <c r="G16" s="20">
        <v>7898.152252106067</v>
      </c>
      <c r="H16" s="20">
        <v>3257.7871182258973</v>
      </c>
      <c r="I16" s="20"/>
      <c r="J16" s="20"/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696.97800474884457</v>
      </c>
      <c r="R16" s="20">
        <v>109.65656654497459</v>
      </c>
      <c r="S16" s="20">
        <v>0</v>
      </c>
      <c r="T16" s="126">
        <v>485.13512314372292</v>
      </c>
      <c r="U16" s="126">
        <v>0</v>
      </c>
    </row>
    <row r="17" spans="1:63" x14ac:dyDescent="0.25">
      <c r="A17" s="18">
        <f>A16+1</f>
        <v>4</v>
      </c>
      <c r="B17" s="18" t="s">
        <v>462</v>
      </c>
      <c r="D17" s="24">
        <f>SUM(F17:U17)</f>
        <v>1</v>
      </c>
      <c r="E17" s="17"/>
      <c r="F17" s="24">
        <f>IFERROR(F16/$D16,0)</f>
        <v>0.51959831002751045</v>
      </c>
      <c r="G17" s="24">
        <f>IFERROR(G16/$D16,0)</f>
        <v>0.30481799259838649</v>
      </c>
      <c r="H17" s="24">
        <f>IFERROR(H16/$D16,0)</f>
        <v>0.12572967676404379</v>
      </c>
      <c r="I17" s="24"/>
      <c r="J17" s="24"/>
      <c r="K17" s="24">
        <f t="shared" ref="K17:U17" si="1">IFERROR(K16/$D16,0)</f>
        <v>0</v>
      </c>
      <c r="L17" s="24">
        <f t="shared" si="1"/>
        <v>0</v>
      </c>
      <c r="M17" s="24">
        <f t="shared" si="1"/>
        <v>0</v>
      </c>
      <c r="N17" s="24">
        <f t="shared" si="1"/>
        <v>0</v>
      </c>
      <c r="O17" s="24">
        <f t="shared" si="1"/>
        <v>0</v>
      </c>
      <c r="P17" s="24">
        <f t="shared" si="1"/>
        <v>0</v>
      </c>
      <c r="Q17" s="24">
        <f t="shared" si="1"/>
        <v>2.6898878308672845E-2</v>
      </c>
      <c r="R17" s="24">
        <f t="shared" si="1"/>
        <v>4.2320397762093762E-3</v>
      </c>
      <c r="S17" s="24">
        <f t="shared" si="1"/>
        <v>0</v>
      </c>
      <c r="T17" s="24">
        <f t="shared" si="1"/>
        <v>1.8723102525177143E-2</v>
      </c>
      <c r="U17" s="24">
        <f t="shared" si="1"/>
        <v>0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x14ac:dyDescent="0.25"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</row>
    <row r="19" spans="1:63" x14ac:dyDescent="0.25">
      <c r="A19" s="18">
        <f>A17+1</f>
        <v>5</v>
      </c>
      <c r="B19" s="18"/>
      <c r="C19" s="18" t="s">
        <v>166</v>
      </c>
      <c r="D19" s="8">
        <f>SUM(F19:U19)</f>
        <v>134741.34843719404</v>
      </c>
      <c r="F19" s="20">
        <v>67627.198657881527</v>
      </c>
      <c r="G19" s="20">
        <v>39672.929149550771</v>
      </c>
      <c r="H19" s="20">
        <v>16223.457788576558</v>
      </c>
      <c r="I19" s="20"/>
      <c r="J19" s="20"/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2784.0671386517029</v>
      </c>
      <c r="R19" s="20">
        <v>528.65575481518988</v>
      </c>
      <c r="S19" s="20">
        <v>0</v>
      </c>
      <c r="T19" s="126">
        <v>7905.0399477182982</v>
      </c>
      <c r="U19" s="126">
        <v>0</v>
      </c>
    </row>
    <row r="20" spans="1:63" x14ac:dyDescent="0.25">
      <c r="A20" s="18">
        <f>A19+1</f>
        <v>6</v>
      </c>
      <c r="B20" s="18" t="s">
        <v>448</v>
      </c>
      <c r="D20" s="24">
        <f>SUM(F20:U20)</f>
        <v>1</v>
      </c>
      <c r="E20" s="17"/>
      <c r="F20" s="24">
        <f>IFERROR(F19/$D19,0)</f>
        <v>0.50190382864844252</v>
      </c>
      <c r="G20" s="24">
        <f>IFERROR(G19/$D19,0)</f>
        <v>0.29443767343654875</v>
      </c>
      <c r="H20" s="24">
        <f>IFERROR(H19/$D19,0)</f>
        <v>0.12040444879575088</v>
      </c>
      <c r="I20" s="24"/>
      <c r="J20" s="24"/>
      <c r="K20" s="24">
        <f t="shared" ref="K20:U20" si="2">IFERROR(K19/$D19,0)</f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  <c r="O20" s="24">
        <f t="shared" si="2"/>
        <v>0</v>
      </c>
      <c r="P20" s="24">
        <f t="shared" si="2"/>
        <v>0</v>
      </c>
      <c r="Q20" s="24">
        <f t="shared" si="2"/>
        <v>2.066230723488283E-2</v>
      </c>
      <c r="R20" s="24">
        <f t="shared" si="2"/>
        <v>3.9234857075933762E-3</v>
      </c>
      <c r="S20" s="24">
        <f t="shared" si="2"/>
        <v>0</v>
      </c>
      <c r="T20" s="24">
        <f t="shared" si="2"/>
        <v>5.8668256176781654E-2</v>
      </c>
      <c r="U20" s="24">
        <f t="shared" si="2"/>
        <v>0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1:63" x14ac:dyDescent="0.25"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</row>
    <row r="22" spans="1:63" x14ac:dyDescent="0.25">
      <c r="A22" s="18">
        <f>A20+1</f>
        <v>7</v>
      </c>
      <c r="B22" s="18"/>
      <c r="C22" s="18" t="s">
        <v>166</v>
      </c>
      <c r="D22" s="8">
        <f>SUM(F22:U22)</f>
        <v>40</v>
      </c>
      <c r="F22" s="20">
        <v>24.313161785059602</v>
      </c>
      <c r="G22" s="20">
        <v>13.130387107797617</v>
      </c>
      <c r="H22" s="20">
        <v>2.5483558840871257</v>
      </c>
      <c r="I22" s="20"/>
      <c r="J22" s="20"/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8.0952230556559871E-3</v>
      </c>
      <c r="S22" s="20">
        <v>0</v>
      </c>
      <c r="T22" s="126">
        <v>0</v>
      </c>
      <c r="U22" s="126">
        <v>0</v>
      </c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</row>
    <row r="23" spans="1:63" x14ac:dyDescent="0.25">
      <c r="A23" s="18">
        <f>A22+1</f>
        <v>8</v>
      </c>
      <c r="B23" s="18" t="s">
        <v>459</v>
      </c>
      <c r="D23" s="24">
        <f>SUM(F23:U23)</f>
        <v>1</v>
      </c>
      <c r="E23" s="17"/>
      <c r="F23" s="24">
        <f>IFERROR(F22/$D22,0)</f>
        <v>0.60782904462649001</v>
      </c>
      <c r="G23" s="24">
        <f>IFERROR(G22/$D22,0)</f>
        <v>0.32825967769494041</v>
      </c>
      <c r="H23" s="24">
        <f>IFERROR(H22/$D22,0)</f>
        <v>6.3708897102178141E-2</v>
      </c>
      <c r="I23" s="24"/>
      <c r="J23" s="24"/>
      <c r="K23" s="24">
        <f t="shared" ref="K23:U23" si="3">IFERROR(K22/$D22,0)</f>
        <v>0</v>
      </c>
      <c r="L23" s="24">
        <f t="shared" si="3"/>
        <v>0</v>
      </c>
      <c r="M23" s="24">
        <f t="shared" si="3"/>
        <v>0</v>
      </c>
      <c r="N23" s="24">
        <f t="shared" si="3"/>
        <v>0</v>
      </c>
      <c r="O23" s="24">
        <f t="shared" si="3"/>
        <v>0</v>
      </c>
      <c r="P23" s="24">
        <f t="shared" si="3"/>
        <v>0</v>
      </c>
      <c r="Q23" s="24">
        <f t="shared" si="3"/>
        <v>0</v>
      </c>
      <c r="R23" s="24">
        <f t="shared" si="3"/>
        <v>2.0238057639139967E-4</v>
      </c>
      <c r="S23" s="24">
        <f t="shared" si="3"/>
        <v>0</v>
      </c>
      <c r="T23" s="24">
        <f t="shared" si="3"/>
        <v>0</v>
      </c>
      <c r="U23" s="24">
        <f t="shared" si="3"/>
        <v>0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x14ac:dyDescent="0.25"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</row>
    <row r="25" spans="1:63" x14ac:dyDescent="0.25">
      <c r="A25" s="18">
        <f>A23+1</f>
        <v>9</v>
      </c>
      <c r="B25" s="18"/>
      <c r="C25" s="18" t="s">
        <v>166</v>
      </c>
      <c r="D25" s="8">
        <f>SUM(F25:U25)</f>
        <v>86998.79874952884</v>
      </c>
      <c r="E25" s="20"/>
      <c r="F25" s="20">
        <v>52910.69456769291</v>
      </c>
      <c r="G25" s="20">
        <v>27929.033201655038</v>
      </c>
      <c r="H25" s="20">
        <v>5472.4031358535995</v>
      </c>
      <c r="I25" s="20"/>
      <c r="J25" s="20"/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15.514294820610441</v>
      </c>
      <c r="S25" s="20">
        <v>0</v>
      </c>
      <c r="T25" s="126">
        <v>671.1535495066762</v>
      </c>
      <c r="U25" s="126">
        <v>0</v>
      </c>
    </row>
    <row r="26" spans="1:63" x14ac:dyDescent="0.25">
      <c r="A26" s="18">
        <f>A25+1</f>
        <v>10</v>
      </c>
      <c r="B26" s="18" t="s">
        <v>455</v>
      </c>
      <c r="D26" s="24">
        <f>SUM(F26:U26)</f>
        <v>0.99999999999999989</v>
      </c>
      <c r="E26" s="17"/>
      <c r="F26" s="24">
        <f>IFERROR(F25/$D25,0)</f>
        <v>0.60817730047082352</v>
      </c>
      <c r="G26" s="24">
        <f>IFERROR(G25/$D25,0)</f>
        <v>0.32102780271786563</v>
      </c>
      <c r="H26" s="24">
        <f>IFERROR(H25/$D25,0)</f>
        <v>6.2902053988225168E-2</v>
      </c>
      <c r="I26" s="24"/>
      <c r="J26" s="24"/>
      <c r="K26" s="24">
        <f t="shared" ref="K26:U26" si="4">IFERROR(K25/$D25,0)</f>
        <v>0</v>
      </c>
      <c r="L26" s="24">
        <f t="shared" si="4"/>
        <v>0</v>
      </c>
      <c r="M26" s="24">
        <f t="shared" si="4"/>
        <v>0</v>
      </c>
      <c r="N26" s="24">
        <f t="shared" si="4"/>
        <v>0</v>
      </c>
      <c r="O26" s="24">
        <f t="shared" si="4"/>
        <v>0</v>
      </c>
      <c r="P26" s="24">
        <f t="shared" si="4"/>
        <v>0</v>
      </c>
      <c r="Q26" s="24">
        <f t="shared" si="4"/>
        <v>0</v>
      </c>
      <c r="R26" s="24">
        <f t="shared" si="4"/>
        <v>1.7832769007853068E-4</v>
      </c>
      <c r="S26" s="24">
        <f t="shared" si="4"/>
        <v>0</v>
      </c>
      <c r="T26" s="24">
        <f t="shared" si="4"/>
        <v>7.7145151330070636E-3</v>
      </c>
      <c r="U26" s="24">
        <f t="shared" si="4"/>
        <v>0</v>
      </c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63" x14ac:dyDescent="0.25"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</row>
    <row r="28" spans="1:63" x14ac:dyDescent="0.25">
      <c r="A28" s="18">
        <f>A26+1</f>
        <v>11</v>
      </c>
      <c r="B28" s="18"/>
      <c r="C28" s="18" t="s">
        <v>166</v>
      </c>
      <c r="D28" s="8">
        <f>SUM(F28:U28)</f>
        <v>19844.451207569742</v>
      </c>
      <c r="F28" s="20">
        <v>12068.94476474474</v>
      </c>
      <c r="G28" s="20">
        <v>6370.6205673080085</v>
      </c>
      <c r="H28" s="20">
        <v>1248.2567412252522</v>
      </c>
      <c r="I28" s="20"/>
      <c r="J28" s="20"/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3.5388151447220206</v>
      </c>
      <c r="S28" s="20">
        <v>0</v>
      </c>
      <c r="T28" s="126">
        <v>153.09031914701706</v>
      </c>
      <c r="U28" s="126">
        <v>0</v>
      </c>
    </row>
    <row r="29" spans="1:63" x14ac:dyDescent="0.25">
      <c r="A29" s="18">
        <f>A28+1</f>
        <v>12</v>
      </c>
      <c r="B29" s="18" t="s">
        <v>458</v>
      </c>
      <c r="D29" s="24">
        <f>SUM(F29:U29)</f>
        <v>0.99999999999999978</v>
      </c>
      <c r="E29" s="17"/>
      <c r="F29" s="24">
        <f>IFERROR(F28/$D28,0)</f>
        <v>0.60817730047082352</v>
      </c>
      <c r="G29" s="24">
        <f>IFERROR(G28/$D28,0)</f>
        <v>0.32102780271786557</v>
      </c>
      <c r="H29" s="24">
        <f>IFERROR(H28/$D28,0)</f>
        <v>6.2902053988225182E-2</v>
      </c>
      <c r="I29" s="24"/>
      <c r="J29" s="24"/>
      <c r="K29" s="24">
        <f t="shared" ref="K29:U29" si="5">IFERROR(K28/$D28,0)</f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4">
        <f t="shared" si="5"/>
        <v>0</v>
      </c>
      <c r="Q29" s="24">
        <f t="shared" si="5"/>
        <v>0</v>
      </c>
      <c r="R29" s="24">
        <f t="shared" si="5"/>
        <v>1.7832769007853066E-4</v>
      </c>
      <c r="S29" s="24">
        <f t="shared" si="5"/>
        <v>0</v>
      </c>
      <c r="T29" s="24">
        <f t="shared" si="5"/>
        <v>7.7145151330070627E-3</v>
      </c>
      <c r="U29" s="24">
        <f t="shared" si="5"/>
        <v>0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22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1:63" x14ac:dyDescent="0.25"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</row>
    <row r="31" spans="1:63" x14ac:dyDescent="0.25">
      <c r="A31" s="18">
        <f>A29+1</f>
        <v>13</v>
      </c>
      <c r="B31" s="18"/>
      <c r="C31" s="18" t="s">
        <v>166</v>
      </c>
      <c r="D31" s="8">
        <f>SUM(F31:U31)</f>
        <v>1814.0992835209827</v>
      </c>
      <c r="F31" s="20">
        <v>1103.2940050378465</v>
      </c>
      <c r="G31" s="20">
        <v>582.37630690079538</v>
      </c>
      <c r="H31" s="20">
        <v>114.11057107203747</v>
      </c>
      <c r="I31" s="20"/>
      <c r="J31" s="20"/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0.32350413480341439</v>
      </c>
      <c r="S31" s="20">
        <v>0</v>
      </c>
      <c r="T31" s="126">
        <v>13.994896375499895</v>
      </c>
      <c r="U31" s="126">
        <v>0</v>
      </c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</row>
    <row r="32" spans="1:63" x14ac:dyDescent="0.25">
      <c r="A32" s="18">
        <f>A31+1</f>
        <v>14</v>
      </c>
      <c r="B32" s="18" t="s">
        <v>456</v>
      </c>
      <c r="D32" s="24">
        <f>SUM(F32:U32)</f>
        <v>1</v>
      </c>
      <c r="E32" s="17"/>
      <c r="F32" s="24">
        <f>IFERROR(F31/$D31,0)</f>
        <v>0.60817730047082363</v>
      </c>
      <c r="G32" s="24">
        <f>IFERROR(G31/$D31,0)</f>
        <v>0.32102780271786563</v>
      </c>
      <c r="H32" s="24">
        <f>IFERROR(H31/$D31,0)</f>
        <v>6.2902053988225182E-2</v>
      </c>
      <c r="I32" s="24"/>
      <c r="J32" s="24"/>
      <c r="K32" s="24">
        <f t="shared" ref="K32:U32" si="6">IFERROR(K31/$D31,0)</f>
        <v>0</v>
      </c>
      <c r="L32" s="24">
        <f t="shared" si="6"/>
        <v>0</v>
      </c>
      <c r="M32" s="24">
        <f t="shared" si="6"/>
        <v>0</v>
      </c>
      <c r="N32" s="24">
        <f t="shared" si="6"/>
        <v>0</v>
      </c>
      <c r="O32" s="24">
        <f t="shared" si="6"/>
        <v>0</v>
      </c>
      <c r="P32" s="24">
        <f t="shared" si="6"/>
        <v>0</v>
      </c>
      <c r="Q32" s="24">
        <f t="shared" si="6"/>
        <v>0</v>
      </c>
      <c r="R32" s="24">
        <f t="shared" si="6"/>
        <v>1.7832769007853068E-4</v>
      </c>
      <c r="S32" s="24">
        <f t="shared" si="6"/>
        <v>0</v>
      </c>
      <c r="T32" s="24">
        <f t="shared" si="6"/>
        <v>7.7145151330070653E-3</v>
      </c>
      <c r="U32" s="24">
        <f t="shared" si="6"/>
        <v>0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5"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</row>
    <row r="34" spans="1:63" x14ac:dyDescent="0.25">
      <c r="A34" s="18">
        <f>A32+1</f>
        <v>15</v>
      </c>
      <c r="B34" s="18"/>
      <c r="C34" s="18" t="s">
        <v>166</v>
      </c>
      <c r="D34" s="8">
        <f>SUM(F34:U34)</f>
        <v>133955.89576996167</v>
      </c>
      <c r="F34" s="20">
        <v>85372.99096715801</v>
      </c>
      <c r="G34" s="20">
        <v>42695.854991368607</v>
      </c>
      <c r="H34" s="20">
        <v>4646.6996537307177</v>
      </c>
      <c r="I34" s="20"/>
      <c r="J34" s="20"/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0.67050294727612458</v>
      </c>
      <c r="R34" s="20">
        <v>0</v>
      </c>
      <c r="S34" s="20">
        <v>0</v>
      </c>
      <c r="T34" s="126">
        <v>1239.6796547570423</v>
      </c>
      <c r="U34" s="126">
        <v>0</v>
      </c>
    </row>
    <row r="35" spans="1:63" x14ac:dyDescent="0.25">
      <c r="A35" s="18">
        <f>A34+1</f>
        <v>16</v>
      </c>
      <c r="B35" s="18" t="s">
        <v>446</v>
      </c>
      <c r="D35" s="24">
        <f>SUM(F35:U35)</f>
        <v>0.99999999999999978</v>
      </c>
      <c r="E35" s="17"/>
      <c r="F35" s="24">
        <f>IFERROR(F34/$D34,0)</f>
        <v>0.63732163841273859</v>
      </c>
      <c r="G35" s="24">
        <f>IFERROR(G34/$D34,0)</f>
        <v>0.31873068927618448</v>
      </c>
      <c r="H35" s="24">
        <f>IFERROR(H34/$D34,0)</f>
        <v>3.4688280250914465E-2</v>
      </c>
      <c r="I35" s="24"/>
      <c r="J35" s="24"/>
      <c r="K35" s="24">
        <f t="shared" ref="K35:U35" si="7">IFERROR(K34/$D34,0)</f>
        <v>0</v>
      </c>
      <c r="L35" s="24">
        <f t="shared" si="7"/>
        <v>0</v>
      </c>
      <c r="M35" s="24">
        <f t="shared" si="7"/>
        <v>0</v>
      </c>
      <c r="N35" s="24">
        <f t="shared" si="7"/>
        <v>0</v>
      </c>
      <c r="O35" s="24">
        <f t="shared" si="7"/>
        <v>0</v>
      </c>
      <c r="P35" s="24">
        <f t="shared" si="7"/>
        <v>0</v>
      </c>
      <c r="Q35" s="24">
        <f t="shared" si="7"/>
        <v>5.0054007957033753E-6</v>
      </c>
      <c r="R35" s="24">
        <f t="shared" si="7"/>
        <v>0</v>
      </c>
      <c r="S35" s="24">
        <f t="shared" si="7"/>
        <v>0</v>
      </c>
      <c r="T35" s="24">
        <f t="shared" si="7"/>
        <v>9.2543866593666462E-3</v>
      </c>
      <c r="U35" s="24">
        <f t="shared" si="7"/>
        <v>0</v>
      </c>
    </row>
    <row r="36" spans="1:63" x14ac:dyDescent="0.25"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</row>
    <row r="37" spans="1:63" x14ac:dyDescent="0.25">
      <c r="A37" s="18">
        <f>A35+1</f>
        <v>17</v>
      </c>
      <c r="B37" s="127"/>
      <c r="C37" s="18" t="s">
        <v>166</v>
      </c>
      <c r="D37" s="8">
        <f>SUM(F37:U37)</f>
        <v>3108.1340518037982</v>
      </c>
      <c r="E37" s="62"/>
      <c r="F37" s="20">
        <v>1980.8705442454652</v>
      </c>
      <c r="G37" s="20">
        <v>990.65243651019318</v>
      </c>
      <c r="H37" s="20">
        <v>107.82830736409814</v>
      </c>
      <c r="I37" s="20"/>
      <c r="J37" s="20"/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1.555925781202072E-2</v>
      </c>
      <c r="R37" s="20">
        <v>0</v>
      </c>
      <c r="S37" s="20">
        <v>0</v>
      </c>
      <c r="T37" s="126">
        <v>28.767204426229505</v>
      </c>
      <c r="U37" s="126">
        <v>0</v>
      </c>
    </row>
    <row r="38" spans="1:63" x14ac:dyDescent="0.25">
      <c r="A38" s="18">
        <f>A37+1</f>
        <v>18</v>
      </c>
      <c r="B38" s="18" t="s">
        <v>447</v>
      </c>
      <c r="D38" s="24">
        <f>SUM(F38:U38)</f>
        <v>0.99999999999999989</v>
      </c>
      <c r="E38" s="17"/>
      <c r="F38" s="24">
        <f>IFERROR(F37/$D37,0)</f>
        <v>0.63731824664894088</v>
      </c>
      <c r="G38" s="24">
        <f>IFERROR(G37/$D37,0)</f>
        <v>0.31872899302244395</v>
      </c>
      <c r="H38" s="24">
        <f>IFERROR(H37/$D37,0)</f>
        <v>3.4692296267440664E-2</v>
      </c>
      <c r="I38" s="24"/>
      <c r="J38" s="24"/>
      <c r="K38" s="24">
        <f t="shared" ref="K38:U38" si="8">IFERROR(K37/$D37,0)</f>
        <v>0</v>
      </c>
      <c r="L38" s="24">
        <f t="shared" si="8"/>
        <v>0</v>
      </c>
      <c r="M38" s="24">
        <f t="shared" si="8"/>
        <v>0</v>
      </c>
      <c r="N38" s="24">
        <f t="shared" si="8"/>
        <v>0</v>
      </c>
      <c r="O38" s="24">
        <f t="shared" si="8"/>
        <v>0</v>
      </c>
      <c r="P38" s="24">
        <f t="shared" si="8"/>
        <v>0</v>
      </c>
      <c r="Q38" s="24">
        <f t="shared" si="8"/>
        <v>5.0059802932215681E-6</v>
      </c>
      <c r="R38" s="24">
        <f t="shared" si="8"/>
        <v>0</v>
      </c>
      <c r="S38" s="24">
        <f t="shared" si="8"/>
        <v>0</v>
      </c>
      <c r="T38" s="24">
        <f t="shared" si="8"/>
        <v>9.2554580808812039E-3</v>
      </c>
      <c r="U38" s="24">
        <f t="shared" si="8"/>
        <v>0</v>
      </c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5"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</row>
    <row r="40" spans="1:63" x14ac:dyDescent="0.25">
      <c r="A40" s="18">
        <f>A38+1</f>
        <v>19</v>
      </c>
      <c r="B40" s="18"/>
      <c r="C40" s="18" t="s">
        <v>166</v>
      </c>
      <c r="D40" s="8">
        <f>SUM(F40:U40)</f>
        <v>239777.78864070203</v>
      </c>
      <c r="F40" s="20">
        <v>153437.97540828181</v>
      </c>
      <c r="G40" s="20">
        <v>78966.494003489381</v>
      </c>
      <c r="H40" s="20">
        <v>4278.8253599671343</v>
      </c>
      <c r="I40" s="20"/>
      <c r="J40" s="20"/>
      <c r="K40" s="20">
        <v>0</v>
      </c>
      <c r="L40" s="20">
        <v>0</v>
      </c>
      <c r="M40" s="20">
        <v>309.74707559825572</v>
      </c>
      <c r="N40" s="20">
        <v>16.697903932026108</v>
      </c>
      <c r="O40" s="20">
        <v>1355.4743248740658</v>
      </c>
      <c r="P40" s="20">
        <v>9.689401586155693</v>
      </c>
      <c r="Q40" s="20">
        <v>511.96372861946895</v>
      </c>
      <c r="R40" s="20">
        <v>59.325905194159844</v>
      </c>
      <c r="S40" s="20">
        <v>0</v>
      </c>
      <c r="T40" s="126">
        <v>831.59552915957954</v>
      </c>
      <c r="U40" s="126">
        <v>0</v>
      </c>
    </row>
    <row r="41" spans="1:63" x14ac:dyDescent="0.25">
      <c r="A41" s="18">
        <f>A40+1</f>
        <v>20</v>
      </c>
      <c r="B41" s="18" t="s">
        <v>453</v>
      </c>
      <c r="D41" s="24">
        <f>SUM(F41:U41)</f>
        <v>1</v>
      </c>
      <c r="E41" s="17"/>
      <c r="F41" s="24">
        <f>IFERROR(F40/$D40,0)</f>
        <v>0.63991738466736314</v>
      </c>
      <c r="G41" s="24">
        <f>IFERROR(G40/$D40,0)</f>
        <v>0.32933198046053253</v>
      </c>
      <c r="H41" s="24">
        <f>IFERROR(H40/$D40,0)</f>
        <v>1.7844961304480093E-2</v>
      </c>
      <c r="I41" s="24"/>
      <c r="J41" s="24"/>
      <c r="K41" s="24">
        <f t="shared" ref="K41:U41" si="9">IFERROR(K40/$D40,0)</f>
        <v>0</v>
      </c>
      <c r="L41" s="24">
        <f t="shared" si="9"/>
        <v>0</v>
      </c>
      <c r="M41" s="24">
        <f t="shared" si="9"/>
        <v>1.2918088758521334E-3</v>
      </c>
      <c r="N41" s="24">
        <f t="shared" si="9"/>
        <v>6.9639077191788133E-5</v>
      </c>
      <c r="O41" s="24">
        <f t="shared" si="9"/>
        <v>5.65304373085696E-3</v>
      </c>
      <c r="P41" s="24">
        <f t="shared" si="9"/>
        <v>4.0409921373805375E-5</v>
      </c>
      <c r="Q41" s="24">
        <f t="shared" si="9"/>
        <v>2.1351591051105541E-3</v>
      </c>
      <c r="R41" s="24">
        <f t="shared" si="9"/>
        <v>2.474203533633279E-4</v>
      </c>
      <c r="S41" s="24">
        <f t="shared" si="9"/>
        <v>0</v>
      </c>
      <c r="T41" s="24">
        <f t="shared" si="9"/>
        <v>3.4681925038757199E-3</v>
      </c>
      <c r="U41" s="24">
        <f t="shared" si="9"/>
        <v>0</v>
      </c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5"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</row>
    <row r="43" spans="1:63" x14ac:dyDescent="0.25">
      <c r="A43" s="18">
        <f>A41+1</f>
        <v>21</v>
      </c>
      <c r="B43" s="18"/>
      <c r="C43" s="18" t="s">
        <v>166</v>
      </c>
      <c r="D43" s="8">
        <f>SUM(F43:U43)</f>
        <v>0</v>
      </c>
      <c r="F43" s="20">
        <v>0</v>
      </c>
      <c r="G43" s="20">
        <v>0</v>
      </c>
      <c r="H43" s="20">
        <v>0</v>
      </c>
      <c r="I43" s="20"/>
      <c r="J43" s="20"/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126">
        <v>0</v>
      </c>
      <c r="U43" s="126">
        <v>0</v>
      </c>
    </row>
    <row r="44" spans="1:63" x14ac:dyDescent="0.25">
      <c r="A44" s="18">
        <f>A43+1</f>
        <v>22</v>
      </c>
      <c r="B44" s="18" t="s">
        <v>460</v>
      </c>
      <c r="D44" s="24">
        <f>SUM(F44:U44)</f>
        <v>0</v>
      </c>
      <c r="E44" s="17"/>
      <c r="F44" s="24">
        <f>IFERROR(F43/$D43,0)</f>
        <v>0</v>
      </c>
      <c r="G44" s="24">
        <f>IFERROR(G43/$D43,0)</f>
        <v>0</v>
      </c>
      <c r="H44" s="24">
        <f>IFERROR(H43/$D43,0)</f>
        <v>0</v>
      </c>
      <c r="I44" s="24"/>
      <c r="J44" s="24"/>
      <c r="K44" s="24">
        <f t="shared" ref="K44:U44" si="10">IFERROR(K43/$D43,0)</f>
        <v>0</v>
      </c>
      <c r="L44" s="24">
        <f t="shared" si="10"/>
        <v>0</v>
      </c>
      <c r="M44" s="24">
        <f t="shared" si="10"/>
        <v>0</v>
      </c>
      <c r="N44" s="24">
        <f t="shared" si="10"/>
        <v>0</v>
      </c>
      <c r="O44" s="24">
        <f t="shared" si="10"/>
        <v>0</v>
      </c>
      <c r="P44" s="24">
        <f t="shared" si="10"/>
        <v>0</v>
      </c>
      <c r="Q44" s="24">
        <f t="shared" si="10"/>
        <v>0</v>
      </c>
      <c r="R44" s="24">
        <f t="shared" si="10"/>
        <v>0</v>
      </c>
      <c r="S44" s="24">
        <f t="shared" si="10"/>
        <v>0</v>
      </c>
      <c r="T44" s="24">
        <f t="shared" si="10"/>
        <v>0</v>
      </c>
      <c r="U44" s="24">
        <f t="shared" si="10"/>
        <v>0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22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1:63" x14ac:dyDescent="0.25"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</row>
    <row r="46" spans="1:63" x14ac:dyDescent="0.25">
      <c r="A46" s="18">
        <f>A44+1</f>
        <v>23</v>
      </c>
      <c r="B46" s="18"/>
      <c r="C46" s="18" t="s">
        <v>166</v>
      </c>
      <c r="D46" s="8">
        <f>SUM(F46:U46)</f>
        <v>43.742533750577195</v>
      </c>
      <c r="F46" s="20">
        <v>26.603217344383108</v>
      </c>
      <c r="G46" s="20">
        <v>14.042570156238234</v>
      </c>
      <c r="H46" s="20">
        <v>2.7514935196774761</v>
      </c>
      <c r="I46" s="20"/>
      <c r="J46" s="20"/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7.8005001827441125E-3</v>
      </c>
      <c r="S46" s="20">
        <v>0</v>
      </c>
      <c r="T46" s="126">
        <v>0.33745223009563724</v>
      </c>
      <c r="U46" s="126">
        <v>0</v>
      </c>
    </row>
    <row r="47" spans="1:63" x14ac:dyDescent="0.25">
      <c r="A47" s="18">
        <f>A46+1</f>
        <v>24</v>
      </c>
      <c r="B47" s="18" t="s">
        <v>457</v>
      </c>
      <c r="D47" s="24">
        <f>SUM(F47:U47)</f>
        <v>1.0000000000000002</v>
      </c>
      <c r="E47" s="17"/>
      <c r="F47" s="24">
        <f>IFERROR(F46/$D46,0)</f>
        <v>0.60817732909749589</v>
      </c>
      <c r="G47" s="24">
        <f>IFERROR(G46/$D46,0)</f>
        <v>0.32102781782852119</v>
      </c>
      <c r="H47" s="24">
        <f>IFERROR(H46/$D46,0)</f>
        <v>6.2902015127122568E-2</v>
      </c>
      <c r="I47" s="24"/>
      <c r="J47" s="24"/>
      <c r="K47" s="24">
        <f t="shared" ref="K47:U47" si="11">IFERROR(K46/$D46,0)</f>
        <v>0</v>
      </c>
      <c r="L47" s="24">
        <f t="shared" si="11"/>
        <v>0</v>
      </c>
      <c r="M47" s="24">
        <f t="shared" si="11"/>
        <v>0</v>
      </c>
      <c r="N47" s="24">
        <f t="shared" si="11"/>
        <v>0</v>
      </c>
      <c r="O47" s="24">
        <f t="shared" si="11"/>
        <v>0</v>
      </c>
      <c r="P47" s="24">
        <f t="shared" si="11"/>
        <v>0</v>
      </c>
      <c r="Q47" s="24">
        <f t="shared" si="11"/>
        <v>0</v>
      </c>
      <c r="R47" s="24">
        <f t="shared" si="11"/>
        <v>1.7832757990707802E-4</v>
      </c>
      <c r="S47" s="24">
        <f t="shared" si="11"/>
        <v>0</v>
      </c>
      <c r="T47" s="24">
        <f t="shared" si="11"/>
        <v>7.7145103669534112E-3</v>
      </c>
      <c r="U47" s="24">
        <f t="shared" si="11"/>
        <v>0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</row>
    <row r="48" spans="1:63" x14ac:dyDescent="0.25"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</row>
    <row r="49" spans="1:63" x14ac:dyDescent="0.25">
      <c r="A49" s="18">
        <f>A47+1</f>
        <v>25</v>
      </c>
      <c r="B49" s="18"/>
      <c r="C49" s="18" t="s">
        <v>166</v>
      </c>
      <c r="D49" s="8">
        <f>SUM(F49:U49)</f>
        <v>0</v>
      </c>
      <c r="F49" s="20">
        <v>0</v>
      </c>
      <c r="G49" s="20">
        <v>0</v>
      </c>
      <c r="H49" s="20">
        <v>0</v>
      </c>
      <c r="I49" s="20"/>
      <c r="J49" s="20"/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126">
        <v>0</v>
      </c>
      <c r="U49" s="126">
        <v>0</v>
      </c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</row>
    <row r="50" spans="1:63" x14ac:dyDescent="0.25">
      <c r="A50" s="18">
        <f>A49+1</f>
        <v>26</v>
      </c>
      <c r="B50" s="18" t="s">
        <v>461</v>
      </c>
      <c r="D50" s="24">
        <f>SUM(F50:U50)</f>
        <v>0</v>
      </c>
      <c r="E50" s="17"/>
      <c r="F50" s="24">
        <f>IFERROR(F49/$D49,0)</f>
        <v>0</v>
      </c>
      <c r="G50" s="24">
        <f>IFERROR(G49/$D49,0)</f>
        <v>0</v>
      </c>
      <c r="H50" s="24">
        <f>IFERROR(H49/$D49,0)</f>
        <v>0</v>
      </c>
      <c r="I50" s="24"/>
      <c r="J50" s="24"/>
      <c r="K50" s="24">
        <f t="shared" ref="K50:U50" si="12">IFERROR(K49/$D49,0)</f>
        <v>0</v>
      </c>
      <c r="L50" s="24">
        <f t="shared" si="12"/>
        <v>0</v>
      </c>
      <c r="M50" s="24">
        <f t="shared" si="12"/>
        <v>0</v>
      </c>
      <c r="N50" s="24">
        <f t="shared" si="12"/>
        <v>0</v>
      </c>
      <c r="O50" s="24">
        <f t="shared" si="12"/>
        <v>0</v>
      </c>
      <c r="P50" s="24">
        <f t="shared" si="12"/>
        <v>0</v>
      </c>
      <c r="Q50" s="24">
        <f t="shared" si="12"/>
        <v>0</v>
      </c>
      <c r="R50" s="24">
        <f t="shared" si="12"/>
        <v>0</v>
      </c>
      <c r="S50" s="24">
        <f t="shared" si="12"/>
        <v>0</v>
      </c>
      <c r="T50" s="24">
        <f t="shared" si="12"/>
        <v>0</v>
      </c>
      <c r="U50" s="24">
        <f t="shared" si="12"/>
        <v>0</v>
      </c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</row>
    <row r="51" spans="1:63" x14ac:dyDescent="0.25"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</row>
    <row r="52" spans="1:63" x14ac:dyDescent="0.25">
      <c r="A52" s="18">
        <f>A50+1</f>
        <v>27</v>
      </c>
      <c r="B52" s="18"/>
      <c r="C52" s="18" t="s">
        <v>166</v>
      </c>
      <c r="D52" s="8">
        <f>SUM(F52:U52)</f>
        <v>130834.25265674767</v>
      </c>
      <c r="F52" s="20">
        <v>81658.343674356045</v>
      </c>
      <c r="G52" s="20">
        <v>41271.157108018684</v>
      </c>
      <c r="H52" s="20">
        <v>5411.9260506936644</v>
      </c>
      <c r="I52" s="20"/>
      <c r="J52" s="20"/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604.49194035111009</v>
      </c>
      <c r="R52" s="20">
        <v>0</v>
      </c>
      <c r="S52" s="20">
        <v>0</v>
      </c>
      <c r="T52" s="126">
        <v>1888.3338833281539</v>
      </c>
      <c r="U52" s="126">
        <v>0</v>
      </c>
    </row>
    <row r="53" spans="1:63" x14ac:dyDescent="0.25">
      <c r="A53" s="18">
        <f>A52+1</f>
        <v>28</v>
      </c>
      <c r="B53" s="18" t="s">
        <v>452</v>
      </c>
      <c r="D53" s="24">
        <f>SUM(F53:U53)</f>
        <v>0.99999999999999978</v>
      </c>
      <c r="E53" s="17"/>
      <c r="F53" s="24">
        <f>IFERROR(F52/$D52,0)</f>
        <v>0.62413582082814445</v>
      </c>
      <c r="G53" s="24">
        <f>IFERROR(G52/$D52,0)</f>
        <v>0.31544611804598521</v>
      </c>
      <c r="H53" s="24">
        <f>IFERROR(H52/$D52,0)</f>
        <v>4.1364749221231928E-2</v>
      </c>
      <c r="I53" s="24"/>
      <c r="J53" s="24"/>
      <c r="K53" s="24">
        <f t="shared" ref="K53:U53" si="13">IFERROR(K52/$D52,0)</f>
        <v>0</v>
      </c>
      <c r="L53" s="24">
        <f t="shared" si="13"/>
        <v>0</v>
      </c>
      <c r="M53" s="24">
        <f t="shared" si="13"/>
        <v>0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4">
        <f t="shared" si="13"/>
        <v>4.6202880979267311E-3</v>
      </c>
      <c r="R53" s="24">
        <f t="shared" si="13"/>
        <v>0</v>
      </c>
      <c r="S53" s="24">
        <f t="shared" si="13"/>
        <v>0</v>
      </c>
      <c r="T53" s="24">
        <f t="shared" si="13"/>
        <v>1.4433023806711557E-2</v>
      </c>
      <c r="U53" s="24">
        <f t="shared" si="13"/>
        <v>0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</row>
    <row r="54" spans="1:63" x14ac:dyDescent="0.25">
      <c r="B54" s="18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</row>
    <row r="55" spans="1:63" x14ac:dyDescent="0.25">
      <c r="A55" s="18">
        <f>A53+1</f>
        <v>29</v>
      </c>
      <c r="B55" s="18"/>
      <c r="C55" s="18" t="s">
        <v>166</v>
      </c>
      <c r="D55" s="8">
        <f>SUM(F55:U55)</f>
        <v>4369.1178015748528</v>
      </c>
      <c r="F55" s="20">
        <v>2276.7604650816315</v>
      </c>
      <c r="G55" s="20">
        <v>1335.6424399394361</v>
      </c>
      <c r="H55" s="20">
        <v>551.4958362043983</v>
      </c>
      <c r="I55" s="20"/>
      <c r="J55" s="20"/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119.84864051360293</v>
      </c>
      <c r="R55" s="20">
        <v>18.610681865719364</v>
      </c>
      <c r="S55" s="20">
        <v>0</v>
      </c>
      <c r="T55" s="126">
        <v>66.759737970065714</v>
      </c>
      <c r="U55" s="126">
        <v>0</v>
      </c>
      <c r="AN55" s="61"/>
      <c r="AP55" s="61"/>
      <c r="AR55" s="61"/>
      <c r="AT55" s="61"/>
      <c r="AV55" s="61"/>
      <c r="AW55" s="61"/>
      <c r="AY55" s="61"/>
      <c r="BA55" s="61"/>
      <c r="BB55" s="61"/>
      <c r="BC55" s="61"/>
      <c r="BD55" s="61"/>
      <c r="BE55" s="61"/>
    </row>
    <row r="56" spans="1:63" x14ac:dyDescent="0.25">
      <c r="A56" s="18">
        <f>A55+1</f>
        <v>30</v>
      </c>
      <c r="B56" s="18" t="s">
        <v>454</v>
      </c>
      <c r="D56" s="24">
        <f>SUM(F56:U56)</f>
        <v>1.0000000000000002</v>
      </c>
      <c r="E56" s="17"/>
      <c r="F56" s="24">
        <f>IFERROR(F55/$D55,0)</f>
        <v>0.52110301632539435</v>
      </c>
      <c r="G56" s="24">
        <f>IFERROR(G55/$D55,0)</f>
        <v>0.3057007159335467</v>
      </c>
      <c r="H56" s="24">
        <f>IFERROR(H55/$D55,0)</f>
        <v>0.126225902173114</v>
      </c>
      <c r="I56" s="24"/>
      <c r="J56" s="24"/>
      <c r="K56" s="24">
        <f t="shared" ref="K56:U56" si="14">IFERROR(K55/$D55,0)</f>
        <v>0</v>
      </c>
      <c r="L56" s="24">
        <f t="shared" si="14"/>
        <v>0</v>
      </c>
      <c r="M56" s="24">
        <f t="shared" si="14"/>
        <v>0</v>
      </c>
      <c r="N56" s="24">
        <f t="shared" si="14"/>
        <v>0</v>
      </c>
      <c r="O56" s="24">
        <f t="shared" si="14"/>
        <v>0</v>
      </c>
      <c r="P56" s="24">
        <f t="shared" si="14"/>
        <v>0</v>
      </c>
      <c r="Q56" s="24">
        <f t="shared" si="14"/>
        <v>2.7430855828699186E-2</v>
      </c>
      <c r="R56" s="24">
        <f t="shared" si="14"/>
        <v>4.2595971797810359E-3</v>
      </c>
      <c r="S56" s="24">
        <f t="shared" si="14"/>
        <v>0</v>
      </c>
      <c r="T56" s="24">
        <f t="shared" si="14"/>
        <v>1.5279912559465002E-2</v>
      </c>
      <c r="U56" s="24">
        <f t="shared" si="14"/>
        <v>0</v>
      </c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  <row r="57" spans="1:63" x14ac:dyDescent="0.25"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</row>
    <row r="58" spans="1:63" x14ac:dyDescent="0.25">
      <c r="A58" s="18">
        <f>A56+1</f>
        <v>31</v>
      </c>
      <c r="B58" s="18"/>
      <c r="C58" s="18" t="s">
        <v>166</v>
      </c>
      <c r="D58" s="8">
        <f>SUM(F58:U58)</f>
        <v>8505481.5608242601</v>
      </c>
      <c r="F58" s="20">
        <v>5901525.9448622093</v>
      </c>
      <c r="G58" s="20">
        <v>2329905.5418720506</v>
      </c>
      <c r="H58" s="20">
        <v>123204.69500000001</v>
      </c>
      <c r="I58" s="20"/>
      <c r="J58" s="20"/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6148.2716</v>
      </c>
      <c r="R58" s="20">
        <v>4391.50749</v>
      </c>
      <c r="S58" s="20">
        <v>0</v>
      </c>
      <c r="T58" s="126">
        <v>140305.60000000001</v>
      </c>
      <c r="U58" s="126">
        <v>0</v>
      </c>
    </row>
    <row r="59" spans="1:63" x14ac:dyDescent="0.25">
      <c r="A59" s="18">
        <f>A58+1</f>
        <v>32</v>
      </c>
      <c r="B59" s="18" t="s">
        <v>445</v>
      </c>
      <c r="D59" s="24">
        <f>SUM(F59:U59)</f>
        <v>1</v>
      </c>
      <c r="E59" s="17"/>
      <c r="F59" s="24">
        <f>IFERROR(F58/$D58,0)</f>
        <v>0.69384971358285996</v>
      </c>
      <c r="G59" s="24">
        <f>IFERROR(G58/$D58,0)</f>
        <v>0.27392987983225503</v>
      </c>
      <c r="H59" s="24">
        <f>IFERROR(H58/$D58,0)</f>
        <v>1.4485328563578748E-2</v>
      </c>
      <c r="I59" s="24"/>
      <c r="J59" s="24"/>
      <c r="K59" s="24">
        <f t="shared" ref="K59:U59" si="15">IFERROR(K58/$D58,0)</f>
        <v>0</v>
      </c>
      <c r="L59" s="24">
        <f t="shared" si="15"/>
        <v>0</v>
      </c>
      <c r="M59" s="24">
        <f t="shared" si="15"/>
        <v>0</v>
      </c>
      <c r="N59" s="24">
        <f t="shared" si="15"/>
        <v>0</v>
      </c>
      <c r="O59" s="24">
        <f t="shared" si="15"/>
        <v>0</v>
      </c>
      <c r="P59" s="24">
        <f t="shared" si="15"/>
        <v>0</v>
      </c>
      <c r="Q59" s="24">
        <f t="shared" si="15"/>
        <v>7.2285990581868662E-4</v>
      </c>
      <c r="R59" s="24">
        <f t="shared" si="15"/>
        <v>5.1631497389013469E-4</v>
      </c>
      <c r="S59" s="24">
        <f t="shared" si="15"/>
        <v>0</v>
      </c>
      <c r="T59" s="24">
        <f t="shared" si="15"/>
        <v>1.6495903141597438E-2</v>
      </c>
      <c r="U59" s="24">
        <f t="shared" si="15"/>
        <v>0</v>
      </c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22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</row>
    <row r="60" spans="1:63" x14ac:dyDescent="0.25"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</row>
    <row r="61" spans="1:63" x14ac:dyDescent="0.25">
      <c r="A61" s="18">
        <f>A59+1</f>
        <v>33</v>
      </c>
      <c r="B61" s="18"/>
      <c r="C61" s="18" t="s">
        <v>166</v>
      </c>
      <c r="D61" s="8">
        <f>SUM(F61:U61)</f>
        <v>134741.29659908419</v>
      </c>
      <c r="F61" s="20">
        <v>68004.370417142622</v>
      </c>
      <c r="G61" s="20">
        <v>39894.193800154972</v>
      </c>
      <c r="H61" s="20">
        <v>15842.786488827143</v>
      </c>
      <c r="I61" s="20"/>
      <c r="J61" s="20"/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2633.7412586095279</v>
      </c>
      <c r="R61" s="20">
        <v>505.91435434019371</v>
      </c>
      <c r="S61" s="20">
        <v>0</v>
      </c>
      <c r="T61" s="126">
        <v>7860.290280009729</v>
      </c>
      <c r="U61" s="126">
        <v>0</v>
      </c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</row>
    <row r="62" spans="1:63" x14ac:dyDescent="0.25">
      <c r="A62" s="18">
        <f>A61+1</f>
        <v>34</v>
      </c>
      <c r="B62" s="18" t="s">
        <v>449</v>
      </c>
      <c r="D62" s="24">
        <f>SUM(F62:U62)</f>
        <v>0.99999999999999989</v>
      </c>
      <c r="E62" s="17"/>
      <c r="F62" s="24">
        <f>IFERROR(F61/$D61,0)</f>
        <v>0.50470325084881829</v>
      </c>
      <c r="G62" s="24">
        <f>IFERROR(G61/$D61,0)</f>
        <v>0.29607993100183749</v>
      </c>
      <c r="H62" s="24">
        <f>IFERROR(H61/$D61,0)</f>
        <v>0.11757929371843986</v>
      </c>
      <c r="I62" s="24"/>
      <c r="J62" s="24"/>
      <c r="K62" s="24">
        <f t="shared" ref="K62:U62" si="16">IFERROR(K61/$D61,0)</f>
        <v>0</v>
      </c>
      <c r="L62" s="24">
        <f t="shared" si="16"/>
        <v>0</v>
      </c>
      <c r="M62" s="24">
        <f t="shared" si="16"/>
        <v>0</v>
      </c>
      <c r="N62" s="24">
        <f t="shared" si="16"/>
        <v>0</v>
      </c>
      <c r="O62" s="24">
        <f t="shared" si="16"/>
        <v>0</v>
      </c>
      <c r="P62" s="24">
        <f t="shared" si="16"/>
        <v>0</v>
      </c>
      <c r="Q62" s="24">
        <f t="shared" si="16"/>
        <v>1.9546652177810712E-2</v>
      </c>
      <c r="R62" s="24">
        <f t="shared" si="16"/>
        <v>3.7547089653257224E-3</v>
      </c>
      <c r="S62" s="24">
        <f t="shared" si="16"/>
        <v>0</v>
      </c>
      <c r="T62" s="24">
        <f t="shared" si="16"/>
        <v>5.8336163287767813E-2</v>
      </c>
      <c r="U62" s="24">
        <f t="shared" si="16"/>
        <v>0</v>
      </c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</row>
    <row r="63" spans="1:63" x14ac:dyDescent="0.25">
      <c r="B63" s="18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</row>
    <row r="64" spans="1:63" x14ac:dyDescent="0.25">
      <c r="A64" s="18">
        <f>A62+1</f>
        <v>35</v>
      </c>
      <c r="B64" s="18"/>
      <c r="C64" s="18" t="s">
        <v>166</v>
      </c>
      <c r="D64" s="8">
        <f>SUM(F64:U64)</f>
        <v>12420.753502534657</v>
      </c>
      <c r="F64" s="20">
        <v>6473.1376630432196</v>
      </c>
      <c r="G64" s="20">
        <v>3797.4119433863757</v>
      </c>
      <c r="H64" s="20">
        <v>1566.933934887566</v>
      </c>
      <c r="I64" s="20"/>
      <c r="J64" s="20"/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340.69441087535773</v>
      </c>
      <c r="R64" s="20">
        <v>52.881272043680141</v>
      </c>
      <c r="S64" s="20">
        <v>0</v>
      </c>
      <c r="T64" s="126">
        <v>189.6942782984587</v>
      </c>
      <c r="U64" s="126">
        <v>0</v>
      </c>
    </row>
    <row r="65" spans="1:63" x14ac:dyDescent="0.25">
      <c r="A65" s="18">
        <f>A64+1</f>
        <v>36</v>
      </c>
      <c r="B65" s="18" t="s">
        <v>450</v>
      </c>
      <c r="D65" s="24">
        <f>SUM(F65:U65)</f>
        <v>1</v>
      </c>
      <c r="E65" s="17"/>
      <c r="F65" s="24">
        <f>IFERROR(F64/$D64,0)</f>
        <v>0.52115498964875762</v>
      </c>
      <c r="G65" s="24">
        <f>IFERROR(G64/$D64,0)</f>
        <v>0.30573120564798684</v>
      </c>
      <c r="H65" s="24">
        <f>IFERROR(H64/$D64,0)</f>
        <v>0.12615449896560685</v>
      </c>
      <c r="I65" s="24"/>
      <c r="J65" s="24"/>
      <c r="K65" s="24">
        <f t="shared" ref="K65:U65" si="17">IFERROR(K64/$D64,0)</f>
        <v>0</v>
      </c>
      <c r="L65" s="24">
        <f t="shared" si="17"/>
        <v>0</v>
      </c>
      <c r="M65" s="24">
        <f t="shared" si="17"/>
        <v>0</v>
      </c>
      <c r="N65" s="24">
        <f t="shared" si="17"/>
        <v>0</v>
      </c>
      <c r="O65" s="24">
        <f t="shared" si="17"/>
        <v>0</v>
      </c>
      <c r="P65" s="24">
        <f t="shared" si="17"/>
        <v>0</v>
      </c>
      <c r="Q65" s="24">
        <f t="shared" si="17"/>
        <v>2.7429447883804595E-2</v>
      </c>
      <c r="R65" s="24">
        <f t="shared" si="17"/>
        <v>4.2574930766389376E-3</v>
      </c>
      <c r="S65" s="24">
        <f t="shared" si="17"/>
        <v>0</v>
      </c>
      <c r="T65" s="24">
        <f t="shared" si="17"/>
        <v>1.5272364777205222E-2</v>
      </c>
      <c r="U65" s="24">
        <f t="shared" si="17"/>
        <v>0</v>
      </c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</row>
    <row r="66" spans="1:63" x14ac:dyDescent="0.25"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</row>
    <row r="67" spans="1:63" x14ac:dyDescent="0.25">
      <c r="A67" s="18">
        <f>A65+1</f>
        <v>37</v>
      </c>
      <c r="C67" s="18" t="s">
        <v>166</v>
      </c>
      <c r="D67" s="8">
        <f>SUM(F67:U67)</f>
        <v>217.67933779870373</v>
      </c>
      <c r="F67" s="20">
        <v>113.44645831052749</v>
      </c>
      <c r="G67" s="20">
        <v>66.552413705465355</v>
      </c>
      <c r="H67" s="20">
        <v>27.459163581936576</v>
      </c>
      <c r="I67" s="20"/>
      <c r="J67" s="20"/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5.9703752331595048</v>
      </c>
      <c r="R67" s="20">
        <v>0.9266986095878843</v>
      </c>
      <c r="S67" s="20">
        <v>0</v>
      </c>
      <c r="T67" s="126">
        <v>3.3242283580269483</v>
      </c>
      <c r="U67" s="126">
        <v>0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66"/>
    </row>
    <row r="68" spans="1:63" x14ac:dyDescent="0.25">
      <c r="A68" s="18">
        <f>A67+1</f>
        <v>38</v>
      </c>
      <c r="B68" s="18" t="s">
        <v>463</v>
      </c>
      <c r="D68" s="24">
        <f>SUM(F68:U68)</f>
        <v>1.0000000000000002</v>
      </c>
      <c r="E68" s="17"/>
      <c r="F68" s="24">
        <f>IFERROR(F67/$D67,0)</f>
        <v>0.52116319103945319</v>
      </c>
      <c r="G68" s="24">
        <f>IFERROR(G67/$D67,0)</f>
        <v>0.30573601692508307</v>
      </c>
      <c r="H68" s="24">
        <f>IFERROR(H67/$D67,0)</f>
        <v>0.12614501614907106</v>
      </c>
      <c r="I68" s="24"/>
      <c r="J68" s="24"/>
      <c r="K68" s="24">
        <f t="shared" ref="K68:U68" si="18">IFERROR(K67/$D67,0)</f>
        <v>0</v>
      </c>
      <c r="L68" s="24">
        <f t="shared" si="18"/>
        <v>0</v>
      </c>
      <c r="M68" s="24">
        <f t="shared" si="18"/>
        <v>0</v>
      </c>
      <c r="N68" s="24">
        <f t="shared" si="18"/>
        <v>0</v>
      </c>
      <c r="O68" s="24">
        <f t="shared" si="18"/>
        <v>0</v>
      </c>
      <c r="P68" s="24">
        <f t="shared" si="18"/>
        <v>0</v>
      </c>
      <c r="Q68" s="24">
        <f t="shared" si="18"/>
        <v>2.7427386051130563E-2</v>
      </c>
      <c r="R68" s="24">
        <f t="shared" si="18"/>
        <v>4.257173046184279E-3</v>
      </c>
      <c r="S68" s="24">
        <f t="shared" si="18"/>
        <v>0</v>
      </c>
      <c r="T68" s="24">
        <f t="shared" si="18"/>
        <v>1.5271216789078012E-2</v>
      </c>
      <c r="U68" s="24">
        <f t="shared" si="18"/>
        <v>0</v>
      </c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</row>
    <row r="69" spans="1:63" x14ac:dyDescent="0.25"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</row>
    <row r="70" spans="1:63" x14ac:dyDescent="0.25">
      <c r="U70" s="18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</row>
    <row r="71" spans="1:63" x14ac:dyDescent="0.25">
      <c r="U71" s="18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</row>
    <row r="72" spans="1:63" x14ac:dyDescent="0.25">
      <c r="U72" s="18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</row>
    <row r="73" spans="1:63" x14ac:dyDescent="0.25">
      <c r="U73" s="18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</row>
    <row r="74" spans="1:63" x14ac:dyDescent="0.25">
      <c r="U74" s="18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</row>
    <row r="75" spans="1:63" x14ac:dyDescent="0.25">
      <c r="U75" s="18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</row>
    <row r="76" spans="1:63" x14ac:dyDescent="0.25">
      <c r="U76" s="18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</row>
    <row r="77" spans="1:63" x14ac:dyDescent="0.25">
      <c r="U77" s="18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</row>
    <row r="78" spans="1:63" x14ac:dyDescent="0.25">
      <c r="U78" s="18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</row>
    <row r="79" spans="1:63" x14ac:dyDescent="0.25">
      <c r="U79" s="18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</row>
    <row r="80" spans="1:63" x14ac:dyDescent="0.25">
      <c r="U80" s="18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</row>
    <row r="81" spans="21:63" x14ac:dyDescent="0.25">
      <c r="U81" s="18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</row>
    <row r="82" spans="21:63" x14ac:dyDescent="0.25">
      <c r="U82" s="18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</row>
    <row r="83" spans="21:63" x14ac:dyDescent="0.25">
      <c r="U83" s="18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</row>
    <row r="84" spans="21:63" x14ac:dyDescent="0.25">
      <c r="U84" s="18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</row>
    <row r="85" spans="21:63" x14ac:dyDescent="0.25">
      <c r="U85" s="18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</row>
    <row r="86" spans="21:63" x14ac:dyDescent="0.25">
      <c r="U86" s="18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</row>
    <row r="87" spans="21:63" x14ac:dyDescent="0.25">
      <c r="U87" s="18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</row>
    <row r="88" spans="21:63" x14ac:dyDescent="0.25">
      <c r="U88" s="18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</row>
    <row r="89" spans="21:63" x14ac:dyDescent="0.25">
      <c r="U89" s="18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</row>
    <row r="90" spans="21:63" x14ac:dyDescent="0.25">
      <c r="U90" s="18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</row>
    <row r="91" spans="21:63" x14ac:dyDescent="0.25">
      <c r="U91" s="18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</row>
    <row r="92" spans="21:63" x14ac:dyDescent="0.25">
      <c r="U92" s="18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</row>
    <row r="93" spans="21:63" x14ac:dyDescent="0.25">
      <c r="U93" s="18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</row>
    <row r="94" spans="21:63" x14ac:dyDescent="0.25">
      <c r="U94" s="18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</row>
    <row r="95" spans="21:63" x14ac:dyDescent="0.25">
      <c r="U95" s="18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</row>
    <row r="96" spans="21:63" x14ac:dyDescent="0.25">
      <c r="U96" s="18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</row>
    <row r="97" spans="21:63" x14ac:dyDescent="0.25">
      <c r="U97" s="18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</row>
    <row r="98" spans="21:63" x14ac:dyDescent="0.25">
      <c r="U98" s="18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</row>
    <row r="99" spans="21:63" x14ac:dyDescent="0.25">
      <c r="U99" s="18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</row>
    <row r="100" spans="21:63" x14ac:dyDescent="0.25">
      <c r="U100" s="18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</row>
    <row r="101" spans="21:63" x14ac:dyDescent="0.25">
      <c r="U101" s="18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</row>
    <row r="102" spans="21:63" x14ac:dyDescent="0.25">
      <c r="U102" s="18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</row>
    <row r="103" spans="21:63" x14ac:dyDescent="0.25">
      <c r="U103" s="18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</row>
    <row r="104" spans="21:63" x14ac:dyDescent="0.25">
      <c r="U104" s="18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</row>
    <row r="105" spans="21:63" x14ac:dyDescent="0.25">
      <c r="U105" s="18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</row>
    <row r="106" spans="21:63" x14ac:dyDescent="0.25">
      <c r="U106" s="18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</row>
    <row r="107" spans="21:63" x14ac:dyDescent="0.25">
      <c r="U107" s="18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</row>
    <row r="108" spans="21:63" x14ac:dyDescent="0.25">
      <c r="U108" s="18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</row>
    <row r="109" spans="21:63" x14ac:dyDescent="0.25">
      <c r="U109" s="18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</row>
    <row r="110" spans="21:63" x14ac:dyDescent="0.25">
      <c r="U110" s="18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</row>
    <row r="111" spans="21:63" x14ac:dyDescent="0.25">
      <c r="U111" s="18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</row>
    <row r="112" spans="21:63" x14ac:dyDescent="0.25">
      <c r="U112" s="18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</row>
    <row r="113" spans="1:63" x14ac:dyDescent="0.25">
      <c r="U113" s="18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</row>
    <row r="114" spans="1:63" x14ac:dyDescent="0.25">
      <c r="U114" s="18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</row>
    <row r="115" spans="1:63" x14ac:dyDescent="0.25">
      <c r="U115" s="18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</row>
    <row r="116" spans="1:63" x14ac:dyDescent="0.25">
      <c r="U116" s="18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</row>
    <row r="117" spans="1:63" x14ac:dyDescent="0.25">
      <c r="U117" s="18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</row>
    <row r="118" spans="1:63" x14ac:dyDescent="0.25">
      <c r="I118" s="1" t="s">
        <v>185</v>
      </c>
    </row>
    <row r="121" spans="1:63" x14ac:dyDescent="0.25">
      <c r="A121" s="54"/>
    </row>
    <row r="122" spans="1:63" x14ac:dyDescent="0.25">
      <c r="A122" s="54"/>
    </row>
    <row r="124" spans="1:63" x14ac:dyDescent="0.25">
      <c r="A124" s="54"/>
    </row>
    <row r="125" spans="1:63" x14ac:dyDescent="0.25">
      <c r="A125" s="54"/>
    </row>
    <row r="127" spans="1:63" x14ac:dyDescent="0.25">
      <c r="A127" s="54"/>
    </row>
    <row r="128" spans="1:63" x14ac:dyDescent="0.25">
      <c r="A128" s="54"/>
    </row>
    <row r="130" spans="1:17" x14ac:dyDescent="0.25">
      <c r="A130" s="54"/>
    </row>
    <row r="131" spans="1:17" x14ac:dyDescent="0.25">
      <c r="A131" s="54"/>
    </row>
    <row r="132" spans="1:17" x14ac:dyDescent="0.25">
      <c r="B132" s="18"/>
      <c r="D132" s="17"/>
    </row>
    <row r="133" spans="1:17" x14ac:dyDescent="0.25">
      <c r="A133" s="54"/>
    </row>
    <row r="134" spans="1:17" x14ac:dyDescent="0.25">
      <c r="A134" s="54"/>
    </row>
    <row r="135" spans="1:17" x14ac:dyDescent="0.25">
      <c r="B135" s="120"/>
      <c r="D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</row>
    <row r="136" spans="1:17" x14ac:dyDescent="0.25">
      <c r="A136" s="54"/>
    </row>
    <row r="137" spans="1:17" x14ac:dyDescent="0.25">
      <c r="A137" s="54"/>
    </row>
    <row r="138" spans="1:17" x14ac:dyDescent="0.25">
      <c r="B138" s="120"/>
      <c r="D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</row>
    <row r="139" spans="1:17" x14ac:dyDescent="0.25">
      <c r="A139" s="54"/>
    </row>
    <row r="140" spans="1:17" x14ac:dyDescent="0.25">
      <c r="A140" s="54"/>
    </row>
    <row r="141" spans="1:17" x14ac:dyDescent="0.25">
      <c r="B141" s="120"/>
      <c r="D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</row>
    <row r="142" spans="1:17" x14ac:dyDescent="0.25">
      <c r="A142" s="54"/>
    </row>
    <row r="143" spans="1:17" x14ac:dyDescent="0.25">
      <c r="A143" s="54"/>
    </row>
    <row r="145" spans="1:1" x14ac:dyDescent="0.25">
      <c r="A145" s="54"/>
    </row>
    <row r="146" spans="1:1" x14ac:dyDescent="0.25">
      <c r="A146" s="54"/>
    </row>
    <row r="148" spans="1:1" x14ac:dyDescent="0.25">
      <c r="A148" s="54"/>
    </row>
    <row r="149" spans="1:1" x14ac:dyDescent="0.25">
      <c r="A149" s="54"/>
    </row>
    <row r="151" spans="1:1" x14ac:dyDescent="0.25">
      <c r="A151" s="54"/>
    </row>
    <row r="152" spans="1:1" x14ac:dyDescent="0.25">
      <c r="A152" s="54"/>
    </row>
    <row r="154" spans="1:1" x14ac:dyDescent="0.25">
      <c r="A154" s="54"/>
    </row>
    <row r="155" spans="1:1" x14ac:dyDescent="0.25">
      <c r="A155" s="54"/>
    </row>
    <row r="157" spans="1:1" x14ac:dyDescent="0.25">
      <c r="A157" s="54"/>
    </row>
    <row r="158" spans="1:1" x14ac:dyDescent="0.25">
      <c r="A158" s="54"/>
    </row>
    <row r="160" spans="1:1" x14ac:dyDescent="0.25">
      <c r="A160" s="54"/>
    </row>
    <row r="161" spans="1:21" x14ac:dyDescent="0.25">
      <c r="A161" s="54"/>
    </row>
    <row r="163" spans="1:21" x14ac:dyDescent="0.25">
      <c r="A163" s="54"/>
    </row>
    <row r="164" spans="1:21" x14ac:dyDescent="0.25">
      <c r="A164" s="54"/>
    </row>
    <row r="166" spans="1:21" x14ac:dyDescent="0.25">
      <c r="A166" s="54"/>
    </row>
    <row r="167" spans="1:21" x14ac:dyDescent="0.25">
      <c r="A167" s="54"/>
    </row>
    <row r="169" spans="1:21" x14ac:dyDescent="0.25">
      <c r="A169" s="54"/>
    </row>
    <row r="170" spans="1:21" x14ac:dyDescent="0.25">
      <c r="A170" s="54"/>
    </row>
    <row r="172" spans="1:21" x14ac:dyDescent="0.25">
      <c r="A172" s="54"/>
    </row>
    <row r="173" spans="1:21" x14ac:dyDescent="0.25">
      <c r="A173" s="54"/>
    </row>
    <row r="175" spans="1:21" x14ac:dyDescent="0.25">
      <c r="A175" s="54"/>
      <c r="S175" s="39"/>
      <c r="T175" s="39"/>
      <c r="U175" s="39"/>
    </row>
    <row r="176" spans="1:21" x14ac:dyDescent="0.25">
      <c r="A176" s="54"/>
    </row>
    <row r="178" spans="1:18" x14ac:dyDescent="0.25">
      <c r="A178" s="54"/>
    </row>
    <row r="179" spans="1:18" x14ac:dyDescent="0.25">
      <c r="A179" s="54"/>
    </row>
    <row r="180" spans="1:18" x14ac:dyDescent="0.25"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8" x14ac:dyDescent="0.25">
      <c r="A181" s="54"/>
    </row>
    <row r="182" spans="1:18" x14ac:dyDescent="0.25">
      <c r="A182" s="54"/>
    </row>
    <row r="183" spans="1:18" x14ac:dyDescent="0.25"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8" x14ac:dyDescent="0.25">
      <c r="A184" s="54"/>
    </row>
    <row r="185" spans="1:18" x14ac:dyDescent="0.25">
      <c r="A185" s="54"/>
    </row>
    <row r="187" spans="1:18" x14ac:dyDescent="0.25">
      <c r="A187" s="54"/>
      <c r="R187" s="8"/>
    </row>
    <row r="188" spans="1:18" x14ac:dyDescent="0.25">
      <c r="A188" s="54"/>
      <c r="R188" s="36"/>
    </row>
    <row r="190" spans="1:18" x14ac:dyDescent="0.25">
      <c r="A190" s="54"/>
    </row>
    <row r="191" spans="1:18" x14ac:dyDescent="0.25">
      <c r="A191" s="54"/>
    </row>
    <row r="193" spans="1:1" x14ac:dyDescent="0.25">
      <c r="A193" s="54"/>
    </row>
    <row r="194" spans="1:1" x14ac:dyDescent="0.25">
      <c r="A194" s="54"/>
    </row>
    <row r="196" spans="1:1" x14ac:dyDescent="0.25">
      <c r="A196" s="54"/>
    </row>
    <row r="197" spans="1:1" x14ac:dyDescent="0.25">
      <c r="A197" s="54"/>
    </row>
    <row r="199" spans="1:1" x14ac:dyDescent="0.25">
      <c r="A199" s="54"/>
    </row>
    <row r="200" spans="1:1" x14ac:dyDescent="0.25">
      <c r="A200" s="54"/>
    </row>
    <row r="202" spans="1:1" x14ac:dyDescent="0.25">
      <c r="A202" s="54"/>
    </row>
    <row r="203" spans="1:1" x14ac:dyDescent="0.25">
      <c r="A203" s="54"/>
    </row>
    <row r="205" spans="1:1" x14ac:dyDescent="0.25">
      <c r="A205" s="54"/>
    </row>
    <row r="206" spans="1:1" x14ac:dyDescent="0.25">
      <c r="A206" s="54"/>
    </row>
    <row r="208" spans="1:1" x14ac:dyDescent="0.25">
      <c r="A208" s="54"/>
    </row>
    <row r="209" spans="1:1" x14ac:dyDescent="0.25">
      <c r="A209" s="54"/>
    </row>
    <row r="211" spans="1:1" x14ac:dyDescent="0.25">
      <c r="A211" s="54"/>
    </row>
    <row r="212" spans="1:1" x14ac:dyDescent="0.25">
      <c r="A212" s="54"/>
    </row>
    <row r="214" spans="1:1" x14ac:dyDescent="0.25">
      <c r="A214" s="54"/>
    </row>
    <row r="215" spans="1:1" x14ac:dyDescent="0.25">
      <c r="A215" s="54"/>
    </row>
    <row r="217" spans="1:1" x14ac:dyDescent="0.25">
      <c r="A217" s="3"/>
    </row>
    <row r="218" spans="1:1" x14ac:dyDescent="0.25">
      <c r="A218" s="3"/>
    </row>
    <row r="220" spans="1:1" x14ac:dyDescent="0.25">
      <c r="A220" s="2"/>
    </row>
    <row r="221" spans="1:1" x14ac:dyDescent="0.25">
      <c r="A221" s="2"/>
    </row>
    <row r="223" spans="1:1" x14ac:dyDescent="0.25">
      <c r="A223" s="1"/>
    </row>
    <row r="224" spans="1:1" x14ac:dyDescent="0.25">
      <c r="A224" s="1"/>
    </row>
    <row r="226" spans="1:1" x14ac:dyDescent="0.25">
      <c r="A226" s="1"/>
    </row>
    <row r="227" spans="1:1" x14ac:dyDescent="0.25">
      <c r="A227" s="1"/>
    </row>
    <row r="229" spans="1:1" x14ac:dyDescent="0.25">
      <c r="A229" s="1"/>
    </row>
    <row r="230" spans="1:1" x14ac:dyDescent="0.25">
      <c r="A230" s="1"/>
    </row>
  </sheetData>
  <mergeCells count="7">
    <mergeCell ref="BC10:BK10"/>
    <mergeCell ref="B6:Q6"/>
    <mergeCell ref="B7:Q7"/>
    <mergeCell ref="W10:AG10"/>
    <mergeCell ref="AH10:AL10"/>
    <mergeCell ref="AN10:AV10"/>
    <mergeCell ref="AW10:BA10"/>
  </mergeCells>
  <pageMargins left="0.7" right="0.7" top="0.75" bottom="0.75" header="0.3" footer="0.3"/>
  <pageSetup scale="1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38FD-ED18-4893-AC3D-A237950B02BC}">
  <sheetPr>
    <tabColor theme="0" tint="-0.249977111117893"/>
  </sheetPr>
  <dimension ref="A6:AC43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1.453125" style="2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4" width="10.7265625" style="31" customWidth="1"/>
    <col min="15" max="16" width="11.54296875" style="31" customWidth="1"/>
    <col min="17" max="18" width="11.54296875" style="31" hidden="1" customWidth="1"/>
    <col min="19" max="19" width="11.54296875" style="31" customWidth="1"/>
    <col min="20" max="20" width="11.26953125" style="31" customWidth="1"/>
    <col min="21" max="29" width="10.7265625" style="31" customWidth="1"/>
    <col min="30" max="16384" width="9.1796875" style="31"/>
  </cols>
  <sheetData>
    <row r="6" spans="1:29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29" x14ac:dyDescent="0.25">
      <c r="B7" s="158" t="s">
        <v>472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29" x14ac:dyDescent="0.25">
      <c r="D9" s="2" t="s">
        <v>337</v>
      </c>
    </row>
    <row r="10" spans="1:29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29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29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4" spans="1:29" x14ac:dyDescent="0.25">
      <c r="B14" s="74" t="s">
        <v>348</v>
      </c>
    </row>
    <row r="15" spans="1:29" x14ac:dyDescent="0.25">
      <c r="A15" s="2">
        <v>1</v>
      </c>
      <c r="B15" s="31" t="s">
        <v>349</v>
      </c>
      <c r="D15" s="76">
        <f ca="1">'Total Allocation by Rate Zone'!R15</f>
        <v>603155.24906895147</v>
      </c>
      <c r="J15" s="76">
        <f ca="1">D15-F15</f>
        <v>603155.24906895147</v>
      </c>
      <c r="L15" s="2" t="s">
        <v>445</v>
      </c>
      <c r="N15" s="76">
        <f ca="1">IF($J15&lt;&gt;0,VLOOKUP($L15,'Allocation Factors - S'!$B$13:$U$214,5,FALSE)*$J15,0)+IF($F15&lt;&gt;0,VLOOKUP($H15,'Allocation Factors - S'!$B$13:$U$214,5,FALSE)*$F15,0)</f>
        <v>474942.25842753035</v>
      </c>
      <c r="O15" s="76">
        <f ca="1">IF($J15&lt;&gt;0,VLOOKUP($L15,'Allocation Factors - S'!$B$13:$U$214,6,FALSE)*$J15,0)+IF($F15&lt;&gt;0,VLOOKUP($H15,'Allocation Factors - S'!$B$13:$U$214,6,FALSE)*$F15,0)</f>
        <v>110666.5527466739</v>
      </c>
      <c r="P15" s="76">
        <f ca="1">IF($J15&lt;&gt;0,VLOOKUP($L15,'Allocation Factors - S'!$B$13:$U$214,7,FALSE)*$J15,0)+IF($F15&lt;&gt;0,VLOOKUP($H15,'Allocation Factors - S'!$B$13:$U$214,7,FALSE)*$F15,0)</f>
        <v>14465.690316270333</v>
      </c>
      <c r="Q15" s="76"/>
      <c r="R15" s="76"/>
      <c r="S15" s="76">
        <f ca="1">IF($J15&lt;&gt;0,VLOOKUP($L15,'Allocation Factors - S'!$B$13:$U$214,10,FALSE)*$J15,0)+IF($F15&lt;&gt;0,VLOOKUP($H15,'Allocation Factors - S'!$B$13:$U$214,10,FALSE)*$F15,0)</f>
        <v>0</v>
      </c>
      <c r="T15" s="76">
        <f ca="1">IF($J15&lt;&gt;0,VLOOKUP($L15,'Allocation Factors - S'!$B$13:$U$214,11,FALSE)*$J15,0)+IF($F15&lt;&gt;0,VLOOKUP($H15,'Allocation Factors - S'!$B$13:$U$214,11,FALSE)*$F15,0)</f>
        <v>0</v>
      </c>
      <c r="U15" s="76">
        <f ca="1">IF($J15&lt;&gt;0,VLOOKUP($L15,'Allocation Factors - S'!$B$13:$U$214,12,FALSE)*$J15,0)+IF($F15&lt;&gt;0,VLOOKUP($H15,'Allocation Factors - S'!$B$13:$U$214,12,FALSE)*$F15,0)</f>
        <v>0</v>
      </c>
      <c r="V15" s="76">
        <f ca="1">IF($J15&lt;&gt;0,VLOOKUP($L15,'Allocation Factors - S'!$B$13:$U$214,13,FALSE)*$J15,0)+IF($F15&lt;&gt;0,VLOOKUP($H15,'Allocation Factors - S'!$B$13:$U$214,13,FALSE)*$F15,0)</f>
        <v>0</v>
      </c>
      <c r="W15" s="76">
        <f ca="1">IF($J15&lt;&gt;0,VLOOKUP($L15,'Allocation Factors - S'!$B$13:$U$214,14,FALSE)*$J15,0)+IF($F15&lt;&gt;0,VLOOKUP($H15,'Allocation Factors - S'!$B$13:$U$214,14,FALSE)*$F15,0)</f>
        <v>0</v>
      </c>
      <c r="X15" s="76">
        <f ca="1">IF($J15&lt;&gt;0,VLOOKUP($L15,'Allocation Factors - S'!$B$13:$U$214,15,FALSE)*$J15,0)+IF($F15&lt;&gt;0,VLOOKUP($H15,'Allocation Factors - S'!$B$13:$U$214,15,FALSE)*$F15,0)</f>
        <v>0</v>
      </c>
      <c r="Y15" s="76">
        <f ca="1">IF($J15&lt;&gt;0,VLOOKUP($L15,'Allocation Factors - S'!$B$13:$U$214,16,FALSE)*$J15,0)+IF($F15&lt;&gt;0,VLOOKUP($H15,'Allocation Factors - S'!$B$13:$U$214,16,FALSE)*$F15,0)</f>
        <v>289.00655551560607</v>
      </c>
      <c r="Z15" s="76">
        <f ca="1">IF($J15&lt;&gt;0,VLOOKUP($L15,'Allocation Factors - S'!$B$13:$U$214,17,FALSE)*$J15,0)+IF($F15&lt;&gt;0,VLOOKUP($H15,'Allocation Factors - S'!$B$13:$U$214,17,FALSE)*$F15,0)</f>
        <v>337.75851228637254</v>
      </c>
      <c r="AA15" s="76">
        <f ca="1">IF($J15&lt;&gt;0,VLOOKUP($L15,'Allocation Factors - S'!$B$13:$U$214,18,FALSE)*$J15,0)+IF($F15&lt;&gt;0,VLOOKUP($H15,'Allocation Factors - S'!$B$13:$U$214,18,FALSE)*$F15,0)</f>
        <v>0</v>
      </c>
      <c r="AB15" s="76">
        <f ca="1">IF($J15&lt;&gt;0,VLOOKUP($L15,'Allocation Factors - S'!$B$13:$U$214,19,FALSE)*$J15,0)+IF($F15&lt;&gt;0,VLOOKUP($H15,'Allocation Factors - S'!$B$13:$U$214,19,FALSE)*$F15,0)</f>
        <v>2453.9825106748872</v>
      </c>
      <c r="AC15" s="76">
        <f ca="1">IF($J15&lt;&gt;0,VLOOKUP($L15,'Allocation Factors - S'!$B$13:$U$214,20,FALSE)*$J15,0)+IF($F15&lt;&gt;0,VLOOKUP($H15,'Allocation Factors - S'!$B$13:$U$214,20,FALSE)*$F15,0)</f>
        <v>0</v>
      </c>
    </row>
    <row r="16" spans="1:29" x14ac:dyDescent="0.25">
      <c r="A16" s="2">
        <f>A15+1</f>
        <v>2</v>
      </c>
      <c r="B16" s="31" t="s">
        <v>351</v>
      </c>
      <c r="D16" s="76">
        <f ca="1">'Total Allocation by Rate Zone'!R16</f>
        <v>0</v>
      </c>
      <c r="F16" s="48"/>
      <c r="J16" s="76">
        <f t="shared" ref="J16:J20" ca="1" si="0">D16-F16</f>
        <v>0</v>
      </c>
      <c r="L16" s="2" t="s">
        <v>446</v>
      </c>
      <c r="N16" s="76">
        <f ca="1">IF($J16&lt;&gt;0,VLOOKUP($L16,'Allocation Factors - S'!$B$13:$U$214,5,FALSE)*$J16,0)+IF($F16&lt;&gt;0,VLOOKUP($H16,'Allocation Factors - S'!$B$13:$U$214,5,FALSE)*$F16,0)</f>
        <v>0</v>
      </c>
      <c r="O16" s="76">
        <f ca="1">IF($J16&lt;&gt;0,VLOOKUP($L16,'Allocation Factors - S'!$B$13:$U$214,6,FALSE)*$J16,0)+IF($F16&lt;&gt;0,VLOOKUP($H16,'Allocation Factors - S'!$B$13:$U$214,6,FALSE)*$F16,0)</f>
        <v>0</v>
      </c>
      <c r="P16" s="76">
        <f ca="1">IF($J16&lt;&gt;0,VLOOKUP($L16,'Allocation Factors - S'!$B$13:$U$214,7,FALSE)*$J16,0)+IF($F16&lt;&gt;0,VLOOKUP($H16,'Allocation Factors - S'!$B$13:$U$214,7,FALSE)*$F16,0)</f>
        <v>0</v>
      </c>
      <c r="Q16" s="76"/>
      <c r="R16" s="76"/>
      <c r="S16" s="76">
        <f ca="1">IF($J16&lt;&gt;0,VLOOKUP($L16,'Allocation Factors - S'!$B$13:$U$214,10,FALSE)*$J16,0)+IF($F16&lt;&gt;0,VLOOKUP($H16,'Allocation Factors - S'!$B$13:$U$214,10,FALSE)*$F16,0)</f>
        <v>0</v>
      </c>
      <c r="T16" s="76">
        <f ca="1">IF($J16&lt;&gt;0,VLOOKUP($L16,'Allocation Factors - S'!$B$13:$U$214,11,FALSE)*$J16,0)+IF($F16&lt;&gt;0,VLOOKUP($H16,'Allocation Factors - S'!$B$13:$U$214,11,FALSE)*$F16,0)</f>
        <v>0</v>
      </c>
      <c r="U16" s="76">
        <f ca="1">IF($J16&lt;&gt;0,VLOOKUP($L16,'Allocation Factors - S'!$B$13:$U$214,12,FALSE)*$J16,0)+IF($F16&lt;&gt;0,VLOOKUP($H16,'Allocation Factors - S'!$B$13:$U$214,12,FALSE)*$F16,0)</f>
        <v>0</v>
      </c>
      <c r="V16" s="76">
        <f ca="1">IF($J16&lt;&gt;0,VLOOKUP($L16,'Allocation Factors - S'!$B$13:$U$214,13,FALSE)*$J16,0)+IF($F16&lt;&gt;0,VLOOKUP($H16,'Allocation Factors - S'!$B$13:$U$214,13,FALSE)*$F16,0)</f>
        <v>0</v>
      </c>
      <c r="W16" s="76">
        <f ca="1">IF($J16&lt;&gt;0,VLOOKUP($L16,'Allocation Factors - S'!$B$13:$U$214,14,FALSE)*$J16,0)+IF($F16&lt;&gt;0,VLOOKUP($H16,'Allocation Factors - S'!$B$13:$U$214,14,FALSE)*$F16,0)</f>
        <v>0</v>
      </c>
      <c r="X16" s="76">
        <f ca="1">IF($J16&lt;&gt;0,VLOOKUP($L16,'Allocation Factors - S'!$B$13:$U$214,15,FALSE)*$J16,0)+IF($F16&lt;&gt;0,VLOOKUP($H16,'Allocation Factors - S'!$B$13:$U$214,15,FALSE)*$F16,0)</f>
        <v>0</v>
      </c>
      <c r="Y16" s="76">
        <f ca="1">IF($J16&lt;&gt;0,VLOOKUP($L16,'Allocation Factors - S'!$B$13:$U$214,16,FALSE)*$J16,0)+IF($F16&lt;&gt;0,VLOOKUP($H16,'Allocation Factors - S'!$B$13:$U$214,16,FALSE)*$F16,0)</f>
        <v>0</v>
      </c>
      <c r="Z16" s="76">
        <f ca="1">IF($J16&lt;&gt;0,VLOOKUP($L16,'Allocation Factors - S'!$B$13:$U$214,17,FALSE)*$J16,0)+IF($F16&lt;&gt;0,VLOOKUP($H16,'Allocation Factors - S'!$B$13:$U$214,17,FALSE)*$F16,0)</f>
        <v>0</v>
      </c>
      <c r="AA16" s="76">
        <f ca="1">IF($J16&lt;&gt;0,VLOOKUP($L16,'Allocation Factors - S'!$B$13:$U$214,18,FALSE)*$J16,0)+IF($F16&lt;&gt;0,VLOOKUP($H16,'Allocation Factors - S'!$B$13:$U$214,18,FALSE)*$F16,0)</f>
        <v>0</v>
      </c>
      <c r="AB16" s="76">
        <f ca="1">IF($J16&lt;&gt;0,VLOOKUP($L16,'Allocation Factors - S'!$B$13:$U$214,19,FALSE)*$J16,0)+IF($F16&lt;&gt;0,VLOOKUP($H16,'Allocation Factors - S'!$B$13:$U$214,19,FALSE)*$F16,0)</f>
        <v>0</v>
      </c>
      <c r="AC16" s="76">
        <f ca="1">IF($J16&lt;&gt;0,VLOOKUP($L16,'Allocation Factors - S'!$B$13:$U$214,20,FALSE)*$J16,0)+IF($F16&lt;&gt;0,VLOOKUP($H16,'Allocation Factors - S'!$B$13:$U$214,20,FALSE)*$F16,0)</f>
        <v>0</v>
      </c>
    </row>
    <row r="17" spans="1:29" x14ac:dyDescent="0.25">
      <c r="A17" s="2">
        <f t="shared" ref="A17:A21" si="1">A16+1</f>
        <v>3</v>
      </c>
      <c r="B17" s="31" t="s">
        <v>353</v>
      </c>
      <c r="D17" s="76">
        <f ca="1">'Total Allocation by Rate Zone'!R17</f>
        <v>13768.650229689516</v>
      </c>
      <c r="J17" s="76">
        <f t="shared" ca="1" si="0"/>
        <v>13768.650229689516</v>
      </c>
      <c r="L17" s="2" t="s">
        <v>447</v>
      </c>
      <c r="N17" s="76">
        <f ca="1">IF($J17&lt;&gt;0,VLOOKUP($L17,'Allocation Factors - S'!$B$13:$U$214,5,FALSE)*$J17,0)+IF($F17&lt;&gt;0,VLOOKUP($H17,'Allocation Factors - S'!$B$13:$U$214,5,FALSE)*$F17,0)</f>
        <v>6865.4242309388801</v>
      </c>
      <c r="O17" s="76">
        <f ca="1">IF($J17&lt;&gt;0,VLOOKUP($L17,'Allocation Factors - S'!$B$13:$U$214,6,FALSE)*$J17,0)+IF($F17&lt;&gt;0,VLOOKUP($H17,'Allocation Factors - S'!$B$13:$U$214,6,FALSE)*$F17,0)</f>
        <v>2420.8872554106574</v>
      </c>
      <c r="P17" s="76">
        <f ca="1">IF($J17&lt;&gt;0,VLOOKUP($L17,'Allocation Factors - S'!$B$13:$U$214,7,FALSE)*$J17,0)+IF($F17&lt;&gt;0,VLOOKUP($H17,'Allocation Factors - S'!$B$13:$U$214,7,FALSE)*$F17,0)</f>
        <v>2041.9711283919169</v>
      </c>
      <c r="Q17" s="76"/>
      <c r="R17" s="76"/>
      <c r="S17" s="76">
        <f ca="1">IF($J17&lt;&gt;0,VLOOKUP($L17,'Allocation Factors - S'!$B$13:$U$214,10,FALSE)*$J17,0)+IF($F17&lt;&gt;0,VLOOKUP($H17,'Allocation Factors - S'!$B$13:$U$214,10,FALSE)*$F17,0)</f>
        <v>1683.4214558503199</v>
      </c>
      <c r="T17" s="76">
        <f ca="1">IF($J17&lt;&gt;0,VLOOKUP($L17,'Allocation Factors - S'!$B$13:$U$214,11,FALSE)*$J17,0)+IF($F17&lt;&gt;0,VLOOKUP($H17,'Allocation Factors - S'!$B$13:$U$214,11,FALSE)*$F17,0)</f>
        <v>0</v>
      </c>
      <c r="U17" s="76">
        <f ca="1">IF($J17&lt;&gt;0,VLOOKUP($L17,'Allocation Factors - S'!$B$13:$U$214,12,FALSE)*$J17,0)+IF($F17&lt;&gt;0,VLOOKUP($H17,'Allocation Factors - S'!$B$13:$U$214,12,FALSE)*$F17,0)</f>
        <v>0</v>
      </c>
      <c r="V17" s="76">
        <f ca="1">IF($J17&lt;&gt;0,VLOOKUP($L17,'Allocation Factors - S'!$B$13:$U$214,13,FALSE)*$J17,0)+IF($F17&lt;&gt;0,VLOOKUP($H17,'Allocation Factors - S'!$B$13:$U$214,13,FALSE)*$F17,0)</f>
        <v>0</v>
      </c>
      <c r="W17" s="76">
        <f ca="1">IF($J17&lt;&gt;0,VLOOKUP($L17,'Allocation Factors - S'!$B$13:$U$214,14,FALSE)*$J17,0)+IF($F17&lt;&gt;0,VLOOKUP($H17,'Allocation Factors - S'!$B$13:$U$214,14,FALSE)*$F17,0)</f>
        <v>0</v>
      </c>
      <c r="X17" s="76">
        <f ca="1">IF($J17&lt;&gt;0,VLOOKUP($L17,'Allocation Factors - S'!$B$13:$U$214,15,FALSE)*$J17,0)+IF($F17&lt;&gt;0,VLOOKUP($H17,'Allocation Factors - S'!$B$13:$U$214,15,FALSE)*$F17,0)</f>
        <v>0</v>
      </c>
      <c r="Y17" s="76">
        <f ca="1">IF($J17&lt;&gt;0,VLOOKUP($L17,'Allocation Factors - S'!$B$13:$U$214,16,FALSE)*$J17,0)+IF($F17&lt;&gt;0,VLOOKUP($H17,'Allocation Factors - S'!$B$13:$U$214,16,FALSE)*$F17,0)</f>
        <v>0.43259139324783175</v>
      </c>
      <c r="Z17" s="76">
        <f ca="1">IF($J17&lt;&gt;0,VLOOKUP($L17,'Allocation Factors - S'!$B$13:$U$214,17,FALSE)*$J17,0)+IF($F17&lt;&gt;0,VLOOKUP($H17,'Allocation Factors - S'!$B$13:$U$214,17,FALSE)*$F17,0)</f>
        <v>0</v>
      </c>
      <c r="AA17" s="76">
        <f ca="1">IF($J17&lt;&gt;0,VLOOKUP($L17,'Allocation Factors - S'!$B$13:$U$214,18,FALSE)*$J17,0)+IF($F17&lt;&gt;0,VLOOKUP($H17,'Allocation Factors - S'!$B$13:$U$214,18,FALSE)*$F17,0)</f>
        <v>251.62283408976094</v>
      </c>
      <c r="AB17" s="76">
        <f ca="1">IF($J17&lt;&gt;0,VLOOKUP($L17,'Allocation Factors - S'!$B$13:$U$214,19,FALSE)*$J17,0)+IF($F17&lt;&gt;0,VLOOKUP($H17,'Allocation Factors - S'!$B$13:$U$214,19,FALSE)*$F17,0)</f>
        <v>76.829879706185324</v>
      </c>
      <c r="AC17" s="76">
        <f ca="1">IF($J17&lt;&gt;0,VLOOKUP($L17,'Allocation Factors - S'!$B$13:$U$214,20,FALSE)*$J17,0)+IF($F17&lt;&gt;0,VLOOKUP($H17,'Allocation Factors - S'!$B$13:$U$214,20,FALSE)*$F17,0)</f>
        <v>428.06085390854588</v>
      </c>
    </row>
    <row r="18" spans="1:29" x14ac:dyDescent="0.25">
      <c r="A18" s="2">
        <f t="shared" si="1"/>
        <v>4</v>
      </c>
      <c r="B18" s="31" t="s">
        <v>355</v>
      </c>
      <c r="D18" s="76">
        <f ca="1">'Total Allocation by Rate Zone'!R18</f>
        <v>1143.5864065573767</v>
      </c>
      <c r="F18" s="48"/>
      <c r="H18" s="2" t="s">
        <v>448</v>
      </c>
      <c r="J18" s="76">
        <f t="shared" ca="1" si="0"/>
        <v>1143.5864065573767</v>
      </c>
      <c r="L18" s="2" t="s">
        <v>449</v>
      </c>
      <c r="N18" s="76">
        <f ca="1">IF($J18&lt;&gt;0,VLOOKUP($L18,'Allocation Factors - S'!$B$13:$U$214,5,FALSE)*$J18,0)+IF($F18&lt;&gt;0,VLOOKUP($H18,'Allocation Factors - S'!$B$13:$U$214,5,FALSE)*$F18,0)</f>
        <v>313.85137370994056</v>
      </c>
      <c r="O18" s="76">
        <f ca="1">IF($J18&lt;&gt;0,VLOOKUP($L18,'Allocation Factors - S'!$B$13:$U$214,6,FALSE)*$J18,0)+IF($F18&lt;&gt;0,VLOOKUP($H18,'Allocation Factors - S'!$B$13:$U$214,6,FALSE)*$F18,0)</f>
        <v>130.16939284509644</v>
      </c>
      <c r="P18" s="76">
        <f ca="1">IF($J18&lt;&gt;0,VLOOKUP($L18,'Allocation Factors - S'!$B$13:$U$214,7,FALSE)*$J18,0)+IF($F18&lt;&gt;0,VLOOKUP($H18,'Allocation Factors - S'!$B$13:$U$214,7,FALSE)*$F18,0)</f>
        <v>127.09575047230979</v>
      </c>
      <c r="Q18" s="76"/>
      <c r="R18" s="76"/>
      <c r="S18" s="76">
        <f ca="1">IF($J18&lt;&gt;0,VLOOKUP($L18,'Allocation Factors - S'!$B$13:$U$214,10,FALSE)*$J18,0)+IF($F18&lt;&gt;0,VLOOKUP($H18,'Allocation Factors - S'!$B$13:$U$214,10,FALSE)*$F18,0)</f>
        <v>380.8557722720733</v>
      </c>
      <c r="T18" s="76">
        <f ca="1">IF($J18&lt;&gt;0,VLOOKUP($L18,'Allocation Factors - S'!$B$13:$U$214,11,FALSE)*$J18,0)+IF($F18&lt;&gt;0,VLOOKUP($H18,'Allocation Factors - S'!$B$13:$U$214,11,FALSE)*$F18,0)</f>
        <v>7.6840817261297394</v>
      </c>
      <c r="U18" s="76">
        <f ca="1">IF($J18&lt;&gt;0,VLOOKUP($L18,'Allocation Factors - S'!$B$13:$U$214,12,FALSE)*$J18,0)+IF($F18&lt;&gt;0,VLOOKUP($H18,'Allocation Factors - S'!$B$13:$U$214,12,FALSE)*$F18,0)</f>
        <v>0</v>
      </c>
      <c r="V18" s="76">
        <f ca="1">IF($J18&lt;&gt;0,VLOOKUP($L18,'Allocation Factors - S'!$B$13:$U$214,13,FALSE)*$J18,0)+IF($F18&lt;&gt;0,VLOOKUP($H18,'Allocation Factors - S'!$B$13:$U$214,13,FALSE)*$F18,0)</f>
        <v>0</v>
      </c>
      <c r="W18" s="76">
        <f ca="1">IF($J18&lt;&gt;0,VLOOKUP($L18,'Allocation Factors - S'!$B$13:$U$214,14,FALSE)*$J18,0)+IF($F18&lt;&gt;0,VLOOKUP($H18,'Allocation Factors - S'!$B$13:$U$214,14,FALSE)*$F18,0)</f>
        <v>138.30800682294949</v>
      </c>
      <c r="X18" s="76">
        <f ca="1">IF($J18&lt;&gt;0,VLOOKUP($L18,'Allocation Factors - S'!$B$13:$U$214,15,FALSE)*$J18,0)+IF($F18&lt;&gt;0,VLOOKUP($H18,'Allocation Factors - S'!$B$13:$U$214,15,FALSE)*$F18,0)</f>
        <v>0</v>
      </c>
      <c r="Y18" s="76">
        <f ca="1">IF($J18&lt;&gt;0,VLOOKUP($L18,'Allocation Factors - S'!$B$13:$U$214,16,FALSE)*$J18,0)+IF($F18&lt;&gt;0,VLOOKUP($H18,'Allocation Factors - S'!$B$13:$U$214,16,FALSE)*$F18,0)</f>
        <v>12.535187553356153</v>
      </c>
      <c r="Z18" s="76">
        <f ca="1">IF($J18&lt;&gt;0,VLOOKUP($L18,'Allocation Factors - S'!$B$13:$U$214,17,FALSE)*$J18,0)+IF($F18&lt;&gt;0,VLOOKUP($H18,'Allocation Factors - S'!$B$13:$U$214,17,FALSE)*$F18,0)</f>
        <v>0.21066605852332532</v>
      </c>
      <c r="AA18" s="76">
        <f ca="1">IF($J18&lt;&gt;0,VLOOKUP($L18,'Allocation Factors - S'!$B$13:$U$214,18,FALSE)*$J18,0)+IF($F18&lt;&gt;0,VLOOKUP($H18,'Allocation Factors - S'!$B$13:$U$214,18,FALSE)*$F18,0)</f>
        <v>0</v>
      </c>
      <c r="AB18" s="76">
        <f ca="1">IF($J18&lt;&gt;0,VLOOKUP($L18,'Allocation Factors - S'!$B$13:$U$214,19,FALSE)*$J18,0)+IF($F18&lt;&gt;0,VLOOKUP($H18,'Allocation Factors - S'!$B$13:$U$214,19,FALSE)*$F18,0)</f>
        <v>8.7282652377029493</v>
      </c>
      <c r="AC18" s="76">
        <f ca="1">IF($J18&lt;&gt;0,VLOOKUP($L18,'Allocation Factors - S'!$B$13:$U$214,20,FALSE)*$J18,0)+IF($F18&lt;&gt;0,VLOOKUP($H18,'Allocation Factors - S'!$B$13:$U$214,20,FALSE)*$F18,0)</f>
        <v>24.14790985929524</v>
      </c>
    </row>
    <row r="19" spans="1:29" x14ac:dyDescent="0.25">
      <c r="A19" s="2">
        <f t="shared" si="1"/>
        <v>5</v>
      </c>
      <c r="B19" s="31" t="s">
        <v>358</v>
      </c>
      <c r="D19" s="76">
        <f ca="1">'Total Allocation by Rate Zone'!R19</f>
        <v>121.83135768851581</v>
      </c>
      <c r="J19" s="76">
        <f t="shared" ca="1" si="0"/>
        <v>121.83135768851581</v>
      </c>
      <c r="L19" s="2" t="s">
        <v>450</v>
      </c>
      <c r="N19" s="76">
        <f ca="1">IF($J19&lt;&gt;0,VLOOKUP($L19,'Allocation Factors - S'!$B$13:$U$214,5,FALSE)*$J19,0)+IF($F19&lt;&gt;0,VLOOKUP($H19,'Allocation Factors - S'!$B$13:$U$214,5,FALSE)*$F19,0)</f>
        <v>33.435985905599651</v>
      </c>
      <c r="O19" s="76">
        <f ca="1">IF($J19&lt;&gt;0,VLOOKUP($L19,'Allocation Factors - S'!$B$13:$U$214,6,FALSE)*$J19,0)+IF($F19&lt;&gt;0,VLOOKUP($H19,'Allocation Factors - S'!$B$13:$U$214,6,FALSE)*$F19,0)</f>
        <v>13.867525679627951</v>
      </c>
      <c r="P19" s="76">
        <f ca="1">IF($J19&lt;&gt;0,VLOOKUP($L19,'Allocation Factors - S'!$B$13:$U$214,7,FALSE)*$J19,0)+IF($F19&lt;&gt;0,VLOOKUP($H19,'Allocation Factors - S'!$B$13:$U$214,7,FALSE)*$F19,0)</f>
        <v>13.540076856191133</v>
      </c>
      <c r="Q19" s="76"/>
      <c r="R19" s="76"/>
      <c r="S19" s="76">
        <f ca="1">IF($J19&lt;&gt;0,VLOOKUP($L19,'Allocation Factors - S'!$B$13:$U$214,10,FALSE)*$J19,0)+IF($F19&lt;&gt;0,VLOOKUP($H19,'Allocation Factors - S'!$B$13:$U$214,10,FALSE)*$F19,0)</f>
        <v>40.574263171854909</v>
      </c>
      <c r="T19" s="76">
        <f ca="1">IF($J19&lt;&gt;0,VLOOKUP($L19,'Allocation Factors - S'!$B$13:$U$214,11,FALSE)*$J19,0)+IF($F19&lt;&gt;0,VLOOKUP($H19,'Allocation Factors - S'!$B$13:$U$214,11,FALSE)*$F19,0)</f>
        <v>0.81861947983633221</v>
      </c>
      <c r="U19" s="76">
        <f ca="1">IF($J19&lt;&gt;0,VLOOKUP($L19,'Allocation Factors - S'!$B$13:$U$214,12,FALSE)*$J19,0)+IF($F19&lt;&gt;0,VLOOKUP($H19,'Allocation Factors - S'!$B$13:$U$214,12,FALSE)*$F19,0)</f>
        <v>0</v>
      </c>
      <c r="V19" s="76">
        <f ca="1">IF($J19&lt;&gt;0,VLOOKUP($L19,'Allocation Factors - S'!$B$13:$U$214,13,FALSE)*$J19,0)+IF($F19&lt;&gt;0,VLOOKUP($H19,'Allocation Factors - S'!$B$13:$U$214,13,FALSE)*$F19,0)</f>
        <v>0</v>
      </c>
      <c r="W19" s="76">
        <f ca="1">IF($J19&lt;&gt;0,VLOOKUP($L19,'Allocation Factors - S'!$B$13:$U$214,14,FALSE)*$J19,0)+IF($F19&lt;&gt;0,VLOOKUP($H19,'Allocation Factors - S'!$B$13:$U$214,14,FALSE)*$F19,0)</f>
        <v>14.734568506421835</v>
      </c>
      <c r="X19" s="76">
        <f ca="1">IF($J19&lt;&gt;0,VLOOKUP($L19,'Allocation Factors - S'!$B$13:$U$214,15,FALSE)*$J19,0)+IF($F19&lt;&gt;0,VLOOKUP($H19,'Allocation Factors - S'!$B$13:$U$214,15,FALSE)*$F19,0)</f>
        <v>0</v>
      </c>
      <c r="Y19" s="76">
        <f ca="1">IF($J19&lt;&gt;0,VLOOKUP($L19,'Allocation Factors - S'!$B$13:$U$214,16,FALSE)*$J19,0)+IF($F19&lt;&gt;0,VLOOKUP($H19,'Allocation Factors - S'!$B$13:$U$214,16,FALSE)*$F19,0)</f>
        <v>1.3354294085244898</v>
      </c>
      <c r="Z19" s="76">
        <f ca="1">IF($J19&lt;&gt;0,VLOOKUP($L19,'Allocation Factors - S'!$B$13:$U$214,17,FALSE)*$J19,0)+IF($F19&lt;&gt;0,VLOOKUP($H19,'Allocation Factors - S'!$B$13:$U$214,17,FALSE)*$F19,0)</f>
        <v>2.2443194306627431E-2</v>
      </c>
      <c r="AA19" s="76">
        <f ca="1">IF($J19&lt;&gt;0,VLOOKUP($L19,'Allocation Factors - S'!$B$13:$U$214,18,FALSE)*$J19,0)+IF($F19&lt;&gt;0,VLOOKUP($H19,'Allocation Factors - S'!$B$13:$U$214,18,FALSE)*$F19,0)</f>
        <v>0</v>
      </c>
      <c r="AB19" s="76">
        <f ca="1">IF($J19&lt;&gt;0,VLOOKUP($L19,'Allocation Factors - S'!$B$13:$U$214,19,FALSE)*$J19,0)+IF($F19&lt;&gt;0,VLOOKUP($H19,'Allocation Factors - S'!$B$13:$U$214,19,FALSE)*$F19,0)</f>
        <v>0.92986100401104577</v>
      </c>
      <c r="AC19" s="76">
        <f ca="1">IF($J19&lt;&gt;0,VLOOKUP($L19,'Allocation Factors - S'!$B$13:$U$214,20,FALSE)*$J19,0)+IF($F19&lt;&gt;0,VLOOKUP($H19,'Allocation Factors - S'!$B$13:$U$214,20,FALSE)*$F19,0)</f>
        <v>2.5725844821418216</v>
      </c>
    </row>
    <row r="20" spans="1:29" x14ac:dyDescent="0.25">
      <c r="A20" s="2">
        <f t="shared" si="1"/>
        <v>6</v>
      </c>
      <c r="B20" s="31" t="s">
        <v>178</v>
      </c>
      <c r="D20" s="76">
        <f ca="1">'Total Allocation by Rate Zone'!R20</f>
        <v>4565.7843354255947</v>
      </c>
      <c r="J20" s="76">
        <f t="shared" ca="1" si="0"/>
        <v>4565.7843354255947</v>
      </c>
      <c r="L20" s="2" t="s">
        <v>445</v>
      </c>
      <c r="N20" s="76">
        <f ca="1">IF($J20&lt;&gt;0,VLOOKUP($L20,'Allocation Factors - S'!$B$13:$U$214,5,FALSE)*$J20,0)+IF($F20&lt;&gt;0,VLOOKUP($H20,'Allocation Factors - S'!$B$13:$U$214,5,FALSE)*$F20,0)</f>
        <v>3595.233444635373</v>
      </c>
      <c r="O20" s="76">
        <f ca="1">IF($J20&lt;&gt;0,VLOOKUP($L20,'Allocation Factors - S'!$B$13:$U$214,6,FALSE)*$J20,0)+IF($F20&lt;&gt;0,VLOOKUP($H20,'Allocation Factors - S'!$B$13:$U$214,6,FALSE)*$F20,0)</f>
        <v>837.7272912177732</v>
      </c>
      <c r="P20" s="76">
        <f ca="1">IF($J20&lt;&gt;0,VLOOKUP($L20,'Allocation Factors - S'!$B$13:$U$214,7,FALSE)*$J20,0)+IF($F20&lt;&gt;0,VLOOKUP($H20,'Allocation Factors - S'!$B$13:$U$214,7,FALSE)*$F20,0)</f>
        <v>109.50285577236919</v>
      </c>
      <c r="Q20" s="76"/>
      <c r="R20" s="76"/>
      <c r="S20" s="76">
        <f ca="1">IF($J20&lt;&gt;0,VLOOKUP($L20,'Allocation Factors - S'!$B$13:$U$214,10,FALSE)*$J20,0)+IF($F20&lt;&gt;0,VLOOKUP($H20,'Allocation Factors - S'!$B$13:$U$214,10,FALSE)*$F20,0)</f>
        <v>0</v>
      </c>
      <c r="T20" s="76">
        <f ca="1">IF($J20&lt;&gt;0,VLOOKUP($L20,'Allocation Factors - S'!$B$13:$U$214,11,FALSE)*$J20,0)+IF($F20&lt;&gt;0,VLOOKUP($H20,'Allocation Factors - S'!$B$13:$U$214,11,FALSE)*$F20,0)</f>
        <v>0</v>
      </c>
      <c r="U20" s="76">
        <f ca="1">IF($J20&lt;&gt;0,VLOOKUP($L20,'Allocation Factors - S'!$B$13:$U$214,12,FALSE)*$J20,0)+IF($F20&lt;&gt;0,VLOOKUP($H20,'Allocation Factors - S'!$B$13:$U$214,12,FALSE)*$F20,0)</f>
        <v>0</v>
      </c>
      <c r="V20" s="76">
        <f ca="1">IF($J20&lt;&gt;0,VLOOKUP($L20,'Allocation Factors - S'!$B$13:$U$214,13,FALSE)*$J20,0)+IF($F20&lt;&gt;0,VLOOKUP($H20,'Allocation Factors - S'!$B$13:$U$214,13,FALSE)*$F20,0)</f>
        <v>0</v>
      </c>
      <c r="W20" s="76">
        <f ca="1">IF($J20&lt;&gt;0,VLOOKUP($L20,'Allocation Factors - S'!$B$13:$U$214,14,FALSE)*$J20,0)+IF($F20&lt;&gt;0,VLOOKUP($H20,'Allocation Factors - S'!$B$13:$U$214,14,FALSE)*$F20,0)</f>
        <v>0</v>
      </c>
      <c r="X20" s="76">
        <f ca="1">IF($J20&lt;&gt;0,VLOOKUP($L20,'Allocation Factors - S'!$B$13:$U$214,15,FALSE)*$J20,0)+IF($F20&lt;&gt;0,VLOOKUP($H20,'Allocation Factors - S'!$B$13:$U$214,15,FALSE)*$F20,0)</f>
        <v>0</v>
      </c>
      <c r="Y20" s="76">
        <f ca="1">IF($J20&lt;&gt;0,VLOOKUP($L20,'Allocation Factors - S'!$B$13:$U$214,16,FALSE)*$J20,0)+IF($F20&lt;&gt;0,VLOOKUP($H20,'Allocation Factors - S'!$B$13:$U$214,16,FALSE)*$F20,0)</f>
        <v>2.1877312782162566</v>
      </c>
      <c r="Z20" s="76">
        <f ca="1">IF($J20&lt;&gt;0,VLOOKUP($L20,'Allocation Factors - S'!$B$13:$U$214,17,FALSE)*$J20,0)+IF($F20&lt;&gt;0,VLOOKUP($H20,'Allocation Factors - S'!$B$13:$U$214,17,FALSE)*$F20,0)</f>
        <v>2.5567754354028338</v>
      </c>
      <c r="AA20" s="76">
        <f ca="1">IF($J20&lt;&gt;0,VLOOKUP($L20,'Allocation Factors - S'!$B$13:$U$214,18,FALSE)*$J20,0)+IF($F20&lt;&gt;0,VLOOKUP($H20,'Allocation Factors - S'!$B$13:$U$214,18,FALSE)*$F20,0)</f>
        <v>0</v>
      </c>
      <c r="AB20" s="76">
        <f ca="1">IF($J20&lt;&gt;0,VLOOKUP($L20,'Allocation Factors - S'!$B$13:$U$214,19,FALSE)*$J20,0)+IF($F20&lt;&gt;0,VLOOKUP($H20,'Allocation Factors - S'!$B$13:$U$214,19,FALSE)*$F20,0)</f>
        <v>18.576237086460161</v>
      </c>
      <c r="AC20" s="76">
        <f ca="1">IF($J20&lt;&gt;0,VLOOKUP($L20,'Allocation Factors - S'!$B$13:$U$214,20,FALSE)*$J20,0)+IF($F20&lt;&gt;0,VLOOKUP($H20,'Allocation Factors - S'!$B$13:$U$214,20,FALSE)*$F20,0)</f>
        <v>0</v>
      </c>
    </row>
    <row r="21" spans="1:29" x14ac:dyDescent="0.25">
      <c r="A21" s="2">
        <f t="shared" si="1"/>
        <v>7</v>
      </c>
      <c r="B21" s="31" t="s">
        <v>361</v>
      </c>
      <c r="D21" s="40">
        <f ca="1">SUM(D15:D20)</f>
        <v>622755.10139831249</v>
      </c>
      <c r="F21" s="78">
        <f>SUM(F15:F20)</f>
        <v>0</v>
      </c>
      <c r="J21" s="40">
        <f ca="1">SUM(J15:J20)</f>
        <v>622755.10139831249</v>
      </c>
      <c r="N21" s="40">
        <f t="shared" ref="N21:AB21" ca="1" si="2">SUM(N15:N20)</f>
        <v>485750.20346272009</v>
      </c>
      <c r="O21" s="40">
        <f t="shared" ca="1" si="2"/>
        <v>114069.20421182706</v>
      </c>
      <c r="P21" s="40">
        <f t="shared" ca="1" si="2"/>
        <v>16757.800127763119</v>
      </c>
      <c r="Q21" s="40"/>
      <c r="R21" s="40"/>
      <c r="S21" s="40">
        <f t="shared" ca="1" si="2"/>
        <v>2104.8514912942483</v>
      </c>
      <c r="T21" s="40">
        <f t="shared" ca="1" si="2"/>
        <v>8.5027012059660709</v>
      </c>
      <c r="U21" s="40">
        <f t="shared" ca="1" si="2"/>
        <v>0</v>
      </c>
      <c r="V21" s="40">
        <f t="shared" ca="1" si="2"/>
        <v>0</v>
      </c>
      <c r="W21" s="40">
        <f t="shared" ca="1" si="2"/>
        <v>153.04257532937132</v>
      </c>
      <c r="X21" s="40">
        <f t="shared" ca="1" si="2"/>
        <v>0</v>
      </c>
      <c r="Y21" s="40">
        <f t="shared" ca="1" si="2"/>
        <v>305.49749514895075</v>
      </c>
      <c r="Z21" s="40">
        <f t="shared" ca="1" si="2"/>
        <v>340.54839697460528</v>
      </c>
      <c r="AA21" s="40">
        <f t="shared" ca="1" si="2"/>
        <v>251.62283408976094</v>
      </c>
      <c r="AB21" s="40">
        <f t="shared" ca="1" si="2"/>
        <v>2559.0467537092463</v>
      </c>
      <c r="AC21" s="40">
        <f ca="1">SUM(AC15:AC20)</f>
        <v>454.78134824998295</v>
      </c>
    </row>
    <row r="22" spans="1:29" x14ac:dyDescent="0.25"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</row>
    <row r="23" spans="1:29" x14ac:dyDescent="0.25">
      <c r="B23" s="74" t="s">
        <v>362</v>
      </c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</row>
    <row r="24" spans="1:29" x14ac:dyDescent="0.25">
      <c r="A24" s="2">
        <f>A21+1</f>
        <v>8</v>
      </c>
      <c r="B24" s="31" t="s">
        <v>363</v>
      </c>
      <c r="D24" s="76">
        <f ca="1">'Total Allocation by Rate Zone'!R24</f>
        <v>36280.339651308575</v>
      </c>
      <c r="J24" s="76">
        <f t="shared" ref="J24:J27" ca="1" si="3">D24-F24</f>
        <v>36280.339651308575</v>
      </c>
      <c r="L24" s="2" t="s">
        <v>447</v>
      </c>
      <c r="N24" s="76">
        <f ca="1">IF($J24&lt;&gt;0,VLOOKUP($L24,'Allocation Factors - S'!$B$13:$U$214,5,FALSE)*$J24,0)+IF($F24&lt;&gt;0,VLOOKUP($H24,'Allocation Factors - S'!$B$13:$U$214,5,FALSE)*$F24,0)</f>
        <v>18090.366070284239</v>
      </c>
      <c r="O24" s="76">
        <f ca="1">IF($J24&lt;&gt;0,VLOOKUP($L24,'Allocation Factors - S'!$B$13:$U$214,6,FALSE)*$J24,0)+IF($F24&lt;&gt;0,VLOOKUP($H24,'Allocation Factors - S'!$B$13:$U$214,6,FALSE)*$F24,0)</f>
        <v>6379.0284754588802</v>
      </c>
      <c r="P24" s="76">
        <f ca="1">IF($J24&lt;&gt;0,VLOOKUP($L24,'Allocation Factors - S'!$B$13:$U$214,7,FALSE)*$J24,0)+IF($F24&lt;&gt;0,VLOOKUP($H24,'Allocation Factors - S'!$B$13:$U$214,7,FALSE)*$F24,0)</f>
        <v>5380.585958707672</v>
      </c>
      <c r="Q24" s="76"/>
      <c r="R24" s="76"/>
      <c r="S24" s="76">
        <f ca="1">IF($J24&lt;&gt;0,VLOOKUP($L24,'Allocation Factors - S'!$B$13:$U$214,10,FALSE)*$J24,0)+IF($F24&lt;&gt;0,VLOOKUP($H24,'Allocation Factors - S'!$B$13:$U$214,10,FALSE)*$F24,0)</f>
        <v>4435.8089700654136</v>
      </c>
      <c r="T24" s="76">
        <f ca="1">IF($J24&lt;&gt;0,VLOOKUP($L24,'Allocation Factors - S'!$B$13:$U$214,11,FALSE)*$J24,0)+IF($F24&lt;&gt;0,VLOOKUP($H24,'Allocation Factors - S'!$B$13:$U$214,11,FALSE)*$F24,0)</f>
        <v>0</v>
      </c>
      <c r="U24" s="76">
        <f ca="1">IF($J24&lt;&gt;0,VLOOKUP($L24,'Allocation Factors - S'!$B$13:$U$214,12,FALSE)*$J24,0)+IF($F24&lt;&gt;0,VLOOKUP($H24,'Allocation Factors - S'!$B$13:$U$214,12,FALSE)*$F24,0)</f>
        <v>0</v>
      </c>
      <c r="V24" s="76">
        <f ca="1">IF($J24&lt;&gt;0,VLOOKUP($L24,'Allocation Factors - S'!$B$13:$U$214,13,FALSE)*$J24,0)+IF($F24&lt;&gt;0,VLOOKUP($H24,'Allocation Factors - S'!$B$13:$U$214,13,FALSE)*$F24,0)</f>
        <v>0</v>
      </c>
      <c r="W24" s="76">
        <f ca="1">IF($J24&lt;&gt;0,VLOOKUP($L24,'Allocation Factors - S'!$B$13:$U$214,14,FALSE)*$J24,0)+IF($F24&lt;&gt;0,VLOOKUP($H24,'Allocation Factors - S'!$B$13:$U$214,14,FALSE)*$F24,0)</f>
        <v>0</v>
      </c>
      <c r="X24" s="76">
        <f ca="1">IF($J24&lt;&gt;0,VLOOKUP($L24,'Allocation Factors - S'!$B$13:$U$214,15,FALSE)*$J24,0)+IF($F24&lt;&gt;0,VLOOKUP($H24,'Allocation Factors - S'!$B$13:$U$214,15,FALSE)*$F24,0)</f>
        <v>0</v>
      </c>
      <c r="Y24" s="76">
        <f ca="1">IF($J24&lt;&gt;0,VLOOKUP($L24,'Allocation Factors - S'!$B$13:$U$214,16,FALSE)*$J24,0)+IF($F24&lt;&gt;0,VLOOKUP($H24,'Allocation Factors - S'!$B$13:$U$214,16,FALSE)*$F24,0)</f>
        <v>1.1398766339072035</v>
      </c>
      <c r="Z24" s="76">
        <f ca="1">IF($J24&lt;&gt;0,VLOOKUP($L24,'Allocation Factors - S'!$B$13:$U$214,17,FALSE)*$J24,0)+IF($F24&lt;&gt;0,VLOOKUP($H24,'Allocation Factors - S'!$B$13:$U$214,17,FALSE)*$F24,0)</f>
        <v>0</v>
      </c>
      <c r="AA24" s="76">
        <f ca="1">IF($J24&lt;&gt;0,VLOOKUP($L24,'Allocation Factors - S'!$B$13:$U$214,18,FALSE)*$J24,0)+IF($F24&lt;&gt;0,VLOOKUP($H24,'Allocation Factors - S'!$B$13:$U$214,18,FALSE)*$F24,0)</f>
        <v>663.02518638439199</v>
      </c>
      <c r="AB24" s="76">
        <f ca="1">IF($J24&lt;&gt;0,VLOOKUP($L24,'Allocation Factors - S'!$B$13:$U$214,19,FALSE)*$J24,0)+IF($F24&lt;&gt;0,VLOOKUP($H24,'Allocation Factors - S'!$B$13:$U$214,19,FALSE)*$F24,0)</f>
        <v>202.44643335474137</v>
      </c>
      <c r="AC24" s="76">
        <f ca="1">IF($J24&lt;&gt;0,VLOOKUP($L24,'Allocation Factors - S'!$B$13:$U$214,20,FALSE)*$J24,0)+IF($F24&lt;&gt;0,VLOOKUP($H24,'Allocation Factors - S'!$B$13:$U$214,20,FALSE)*$F24,0)</f>
        <v>1127.9386804193248</v>
      </c>
    </row>
    <row r="25" spans="1:29" x14ac:dyDescent="0.25">
      <c r="A25" s="2">
        <f>A24+1</f>
        <v>9</v>
      </c>
      <c r="B25" s="31" t="s">
        <v>364</v>
      </c>
      <c r="D25" s="76">
        <f ca="1">'Total Allocation by Rate Zone'!R25</f>
        <v>21727.250046902733</v>
      </c>
      <c r="F25" s="76">
        <f>'Rate Zone Allocation Factors'!J13</f>
        <v>8393.3542025074494</v>
      </c>
      <c r="H25" s="2" t="s">
        <v>451</v>
      </c>
      <c r="J25" s="76">
        <f t="shared" ca="1" si="3"/>
        <v>13333.895844395283</v>
      </c>
      <c r="L25" s="2" t="s">
        <v>452</v>
      </c>
      <c r="N25" s="76">
        <f ca="1">IF($J25&lt;&gt;0,VLOOKUP($L25,'Allocation Factors - S'!$B$13:$U$214,5,FALSE)*$J25,0)+IF($F25&lt;&gt;0,VLOOKUP($H25,'Allocation Factors - S'!$B$13:$U$214,5,FALSE)*$F25,0)</f>
        <v>13113.180679461337</v>
      </c>
      <c r="O25" s="76">
        <f ca="1">IF($J25&lt;&gt;0,VLOOKUP($L25,'Allocation Factors - S'!$B$13:$U$214,6,FALSE)*$J25,0)+IF($F25&lt;&gt;0,VLOOKUP($H25,'Allocation Factors - S'!$B$13:$U$214,6,FALSE)*$F25,0)</f>
        <v>3944.3594534925514</v>
      </c>
      <c r="P25" s="76">
        <f ca="1">IF($J25&lt;&gt;0,VLOOKUP($L25,'Allocation Factors - S'!$B$13:$U$214,7,FALSE)*$J25,0)+IF($F25&lt;&gt;0,VLOOKUP($H25,'Allocation Factors - S'!$B$13:$U$214,7,FALSE)*$F25,0)</f>
        <v>1925.6870940040556</v>
      </c>
      <c r="Q25" s="76"/>
      <c r="R25" s="76"/>
      <c r="S25" s="76">
        <f ca="1">IF($J25&lt;&gt;0,VLOOKUP($L25,'Allocation Factors - S'!$B$13:$U$214,10,FALSE)*$J25,0)+IF($F25&lt;&gt;0,VLOOKUP($H25,'Allocation Factors - S'!$B$13:$U$214,10,FALSE)*$F25,0)</f>
        <v>1519.9546876294378</v>
      </c>
      <c r="T25" s="76">
        <f ca="1">IF($J25&lt;&gt;0,VLOOKUP($L25,'Allocation Factors - S'!$B$13:$U$214,11,FALSE)*$J25,0)+IF($F25&lt;&gt;0,VLOOKUP($H25,'Allocation Factors - S'!$B$13:$U$214,11,FALSE)*$F25,0)</f>
        <v>0</v>
      </c>
      <c r="U25" s="76">
        <f ca="1">IF($J25&lt;&gt;0,VLOOKUP($L25,'Allocation Factors - S'!$B$13:$U$214,12,FALSE)*$J25,0)+IF($F25&lt;&gt;0,VLOOKUP($H25,'Allocation Factors - S'!$B$13:$U$214,12,FALSE)*$F25,0)</f>
        <v>0</v>
      </c>
      <c r="V25" s="76">
        <f ca="1">IF($J25&lt;&gt;0,VLOOKUP($L25,'Allocation Factors - S'!$B$13:$U$214,13,FALSE)*$J25,0)+IF($F25&lt;&gt;0,VLOOKUP($H25,'Allocation Factors - S'!$B$13:$U$214,13,FALSE)*$F25,0)</f>
        <v>0</v>
      </c>
      <c r="W25" s="76">
        <f ca="1">IF($J25&lt;&gt;0,VLOOKUP($L25,'Allocation Factors - S'!$B$13:$U$214,14,FALSE)*$J25,0)+IF($F25&lt;&gt;0,VLOOKUP($H25,'Allocation Factors - S'!$B$13:$U$214,14,FALSE)*$F25,0)</f>
        <v>0</v>
      </c>
      <c r="X25" s="76">
        <f ca="1">IF($J25&lt;&gt;0,VLOOKUP($L25,'Allocation Factors - S'!$B$13:$U$214,15,FALSE)*$J25,0)+IF($F25&lt;&gt;0,VLOOKUP($H25,'Allocation Factors - S'!$B$13:$U$214,15,FALSE)*$F25,0)</f>
        <v>0</v>
      </c>
      <c r="Y25" s="76">
        <f ca="1">IF($J25&lt;&gt;0,VLOOKUP($L25,'Allocation Factors - S'!$B$13:$U$214,16,FALSE)*$J25,0)+IF($F25&lt;&gt;0,VLOOKUP($H25,'Allocation Factors - S'!$B$13:$U$214,16,FALSE)*$F25,0)</f>
        <v>101.88033943735883</v>
      </c>
      <c r="Z25" s="76">
        <f ca="1">IF($J25&lt;&gt;0,VLOOKUP($L25,'Allocation Factors - S'!$B$13:$U$214,17,FALSE)*$J25,0)+IF($F25&lt;&gt;0,VLOOKUP($H25,'Allocation Factors - S'!$B$13:$U$214,17,FALSE)*$F25,0)</f>
        <v>0</v>
      </c>
      <c r="AA25" s="76">
        <f ca="1">IF($J25&lt;&gt;0,VLOOKUP($L25,'Allocation Factors - S'!$B$13:$U$214,18,FALSE)*$J25,0)+IF($F25&lt;&gt;0,VLOOKUP($H25,'Allocation Factors - S'!$B$13:$U$214,18,FALSE)*$F25,0)</f>
        <v>434.0852697130909</v>
      </c>
      <c r="AB25" s="76">
        <f ca="1">IF($J25&lt;&gt;0,VLOOKUP($L25,'Allocation Factors - S'!$B$13:$U$214,19,FALSE)*$J25,0)+IF($F25&lt;&gt;0,VLOOKUP($H25,'Allocation Factors - S'!$B$13:$U$214,19,FALSE)*$F25,0)</f>
        <v>112.71871803391215</v>
      </c>
      <c r="AC25" s="76">
        <f ca="1">IF($J25&lt;&gt;0,VLOOKUP($L25,'Allocation Factors - S'!$B$13:$U$214,20,FALSE)*$J25,0)+IF($F25&lt;&gt;0,VLOOKUP($H25,'Allocation Factors - S'!$B$13:$U$214,20,FALSE)*$F25,0)</f>
        <v>575.3838051309898</v>
      </c>
    </row>
    <row r="26" spans="1:29" x14ac:dyDescent="0.25">
      <c r="A26" s="2">
        <f t="shared" ref="A26:A28" si="4">A25+1</f>
        <v>10</v>
      </c>
      <c r="B26" s="31" t="s">
        <v>367</v>
      </c>
      <c r="D26" s="76">
        <f ca="1">'Total Allocation by Rate Zone'!R26</f>
        <v>1552.727668972055</v>
      </c>
      <c r="J26" s="76">
        <f t="shared" ca="1" si="3"/>
        <v>1552.727668972055</v>
      </c>
      <c r="L26" s="2" t="s">
        <v>453</v>
      </c>
      <c r="N26" s="76">
        <f ca="1">IF($J26&lt;&gt;0,VLOOKUP($L26,'Allocation Factors - S'!$B$13:$U$214,5,FALSE)*$J26,0)+IF($F26&lt;&gt;0,VLOOKUP($H26,'Allocation Factors - S'!$B$13:$U$214,5,FALSE)*$F26,0)</f>
        <v>979.66375637632586</v>
      </c>
      <c r="O26" s="76">
        <f ca="1">IF($J26&lt;&gt;0,VLOOKUP($L26,'Allocation Factors - S'!$B$13:$U$214,6,FALSE)*$J26,0)+IF($F26&lt;&gt;0,VLOOKUP($H26,'Allocation Factors - S'!$B$13:$U$214,6,FALSE)*$F26,0)</f>
        <v>348.17659062817091</v>
      </c>
      <c r="P26" s="76">
        <f ca="1">IF($J26&lt;&gt;0,VLOOKUP($L26,'Allocation Factors - S'!$B$13:$U$214,7,FALSE)*$J26,0)+IF($F26&lt;&gt;0,VLOOKUP($H26,'Allocation Factors - S'!$B$13:$U$214,7,FALSE)*$F26,0)</f>
        <v>50.894284632031805</v>
      </c>
      <c r="Q26" s="76"/>
      <c r="R26" s="76"/>
      <c r="S26" s="76">
        <f ca="1">IF($J26&lt;&gt;0,VLOOKUP($L26,'Allocation Factors - S'!$B$13:$U$214,10,FALSE)*$J26,0)+IF($F26&lt;&gt;0,VLOOKUP($H26,'Allocation Factors - S'!$B$13:$U$214,10,FALSE)*$F26,0)</f>
        <v>104.614254106616</v>
      </c>
      <c r="T26" s="76">
        <f ca="1">IF($J26&lt;&gt;0,VLOOKUP($L26,'Allocation Factors - S'!$B$13:$U$214,11,FALSE)*$J26,0)+IF($F26&lt;&gt;0,VLOOKUP($H26,'Allocation Factors - S'!$B$13:$U$214,11,FALSE)*$F26,0)</f>
        <v>1.2137004413002555</v>
      </c>
      <c r="U26" s="76">
        <f ca="1">IF($J26&lt;&gt;0,VLOOKUP($L26,'Allocation Factors - S'!$B$13:$U$214,12,FALSE)*$J26,0)+IF($F26&lt;&gt;0,VLOOKUP($H26,'Allocation Factors - S'!$B$13:$U$214,12,FALSE)*$F26,0)</f>
        <v>0</v>
      </c>
      <c r="V26" s="76">
        <f ca="1">IF($J26&lt;&gt;0,VLOOKUP($L26,'Allocation Factors - S'!$B$13:$U$214,13,FALSE)*$J26,0)+IF($F26&lt;&gt;0,VLOOKUP($H26,'Allocation Factors - S'!$B$13:$U$214,13,FALSE)*$F26,0)</f>
        <v>0</v>
      </c>
      <c r="W26" s="76">
        <f ca="1">IF($J26&lt;&gt;0,VLOOKUP($L26,'Allocation Factors - S'!$B$13:$U$214,14,FALSE)*$J26,0)+IF($F26&lt;&gt;0,VLOOKUP($H26,'Allocation Factors - S'!$B$13:$U$214,14,FALSE)*$F26,0)</f>
        <v>30.249603186000961</v>
      </c>
      <c r="X26" s="76">
        <f ca="1">IF($J26&lt;&gt;0,VLOOKUP($L26,'Allocation Factors - S'!$B$13:$U$214,15,FALSE)*$J26,0)+IF($F26&lt;&gt;0,VLOOKUP($H26,'Allocation Factors - S'!$B$13:$U$214,15,FALSE)*$F26,0)</f>
        <v>0</v>
      </c>
      <c r="Y26" s="76">
        <f ca="1">IF($J26&lt;&gt;0,VLOOKUP($L26,'Allocation Factors - S'!$B$13:$U$214,16,FALSE)*$J26,0)+IF($F26&lt;&gt;0,VLOOKUP($H26,'Allocation Factors - S'!$B$13:$U$214,16,FALSE)*$F26,0)</f>
        <v>3.3845865870085725</v>
      </c>
      <c r="Z26" s="76">
        <f ca="1">IF($J26&lt;&gt;0,VLOOKUP($L26,'Allocation Factors - S'!$B$13:$U$214,17,FALSE)*$J26,0)+IF($F26&lt;&gt;0,VLOOKUP($H26,'Allocation Factors - S'!$B$13:$U$214,17,FALSE)*$F26,0)</f>
        <v>3.3274696614337941E-2</v>
      </c>
      <c r="AA26" s="76">
        <f ca="1">IF($J26&lt;&gt;0,VLOOKUP($L26,'Allocation Factors - S'!$B$13:$U$214,18,FALSE)*$J26,0)+IF($F26&lt;&gt;0,VLOOKUP($H26,'Allocation Factors - S'!$B$13:$U$214,18,FALSE)*$F26,0)</f>
        <v>8.8420497872321278</v>
      </c>
      <c r="AB26" s="76">
        <f ca="1">IF($J26&lt;&gt;0,VLOOKUP($L26,'Allocation Factors - S'!$B$13:$U$214,19,FALSE)*$J26,0)+IF($F26&lt;&gt;0,VLOOKUP($H26,'Allocation Factors - S'!$B$13:$U$214,19,FALSE)*$F26,0)</f>
        <v>3.8620142940882802</v>
      </c>
      <c r="AC26" s="76">
        <f ca="1">IF($J26&lt;&gt;0,VLOOKUP($L26,'Allocation Factors - S'!$B$13:$U$214,20,FALSE)*$J26,0)+IF($F26&lt;&gt;0,VLOOKUP($H26,'Allocation Factors - S'!$B$13:$U$214,20,FALSE)*$F26,0)</f>
        <v>21.793554236665887</v>
      </c>
    </row>
    <row r="27" spans="1:29" x14ac:dyDescent="0.25">
      <c r="A27" s="2">
        <f t="shared" si="4"/>
        <v>11</v>
      </c>
      <c r="B27" s="31" t="s">
        <v>369</v>
      </c>
      <c r="D27" s="76">
        <f ca="1">'Total Allocation by Rate Zone'!R27</f>
        <v>5253.7873559774252</v>
      </c>
      <c r="J27" s="76">
        <f t="shared" ca="1" si="3"/>
        <v>5253.7873559774252</v>
      </c>
      <c r="L27" s="2" t="s">
        <v>454</v>
      </c>
      <c r="N27" s="76">
        <f ca="1">IF($J27&lt;&gt;0,VLOOKUP($L27,'Allocation Factors - S'!$B$13:$U$214,5,FALSE)*$J27,0)+IF($F27&lt;&gt;0,VLOOKUP($H27,'Allocation Factors - S'!$B$13:$U$214,5,FALSE)*$F27,0)</f>
        <v>2154.9259813216745</v>
      </c>
      <c r="O27" s="76">
        <f ca="1">IF($J27&lt;&gt;0,VLOOKUP($L27,'Allocation Factors - S'!$B$13:$U$214,6,FALSE)*$J27,0)+IF($F27&lt;&gt;0,VLOOKUP($H27,'Allocation Factors - S'!$B$13:$U$214,6,FALSE)*$F27,0)</f>
        <v>893.75236214198424</v>
      </c>
      <c r="P27" s="76">
        <f ca="1">IF($J27&lt;&gt;0,VLOOKUP($L27,'Allocation Factors - S'!$B$13:$U$214,7,FALSE)*$J27,0)+IF($F27&lt;&gt;0,VLOOKUP($H27,'Allocation Factors - S'!$B$13:$U$214,7,FALSE)*$F27,0)</f>
        <v>872.81856843124092</v>
      </c>
      <c r="Q27" s="76"/>
      <c r="R27" s="76"/>
      <c r="S27" s="76">
        <f ca="1">IF($J27&lt;&gt;0,VLOOKUP($L27,'Allocation Factors - S'!$B$13:$U$214,10,FALSE)*$J27,0)+IF($F27&lt;&gt;0,VLOOKUP($H27,'Allocation Factors - S'!$B$13:$U$214,10,FALSE)*$F27,0)</f>
        <v>657.851256407851</v>
      </c>
      <c r="T27" s="76">
        <f ca="1">IF($J27&lt;&gt;0,VLOOKUP($L27,'Allocation Factors - S'!$B$13:$U$214,11,FALSE)*$J27,0)+IF($F27&lt;&gt;0,VLOOKUP($H27,'Allocation Factors - S'!$B$13:$U$214,11,FALSE)*$F27,0)</f>
        <v>0</v>
      </c>
      <c r="U27" s="76">
        <f ca="1">IF($J27&lt;&gt;0,VLOOKUP($L27,'Allocation Factors - S'!$B$13:$U$214,12,FALSE)*$J27,0)+IF($F27&lt;&gt;0,VLOOKUP($H27,'Allocation Factors - S'!$B$13:$U$214,12,FALSE)*$F27,0)</f>
        <v>0</v>
      </c>
      <c r="V27" s="76">
        <f ca="1">IF($J27&lt;&gt;0,VLOOKUP($L27,'Allocation Factors - S'!$B$13:$U$214,13,FALSE)*$J27,0)+IF($F27&lt;&gt;0,VLOOKUP($H27,'Allocation Factors - S'!$B$13:$U$214,13,FALSE)*$F27,0)</f>
        <v>0</v>
      </c>
      <c r="W27" s="76">
        <f ca="1">IF($J27&lt;&gt;0,VLOOKUP($L27,'Allocation Factors - S'!$B$13:$U$214,14,FALSE)*$J27,0)+IF($F27&lt;&gt;0,VLOOKUP($H27,'Allocation Factors - S'!$B$13:$U$214,14,FALSE)*$F27,0)</f>
        <v>0</v>
      </c>
      <c r="X27" s="76">
        <f ca="1">IF($J27&lt;&gt;0,VLOOKUP($L27,'Allocation Factors - S'!$B$13:$U$214,15,FALSE)*$J27,0)+IF($F27&lt;&gt;0,VLOOKUP($H27,'Allocation Factors - S'!$B$13:$U$214,15,FALSE)*$F27,0)</f>
        <v>0</v>
      </c>
      <c r="Y27" s="76">
        <f ca="1">IF($J27&lt;&gt;0,VLOOKUP($L27,'Allocation Factors - S'!$B$13:$U$214,16,FALSE)*$J27,0)+IF($F27&lt;&gt;0,VLOOKUP($H27,'Allocation Factors - S'!$B$13:$U$214,16,FALSE)*$F27,0)</f>
        <v>86.039986713870022</v>
      </c>
      <c r="Z27" s="76">
        <f ca="1">IF($J27&lt;&gt;0,VLOOKUP($L27,'Allocation Factors - S'!$B$13:$U$214,17,FALSE)*$J27,0)+IF($F27&lt;&gt;0,VLOOKUP($H27,'Allocation Factors - S'!$B$13:$U$214,17,FALSE)*$F27,0)</f>
        <v>1.4466263019182843</v>
      </c>
      <c r="AA27" s="76">
        <f ca="1">IF($J27&lt;&gt;0,VLOOKUP($L27,'Allocation Factors - S'!$B$13:$U$214,18,FALSE)*$J27,0)+IF($F27&lt;&gt;0,VLOOKUP($H27,'Allocation Factors - S'!$B$13:$U$214,18,FALSE)*$F27,0)</f>
        <v>339.3665379522763</v>
      </c>
      <c r="AB27" s="76">
        <f ca="1">IF($J27&lt;&gt;0,VLOOKUP($L27,'Allocation Factors - S'!$B$13:$U$214,19,FALSE)*$J27,0)+IF($F27&lt;&gt;0,VLOOKUP($H27,'Allocation Factors - S'!$B$13:$U$214,19,FALSE)*$F27,0)</f>
        <v>59.936271421635276</v>
      </c>
      <c r="AC27" s="76">
        <f ca="1">IF($J27&lt;&gt;0,VLOOKUP($L27,'Allocation Factors - S'!$B$13:$U$214,20,FALSE)*$J27,0)+IF($F27&lt;&gt;0,VLOOKUP($H27,'Allocation Factors - S'!$B$13:$U$214,20,FALSE)*$F27,0)</f>
        <v>187.64976528497428</v>
      </c>
    </row>
    <row r="28" spans="1:29" x14ac:dyDescent="0.25">
      <c r="A28" s="2">
        <f t="shared" si="4"/>
        <v>12</v>
      </c>
      <c r="B28" s="31" t="s">
        <v>371</v>
      </c>
      <c r="D28" s="40">
        <f ca="1">SUM(D24:D27)</f>
        <v>64814.104723160781</v>
      </c>
      <c r="F28" s="40">
        <f>SUM(F24:F27)</f>
        <v>8393.3542025074494</v>
      </c>
      <c r="H28" s="115"/>
      <c r="J28" s="40">
        <f ca="1">SUM(J24:J27)</f>
        <v>56420.750520653339</v>
      </c>
      <c r="N28" s="40">
        <f t="shared" ref="N28:AB28" ca="1" si="5">SUM(N24:N27)</f>
        <v>34338.136487443575</v>
      </c>
      <c r="O28" s="40">
        <f t="shared" ca="1" si="5"/>
        <v>11565.316881721586</v>
      </c>
      <c r="P28" s="40">
        <f t="shared" ca="1" si="5"/>
        <v>8229.985905775</v>
      </c>
      <c r="Q28" s="40"/>
      <c r="R28" s="40"/>
      <c r="S28" s="40">
        <f t="shared" ca="1" si="5"/>
        <v>6718.2291682093182</v>
      </c>
      <c r="T28" s="40">
        <f t="shared" ca="1" si="5"/>
        <v>1.2137004413002555</v>
      </c>
      <c r="U28" s="40">
        <f t="shared" ca="1" si="5"/>
        <v>0</v>
      </c>
      <c r="V28" s="40">
        <f t="shared" ca="1" si="5"/>
        <v>0</v>
      </c>
      <c r="W28" s="40">
        <f t="shared" ca="1" si="5"/>
        <v>30.249603186000961</v>
      </c>
      <c r="X28" s="40">
        <f t="shared" ca="1" si="5"/>
        <v>0</v>
      </c>
      <c r="Y28" s="40">
        <f t="shared" ca="1" si="5"/>
        <v>192.44478937214461</v>
      </c>
      <c r="Z28" s="40">
        <f t="shared" ca="1" si="5"/>
        <v>1.4799009985326224</v>
      </c>
      <c r="AA28" s="40">
        <f t="shared" ca="1" si="5"/>
        <v>1445.3190438369913</v>
      </c>
      <c r="AB28" s="40">
        <f t="shared" ca="1" si="5"/>
        <v>378.96343710437708</v>
      </c>
      <c r="AC28" s="40">
        <f ca="1">SUM(AC24:AC27)</f>
        <v>1912.7658050719547</v>
      </c>
    </row>
    <row r="29" spans="1:29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</row>
    <row r="30" spans="1:29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x14ac:dyDescent="0.25">
      <c r="A31" s="2">
        <f>A28+1</f>
        <v>13</v>
      </c>
      <c r="B31" s="31" t="s">
        <v>373</v>
      </c>
      <c r="D31" s="76">
        <f ca="1">'Total Allocation by Rate Zone'!R31</f>
        <v>2801.1189187088398</v>
      </c>
      <c r="J31" s="76">
        <f t="shared" ref="J31:J38" ca="1" si="6">D31-F31</f>
        <v>2801.1189187088398</v>
      </c>
      <c r="L31" s="2" t="s">
        <v>455</v>
      </c>
      <c r="N31" s="76">
        <f ca="1">IF($J31&lt;&gt;0,VLOOKUP($L31,'Allocation Factors - S'!$B$13:$U$214,5,FALSE)*$J31,0)+IF($F31&lt;&gt;0,VLOOKUP($H31,'Allocation Factors - S'!$B$13:$U$214,5,FALSE)*$F31,0)</f>
        <v>1389.9104056839162</v>
      </c>
      <c r="O31" s="76">
        <f ca="1">IF($J31&lt;&gt;0,VLOOKUP($L31,'Allocation Factors - S'!$B$13:$U$214,6,FALSE)*$J31,0)+IF($F31&lt;&gt;0,VLOOKUP($H31,'Allocation Factors - S'!$B$13:$U$214,6,FALSE)*$F31,0)</f>
        <v>505.82740063288003</v>
      </c>
      <c r="P31" s="76">
        <f ca="1">IF($J31&lt;&gt;0,VLOOKUP($L31,'Allocation Factors - S'!$B$13:$U$214,7,FALSE)*$J31,0)+IF($F31&lt;&gt;0,VLOOKUP($H31,'Allocation Factors - S'!$B$13:$U$214,7,FALSE)*$F31,0)</f>
        <v>208.17260725915912</v>
      </c>
      <c r="Q31" s="76"/>
      <c r="R31" s="76"/>
      <c r="S31" s="76">
        <f ca="1">IF($J31&lt;&gt;0,VLOOKUP($L31,'Allocation Factors - S'!$B$13:$U$214,10,FALSE)*$J31,0)+IF($F31&lt;&gt;0,VLOOKUP($H31,'Allocation Factors - S'!$B$13:$U$214,10,FALSE)*$F31,0)</f>
        <v>320.54311895035465</v>
      </c>
      <c r="T31" s="76">
        <f ca="1">IF($J31&lt;&gt;0,VLOOKUP($L31,'Allocation Factors - S'!$B$13:$U$214,11,FALSE)*$J31,0)+IF($F31&lt;&gt;0,VLOOKUP($H31,'Allocation Factors - S'!$B$13:$U$214,11,FALSE)*$F31,0)</f>
        <v>0</v>
      </c>
      <c r="U31" s="76">
        <f ca="1">IF($J31&lt;&gt;0,VLOOKUP($L31,'Allocation Factors - S'!$B$13:$U$214,12,FALSE)*$J31,0)+IF($F31&lt;&gt;0,VLOOKUP($H31,'Allocation Factors - S'!$B$13:$U$214,12,FALSE)*$F31,0)</f>
        <v>0</v>
      </c>
      <c r="V31" s="76">
        <f ca="1">IF($J31&lt;&gt;0,VLOOKUP($L31,'Allocation Factors - S'!$B$13:$U$214,13,FALSE)*$J31,0)+IF($F31&lt;&gt;0,VLOOKUP($H31,'Allocation Factors - S'!$B$13:$U$214,13,FALSE)*$F31,0)</f>
        <v>0</v>
      </c>
      <c r="W31" s="76">
        <f ca="1">IF($J31&lt;&gt;0,VLOOKUP($L31,'Allocation Factors - S'!$B$13:$U$214,14,FALSE)*$J31,0)+IF($F31&lt;&gt;0,VLOOKUP($H31,'Allocation Factors - S'!$B$13:$U$214,14,FALSE)*$F31,0)</f>
        <v>198.69412078680148</v>
      </c>
      <c r="X31" s="76">
        <f ca="1">IF($J31&lt;&gt;0,VLOOKUP($L31,'Allocation Factors - S'!$B$13:$U$214,15,FALSE)*$J31,0)+IF($F31&lt;&gt;0,VLOOKUP($H31,'Allocation Factors - S'!$B$13:$U$214,15,FALSE)*$F31,0)</f>
        <v>0</v>
      </c>
      <c r="Y31" s="76">
        <f ca="1">IF($J31&lt;&gt;0,VLOOKUP($L31,'Allocation Factors - S'!$B$13:$U$214,16,FALSE)*$J31,0)+IF($F31&lt;&gt;0,VLOOKUP($H31,'Allocation Factors - S'!$B$13:$U$214,16,FALSE)*$F31,0)</f>
        <v>1.199463595079526</v>
      </c>
      <c r="Z31" s="76">
        <f ca="1">IF($J31&lt;&gt;0,VLOOKUP($L31,'Allocation Factors - S'!$B$13:$U$214,17,FALSE)*$J31,0)+IF($F31&lt;&gt;0,VLOOKUP($H31,'Allocation Factors - S'!$B$13:$U$214,17,FALSE)*$F31,0)</f>
        <v>0</v>
      </c>
      <c r="AA31" s="76">
        <f ca="1">IF($J31&lt;&gt;0,VLOOKUP($L31,'Allocation Factors - S'!$B$13:$U$214,18,FALSE)*$J31,0)+IF($F31&lt;&gt;0,VLOOKUP($H31,'Allocation Factors - S'!$B$13:$U$214,18,FALSE)*$F31,0)</f>
        <v>0</v>
      </c>
      <c r="AB31" s="76">
        <f ca="1">IF($J31&lt;&gt;0,VLOOKUP($L31,'Allocation Factors - S'!$B$13:$U$214,19,FALSE)*$J31,0)+IF($F31&lt;&gt;0,VLOOKUP($H31,'Allocation Factors - S'!$B$13:$U$214,19,FALSE)*$F31,0)</f>
        <v>28.248114230506332</v>
      </c>
      <c r="AC31" s="76">
        <f ca="1">IF($J31&lt;&gt;0,VLOOKUP($L31,'Allocation Factors - S'!$B$13:$U$214,20,FALSE)*$J31,0)+IF($F31&lt;&gt;0,VLOOKUP($H31,'Allocation Factors - S'!$B$13:$U$214,20,FALSE)*$F31,0)</f>
        <v>148.52368757014241</v>
      </c>
    </row>
    <row r="32" spans="1:29" x14ac:dyDescent="0.25">
      <c r="A32" s="2">
        <f>A31+1</f>
        <v>14</v>
      </c>
      <c r="B32" s="31" t="s">
        <v>375</v>
      </c>
      <c r="D32" s="76">
        <f ca="1">'Total Allocation by Rate Zone'!R32</f>
        <v>286.05282800224467</v>
      </c>
      <c r="J32" s="76">
        <f t="shared" ca="1" si="6"/>
        <v>286.05282800224467</v>
      </c>
      <c r="L32" s="2" t="s">
        <v>456</v>
      </c>
      <c r="N32" s="76">
        <f ca="1">IF($J32&lt;&gt;0,VLOOKUP($L32,'Allocation Factors - S'!$B$13:$U$214,5,FALSE)*$J32,0)+IF($F32&lt;&gt;0,VLOOKUP($H32,'Allocation Factors - S'!$B$13:$U$214,5,FALSE)*$F32,0)</f>
        <v>141.93892289260512</v>
      </c>
      <c r="O32" s="76">
        <f ca="1">IF($J32&lt;&gt;0,VLOOKUP($L32,'Allocation Factors - S'!$B$13:$U$214,6,FALSE)*$J32,0)+IF($F32&lt;&gt;0,VLOOKUP($H32,'Allocation Factors - S'!$B$13:$U$214,6,FALSE)*$F32,0)</f>
        <v>51.655557165261428</v>
      </c>
      <c r="P32" s="76">
        <f ca="1">IF($J32&lt;&gt;0,VLOOKUP($L32,'Allocation Factors - S'!$B$13:$U$214,7,FALSE)*$J32,0)+IF($F32&lt;&gt;0,VLOOKUP($H32,'Allocation Factors - S'!$B$13:$U$214,7,FALSE)*$F32,0)</f>
        <v>21.25877720555026</v>
      </c>
      <c r="Q32" s="76"/>
      <c r="R32" s="76"/>
      <c r="S32" s="76">
        <f ca="1">IF($J32&lt;&gt;0,VLOOKUP($L32,'Allocation Factors - S'!$B$13:$U$214,10,FALSE)*$J32,0)+IF($F32&lt;&gt;0,VLOOKUP($H32,'Allocation Factors - S'!$B$13:$U$214,10,FALSE)*$F32,0)</f>
        <v>32.734156718585119</v>
      </c>
      <c r="T32" s="76">
        <f ca="1">IF($J32&lt;&gt;0,VLOOKUP($L32,'Allocation Factors - S'!$B$13:$U$214,11,FALSE)*$J32,0)+IF($F32&lt;&gt;0,VLOOKUP($H32,'Allocation Factors - S'!$B$13:$U$214,11,FALSE)*$F32,0)</f>
        <v>0</v>
      </c>
      <c r="U32" s="76">
        <f ca="1">IF($J32&lt;&gt;0,VLOOKUP($L32,'Allocation Factors - S'!$B$13:$U$214,12,FALSE)*$J32,0)+IF($F32&lt;&gt;0,VLOOKUP($H32,'Allocation Factors - S'!$B$13:$U$214,12,FALSE)*$F32,0)</f>
        <v>0</v>
      </c>
      <c r="V32" s="76">
        <f ca="1">IF($J32&lt;&gt;0,VLOOKUP($L32,'Allocation Factors - S'!$B$13:$U$214,13,FALSE)*$J32,0)+IF($F32&lt;&gt;0,VLOOKUP($H32,'Allocation Factors - S'!$B$13:$U$214,13,FALSE)*$F32,0)</f>
        <v>0</v>
      </c>
      <c r="W32" s="76">
        <f ca="1">IF($J32&lt;&gt;0,VLOOKUP($L32,'Allocation Factors - S'!$B$13:$U$214,14,FALSE)*$J32,0)+IF($F32&lt;&gt;0,VLOOKUP($H32,'Allocation Factors - S'!$B$13:$U$214,14,FALSE)*$F32,0)</f>
        <v>20.290825490794539</v>
      </c>
      <c r="X32" s="76">
        <f ca="1">IF($J32&lt;&gt;0,VLOOKUP($L32,'Allocation Factors - S'!$B$13:$U$214,15,FALSE)*$J32,0)+IF($F32&lt;&gt;0,VLOOKUP($H32,'Allocation Factors - S'!$B$13:$U$214,15,FALSE)*$F32,0)</f>
        <v>0</v>
      </c>
      <c r="Y32" s="76">
        <f ca="1">IF($J32&lt;&gt;0,VLOOKUP($L32,'Allocation Factors - S'!$B$13:$U$214,16,FALSE)*$J32,0)+IF($F32&lt;&gt;0,VLOOKUP($H32,'Allocation Factors - S'!$B$13:$U$214,16,FALSE)*$F32,0)</f>
        <v>0.12249032026687118</v>
      </c>
      <c r="Z32" s="76">
        <f ca="1">IF($J32&lt;&gt;0,VLOOKUP($L32,'Allocation Factors - S'!$B$13:$U$214,17,FALSE)*$J32,0)+IF($F32&lt;&gt;0,VLOOKUP($H32,'Allocation Factors - S'!$B$13:$U$214,17,FALSE)*$F32,0)</f>
        <v>0</v>
      </c>
      <c r="AA32" s="76">
        <f ca="1">IF($J32&lt;&gt;0,VLOOKUP($L32,'Allocation Factors - S'!$B$13:$U$214,18,FALSE)*$J32,0)+IF($F32&lt;&gt;0,VLOOKUP($H32,'Allocation Factors - S'!$B$13:$U$214,18,FALSE)*$F32,0)</f>
        <v>0</v>
      </c>
      <c r="AB32" s="76">
        <f ca="1">IF($J32&lt;&gt;0,VLOOKUP($L32,'Allocation Factors - S'!$B$13:$U$214,19,FALSE)*$J32,0)+IF($F32&lt;&gt;0,VLOOKUP($H32,'Allocation Factors - S'!$B$13:$U$214,19,FALSE)*$F32,0)</f>
        <v>2.8847232823272728</v>
      </c>
      <c r="AC32" s="76">
        <f ca="1">IF($J32&lt;&gt;0,VLOOKUP($L32,'Allocation Factors - S'!$B$13:$U$214,20,FALSE)*$J32,0)+IF($F32&lt;&gt;0,VLOOKUP($H32,'Allocation Factors - S'!$B$13:$U$214,20,FALSE)*$F32,0)</f>
        <v>15.167374926854082</v>
      </c>
    </row>
    <row r="33" spans="1:29" x14ac:dyDescent="0.25">
      <c r="A33" s="2">
        <f t="shared" ref="A33:A39" si="7">A32+1</f>
        <v>15</v>
      </c>
      <c r="B33" s="31" t="s">
        <v>377</v>
      </c>
      <c r="D33" s="76">
        <f ca="1">'Total Allocation by Rate Zone'!R33</f>
        <v>0</v>
      </c>
      <c r="J33" s="76">
        <f t="shared" ca="1" si="6"/>
        <v>0</v>
      </c>
      <c r="L33" s="2" t="s">
        <v>457</v>
      </c>
      <c r="N33" s="76">
        <f ca="1">IF($J33&lt;&gt;0,VLOOKUP($L33,'Allocation Factors - S'!$B$13:$U$214,5,FALSE)*$J33,0)+IF($F33&lt;&gt;0,VLOOKUP($H33,'Allocation Factors - S'!$B$13:$U$214,5,FALSE)*$F33,0)</f>
        <v>0</v>
      </c>
      <c r="O33" s="76">
        <f ca="1">IF($J33&lt;&gt;0,VLOOKUP($L33,'Allocation Factors - S'!$B$13:$U$214,6,FALSE)*$J33,0)+IF($F33&lt;&gt;0,VLOOKUP($H33,'Allocation Factors - S'!$B$13:$U$214,6,FALSE)*$F33,0)</f>
        <v>0</v>
      </c>
      <c r="P33" s="76">
        <f ca="1">IF($J33&lt;&gt;0,VLOOKUP($L33,'Allocation Factors - S'!$B$13:$U$214,7,FALSE)*$J33,0)+IF($F33&lt;&gt;0,VLOOKUP($H33,'Allocation Factors - S'!$B$13:$U$214,7,FALSE)*$F33,0)</f>
        <v>0</v>
      </c>
      <c r="Q33" s="76"/>
      <c r="R33" s="76"/>
      <c r="S33" s="76">
        <f ca="1">IF($J33&lt;&gt;0,VLOOKUP($L33,'Allocation Factors - S'!$B$13:$U$214,10,FALSE)*$J33,0)+IF($F33&lt;&gt;0,VLOOKUP($H33,'Allocation Factors - S'!$B$13:$U$214,10,FALSE)*$F33,0)</f>
        <v>0</v>
      </c>
      <c r="T33" s="76">
        <f ca="1">IF($J33&lt;&gt;0,VLOOKUP($L33,'Allocation Factors - S'!$B$13:$U$214,11,FALSE)*$J33,0)+IF($F33&lt;&gt;0,VLOOKUP($H33,'Allocation Factors - S'!$B$13:$U$214,11,FALSE)*$F33,0)</f>
        <v>0</v>
      </c>
      <c r="U33" s="76">
        <f ca="1">IF($J33&lt;&gt;0,VLOOKUP($L33,'Allocation Factors - S'!$B$13:$U$214,12,FALSE)*$J33,0)+IF($F33&lt;&gt;0,VLOOKUP($H33,'Allocation Factors - S'!$B$13:$U$214,12,FALSE)*$F33,0)</f>
        <v>0</v>
      </c>
      <c r="V33" s="76">
        <f ca="1">IF($J33&lt;&gt;0,VLOOKUP($L33,'Allocation Factors - S'!$B$13:$U$214,13,FALSE)*$J33,0)+IF($F33&lt;&gt;0,VLOOKUP($H33,'Allocation Factors - S'!$B$13:$U$214,13,FALSE)*$F33,0)</f>
        <v>0</v>
      </c>
      <c r="W33" s="76">
        <f ca="1">IF($J33&lt;&gt;0,VLOOKUP($L33,'Allocation Factors - S'!$B$13:$U$214,14,FALSE)*$J33,0)+IF($F33&lt;&gt;0,VLOOKUP($H33,'Allocation Factors - S'!$B$13:$U$214,14,FALSE)*$F33,0)</f>
        <v>0</v>
      </c>
      <c r="X33" s="76">
        <f ca="1">IF($J33&lt;&gt;0,VLOOKUP($L33,'Allocation Factors - S'!$B$13:$U$214,15,FALSE)*$J33,0)+IF($F33&lt;&gt;0,VLOOKUP($H33,'Allocation Factors - S'!$B$13:$U$214,15,FALSE)*$F33,0)</f>
        <v>0</v>
      </c>
      <c r="Y33" s="76">
        <f ca="1">IF($J33&lt;&gt;0,VLOOKUP($L33,'Allocation Factors - S'!$B$13:$U$214,16,FALSE)*$J33,0)+IF($F33&lt;&gt;0,VLOOKUP($H33,'Allocation Factors - S'!$B$13:$U$214,16,FALSE)*$F33,0)</f>
        <v>0</v>
      </c>
      <c r="Z33" s="76">
        <f ca="1">IF($J33&lt;&gt;0,VLOOKUP($L33,'Allocation Factors - S'!$B$13:$U$214,17,FALSE)*$J33,0)+IF($F33&lt;&gt;0,VLOOKUP($H33,'Allocation Factors - S'!$B$13:$U$214,17,FALSE)*$F33,0)</f>
        <v>0</v>
      </c>
      <c r="AA33" s="76">
        <f ca="1">IF($J33&lt;&gt;0,VLOOKUP($L33,'Allocation Factors - S'!$B$13:$U$214,18,FALSE)*$J33,0)+IF($F33&lt;&gt;0,VLOOKUP($H33,'Allocation Factors - S'!$B$13:$U$214,18,FALSE)*$F33,0)</f>
        <v>0</v>
      </c>
      <c r="AB33" s="76">
        <f ca="1">IF($J33&lt;&gt;0,VLOOKUP($L33,'Allocation Factors - S'!$B$13:$U$214,19,FALSE)*$J33,0)+IF($F33&lt;&gt;0,VLOOKUP($H33,'Allocation Factors - S'!$B$13:$U$214,19,FALSE)*$F33,0)</f>
        <v>0</v>
      </c>
      <c r="AC33" s="76">
        <f ca="1">IF($J33&lt;&gt;0,VLOOKUP($L33,'Allocation Factors - S'!$B$13:$U$214,20,FALSE)*$J33,0)+IF($F33&lt;&gt;0,VLOOKUP($H33,'Allocation Factors - S'!$B$13:$U$214,20,FALSE)*$F33,0)</f>
        <v>0</v>
      </c>
    </row>
    <row r="34" spans="1:29" x14ac:dyDescent="0.25">
      <c r="A34" s="2">
        <f t="shared" si="7"/>
        <v>16</v>
      </c>
      <c r="B34" s="31" t="s">
        <v>379</v>
      </c>
      <c r="D34" s="76">
        <f ca="1">'Total Allocation by Rate Zone'!R34</f>
        <v>45205.240456075633</v>
      </c>
      <c r="J34" s="76">
        <f t="shared" ca="1" si="6"/>
        <v>45205.240456075633</v>
      </c>
      <c r="L34" s="2" t="s">
        <v>458</v>
      </c>
      <c r="N34" s="76">
        <f ca="1">IF($J34&lt;&gt;0,VLOOKUP($L34,'Allocation Factors - S'!$B$13:$U$214,5,FALSE)*$J34,0)+IF($F34&lt;&gt;0,VLOOKUP($H34,'Allocation Factors - S'!$B$13:$U$214,5,FALSE)*$F34,0)</f>
        <v>22430.762821845772</v>
      </c>
      <c r="O34" s="76">
        <f ca="1">IF($J34&lt;&gt;0,VLOOKUP($L34,'Allocation Factors - S'!$B$13:$U$214,6,FALSE)*$J34,0)+IF($F34&lt;&gt;0,VLOOKUP($H34,'Allocation Factors - S'!$B$13:$U$214,6,FALSE)*$F34,0)</f>
        <v>8163.1840484019967</v>
      </c>
      <c r="P34" s="76">
        <f ca="1">IF($J34&lt;&gt;0,VLOOKUP($L34,'Allocation Factors - S'!$B$13:$U$214,7,FALSE)*$J34,0)+IF($F34&lt;&gt;0,VLOOKUP($H34,'Allocation Factors - S'!$B$13:$U$214,7,FALSE)*$F34,0)</f>
        <v>3359.5477523875352</v>
      </c>
      <c r="Q34" s="76"/>
      <c r="R34" s="76"/>
      <c r="S34" s="76">
        <f ca="1">IF($J34&lt;&gt;0,VLOOKUP($L34,'Allocation Factors - S'!$B$13:$U$214,10,FALSE)*$J34,0)+IF($F34&lt;&gt;0,VLOOKUP($H34,'Allocation Factors - S'!$B$13:$U$214,10,FALSE)*$F34,0)</f>
        <v>5173.0144949970299</v>
      </c>
      <c r="T34" s="76">
        <f ca="1">IF($J34&lt;&gt;0,VLOOKUP($L34,'Allocation Factors - S'!$B$13:$U$214,11,FALSE)*$J34,0)+IF($F34&lt;&gt;0,VLOOKUP($H34,'Allocation Factors - S'!$B$13:$U$214,11,FALSE)*$F34,0)</f>
        <v>0</v>
      </c>
      <c r="U34" s="76">
        <f ca="1">IF($J34&lt;&gt;0,VLOOKUP($L34,'Allocation Factors - S'!$B$13:$U$214,12,FALSE)*$J34,0)+IF($F34&lt;&gt;0,VLOOKUP($H34,'Allocation Factors - S'!$B$13:$U$214,12,FALSE)*$F34,0)</f>
        <v>0</v>
      </c>
      <c r="V34" s="76">
        <f ca="1">IF($J34&lt;&gt;0,VLOOKUP($L34,'Allocation Factors - S'!$B$13:$U$214,13,FALSE)*$J34,0)+IF($F34&lt;&gt;0,VLOOKUP($H34,'Allocation Factors - S'!$B$13:$U$214,13,FALSE)*$F34,0)</f>
        <v>0</v>
      </c>
      <c r="W34" s="76">
        <f ca="1">IF($J34&lt;&gt;0,VLOOKUP($L34,'Allocation Factors - S'!$B$13:$U$214,14,FALSE)*$J34,0)+IF($F34&lt;&gt;0,VLOOKUP($H34,'Allocation Factors - S'!$B$13:$U$214,14,FALSE)*$F34,0)</f>
        <v>3206.5812869937376</v>
      </c>
      <c r="X34" s="76">
        <f ca="1">IF($J34&lt;&gt;0,VLOOKUP($L34,'Allocation Factors - S'!$B$13:$U$214,15,FALSE)*$J34,0)+IF($F34&lt;&gt;0,VLOOKUP($H34,'Allocation Factors - S'!$B$13:$U$214,15,FALSE)*$F34,0)</f>
        <v>0</v>
      </c>
      <c r="Y34" s="76">
        <f ca="1">IF($J34&lt;&gt;0,VLOOKUP($L34,'Allocation Factors - S'!$B$13:$U$214,16,FALSE)*$J34,0)+IF($F34&lt;&gt;0,VLOOKUP($H34,'Allocation Factors - S'!$B$13:$U$214,16,FALSE)*$F34,0)</f>
        <v>19.357278932974488</v>
      </c>
      <c r="Z34" s="76">
        <f ca="1">IF($J34&lt;&gt;0,VLOOKUP($L34,'Allocation Factors - S'!$B$13:$U$214,17,FALSE)*$J34,0)+IF($F34&lt;&gt;0,VLOOKUP($H34,'Allocation Factors - S'!$B$13:$U$214,17,FALSE)*$F34,0)</f>
        <v>0</v>
      </c>
      <c r="AA34" s="76">
        <f ca="1">IF($J34&lt;&gt;0,VLOOKUP($L34,'Allocation Factors - S'!$B$13:$U$214,18,FALSE)*$J34,0)+IF($F34&lt;&gt;0,VLOOKUP($H34,'Allocation Factors - S'!$B$13:$U$214,18,FALSE)*$F34,0)</f>
        <v>0</v>
      </c>
      <c r="AB34" s="76">
        <f ca="1">IF($J34&lt;&gt;0,VLOOKUP($L34,'Allocation Factors - S'!$B$13:$U$214,19,FALSE)*$J34,0)+IF($F34&lt;&gt;0,VLOOKUP($H34,'Allocation Factors - S'!$B$13:$U$214,19,FALSE)*$F34,0)</f>
        <v>455.8759671686268</v>
      </c>
      <c r="AC34" s="76">
        <f ca="1">IF($J34&lt;&gt;0,VLOOKUP($L34,'Allocation Factors - S'!$B$13:$U$214,20,FALSE)*$J34,0)+IF($F34&lt;&gt;0,VLOOKUP($H34,'Allocation Factors - S'!$B$13:$U$214,20,FALSE)*$F34,0)</f>
        <v>2396.9168053479657</v>
      </c>
    </row>
    <row r="35" spans="1:29" x14ac:dyDescent="0.25">
      <c r="A35" s="2">
        <f t="shared" si="7"/>
        <v>17</v>
      </c>
      <c r="B35" s="31" t="s">
        <v>381</v>
      </c>
      <c r="D35" s="76">
        <f ca="1">'Total Allocation by Rate Zone'!R35</f>
        <v>0</v>
      </c>
      <c r="J35" s="76">
        <f t="shared" ca="1" si="6"/>
        <v>0</v>
      </c>
      <c r="L35" s="2" t="s">
        <v>459</v>
      </c>
      <c r="N35" s="76">
        <f ca="1">IF($J35&lt;&gt;0,VLOOKUP($L35,'Allocation Factors - S'!$B$13:$U$214,5,FALSE)*$J35,0)+IF($F35&lt;&gt;0,VLOOKUP($H35,'Allocation Factors - S'!$B$13:$U$214,5,FALSE)*$F35,0)</f>
        <v>0</v>
      </c>
      <c r="O35" s="76">
        <f ca="1">IF($J35&lt;&gt;0,VLOOKUP($L35,'Allocation Factors - S'!$B$13:$U$214,6,FALSE)*$J35,0)+IF($F35&lt;&gt;0,VLOOKUP($H35,'Allocation Factors - S'!$B$13:$U$214,6,FALSE)*$F35,0)</f>
        <v>0</v>
      </c>
      <c r="P35" s="76">
        <f ca="1">IF($J35&lt;&gt;0,VLOOKUP($L35,'Allocation Factors - S'!$B$13:$U$214,7,FALSE)*$J35,0)+IF($F35&lt;&gt;0,VLOOKUP($H35,'Allocation Factors - S'!$B$13:$U$214,7,FALSE)*$F35,0)</f>
        <v>0</v>
      </c>
      <c r="Q35" s="76"/>
      <c r="R35" s="76"/>
      <c r="S35" s="76">
        <f ca="1">IF($J35&lt;&gt;0,VLOOKUP($L35,'Allocation Factors - S'!$B$13:$U$214,10,FALSE)*$J35,0)+IF($F35&lt;&gt;0,VLOOKUP($H35,'Allocation Factors - S'!$B$13:$U$214,10,FALSE)*$F35,0)</f>
        <v>0</v>
      </c>
      <c r="T35" s="76">
        <f ca="1">IF($J35&lt;&gt;0,VLOOKUP($L35,'Allocation Factors - S'!$B$13:$U$214,11,FALSE)*$J35,0)+IF($F35&lt;&gt;0,VLOOKUP($H35,'Allocation Factors - S'!$B$13:$U$214,11,FALSE)*$F35,0)</f>
        <v>0</v>
      </c>
      <c r="U35" s="76">
        <f ca="1">IF($J35&lt;&gt;0,VLOOKUP($L35,'Allocation Factors - S'!$B$13:$U$214,12,FALSE)*$J35,0)+IF($F35&lt;&gt;0,VLOOKUP($H35,'Allocation Factors - S'!$B$13:$U$214,12,FALSE)*$F35,0)</f>
        <v>0</v>
      </c>
      <c r="V35" s="76">
        <f ca="1">IF($J35&lt;&gt;0,VLOOKUP($L35,'Allocation Factors - S'!$B$13:$U$214,13,FALSE)*$J35,0)+IF($F35&lt;&gt;0,VLOOKUP($H35,'Allocation Factors - S'!$B$13:$U$214,13,FALSE)*$F35,0)</f>
        <v>0</v>
      </c>
      <c r="W35" s="76">
        <f ca="1">IF($J35&lt;&gt;0,VLOOKUP($L35,'Allocation Factors - S'!$B$13:$U$214,14,FALSE)*$J35,0)+IF($F35&lt;&gt;0,VLOOKUP($H35,'Allocation Factors - S'!$B$13:$U$214,14,FALSE)*$F35,0)</f>
        <v>0</v>
      </c>
      <c r="X35" s="76">
        <f ca="1">IF($J35&lt;&gt;0,VLOOKUP($L35,'Allocation Factors - S'!$B$13:$U$214,15,FALSE)*$J35,0)+IF($F35&lt;&gt;0,VLOOKUP($H35,'Allocation Factors - S'!$B$13:$U$214,15,FALSE)*$F35,0)</f>
        <v>0</v>
      </c>
      <c r="Y35" s="76">
        <f ca="1">IF($J35&lt;&gt;0,VLOOKUP($L35,'Allocation Factors - S'!$B$13:$U$214,16,FALSE)*$J35,0)+IF($F35&lt;&gt;0,VLOOKUP($H35,'Allocation Factors - S'!$B$13:$U$214,16,FALSE)*$F35,0)</f>
        <v>0</v>
      </c>
      <c r="Z35" s="76">
        <f ca="1">IF($J35&lt;&gt;0,VLOOKUP($L35,'Allocation Factors - S'!$B$13:$U$214,17,FALSE)*$J35,0)+IF($F35&lt;&gt;0,VLOOKUP($H35,'Allocation Factors - S'!$B$13:$U$214,17,FALSE)*$F35,0)</f>
        <v>0</v>
      </c>
      <c r="AA35" s="76">
        <f ca="1">IF($J35&lt;&gt;0,VLOOKUP($L35,'Allocation Factors - S'!$B$13:$U$214,18,FALSE)*$J35,0)+IF($F35&lt;&gt;0,VLOOKUP($H35,'Allocation Factors - S'!$B$13:$U$214,18,FALSE)*$F35,0)</f>
        <v>0</v>
      </c>
      <c r="AB35" s="76">
        <f ca="1">IF($J35&lt;&gt;0,VLOOKUP($L35,'Allocation Factors - S'!$B$13:$U$214,19,FALSE)*$J35,0)+IF($F35&lt;&gt;0,VLOOKUP($H35,'Allocation Factors - S'!$B$13:$U$214,19,FALSE)*$F35,0)</f>
        <v>0</v>
      </c>
      <c r="AC35" s="76">
        <f ca="1">IF($J35&lt;&gt;0,VLOOKUP($L35,'Allocation Factors - S'!$B$13:$U$214,20,FALSE)*$J35,0)+IF($F35&lt;&gt;0,VLOOKUP($H35,'Allocation Factors - S'!$B$13:$U$214,20,FALSE)*$F35,0)</f>
        <v>0</v>
      </c>
    </row>
    <row r="36" spans="1:29" x14ac:dyDescent="0.25">
      <c r="A36" s="2">
        <f t="shared" si="7"/>
        <v>18</v>
      </c>
      <c r="B36" s="31" t="s">
        <v>383</v>
      </c>
      <c r="D36" s="76">
        <f ca="1">'Total Allocation by Rate Zone'!R36</f>
        <v>51106.232348853373</v>
      </c>
      <c r="J36" s="76">
        <f t="shared" ca="1" si="6"/>
        <v>51106.232348853373</v>
      </c>
      <c r="L36" s="2" t="s">
        <v>460</v>
      </c>
      <c r="N36" s="76">
        <f ca="1">IF($J36&lt;&gt;0,VLOOKUP($L36,'Allocation Factors - S'!$B$13:$U$214,5,FALSE)*$J36,0)+IF($F36&lt;&gt;0,VLOOKUP($H36,'Allocation Factors - S'!$B$13:$U$214,5,FALSE)*$F36,0)</f>
        <v>12347.374384524597</v>
      </c>
      <c r="O36" s="76">
        <f ca="1">IF($J36&lt;&gt;0,VLOOKUP($L36,'Allocation Factors - S'!$B$13:$U$214,6,FALSE)*$J36,0)+IF($F36&lt;&gt;0,VLOOKUP($H36,'Allocation Factors - S'!$B$13:$U$214,6,FALSE)*$F36,0)</f>
        <v>4910.1055436935749</v>
      </c>
      <c r="P36" s="76">
        <f ca="1">IF($J36&lt;&gt;0,VLOOKUP($L36,'Allocation Factors - S'!$B$13:$U$214,7,FALSE)*$J36,0)+IF($F36&lt;&gt;0,VLOOKUP($H36,'Allocation Factors - S'!$B$13:$U$214,7,FALSE)*$F36,0)</f>
        <v>12791.230570498017</v>
      </c>
      <c r="Q36" s="76"/>
      <c r="R36" s="76"/>
      <c r="S36" s="76">
        <f ca="1">IF($J36&lt;&gt;0,VLOOKUP($L36,'Allocation Factors - S'!$B$13:$U$214,10,FALSE)*$J36,0)+IF($F36&lt;&gt;0,VLOOKUP($H36,'Allocation Factors - S'!$B$13:$U$214,10,FALSE)*$F36,0)</f>
        <v>14678.361713527331</v>
      </c>
      <c r="T36" s="76">
        <f ca="1">IF($J36&lt;&gt;0,VLOOKUP($L36,'Allocation Factors - S'!$B$13:$U$214,11,FALSE)*$J36,0)+IF($F36&lt;&gt;0,VLOOKUP($H36,'Allocation Factors - S'!$B$13:$U$214,11,FALSE)*$F36,0)</f>
        <v>0</v>
      </c>
      <c r="U36" s="76">
        <f ca="1">IF($J36&lt;&gt;0,VLOOKUP($L36,'Allocation Factors - S'!$B$13:$U$214,12,FALSE)*$J36,0)+IF($F36&lt;&gt;0,VLOOKUP($H36,'Allocation Factors - S'!$B$13:$U$214,12,FALSE)*$F36,0)</f>
        <v>0</v>
      </c>
      <c r="V36" s="76">
        <f ca="1">IF($J36&lt;&gt;0,VLOOKUP($L36,'Allocation Factors - S'!$B$13:$U$214,13,FALSE)*$J36,0)+IF($F36&lt;&gt;0,VLOOKUP($H36,'Allocation Factors - S'!$B$13:$U$214,13,FALSE)*$F36,0)</f>
        <v>0</v>
      </c>
      <c r="W36" s="76">
        <f ca="1">IF($J36&lt;&gt;0,VLOOKUP($L36,'Allocation Factors - S'!$B$13:$U$214,14,FALSE)*$J36,0)+IF($F36&lt;&gt;0,VLOOKUP($H36,'Allocation Factors - S'!$B$13:$U$214,14,FALSE)*$F36,0)</f>
        <v>6378.6488924029718</v>
      </c>
      <c r="X36" s="76">
        <f ca="1">IF($J36&lt;&gt;0,VLOOKUP($L36,'Allocation Factors - S'!$B$13:$U$214,15,FALSE)*$J36,0)+IF($F36&lt;&gt;0,VLOOKUP($H36,'Allocation Factors - S'!$B$13:$U$214,15,FALSE)*$F36,0)</f>
        <v>0</v>
      </c>
      <c r="Y36" s="76">
        <f ca="1">IF($J36&lt;&gt;0,VLOOKUP($L36,'Allocation Factors - S'!$B$13:$U$214,16,FALSE)*$J36,0)+IF($F36&lt;&gt;0,VLOOKUP($H36,'Allocation Factors - S'!$B$13:$U$214,16,FALSE)*$F36,0)</f>
        <v>0.51124420687896888</v>
      </c>
      <c r="Z36" s="76">
        <f ca="1">IF($J36&lt;&gt;0,VLOOKUP($L36,'Allocation Factors - S'!$B$13:$U$214,17,FALSE)*$J36,0)+IF($F36&lt;&gt;0,VLOOKUP($H36,'Allocation Factors - S'!$B$13:$U$214,17,FALSE)*$F36,0)</f>
        <v>0</v>
      </c>
      <c r="AA36" s="76">
        <f ca="1">IF($J36&lt;&gt;0,VLOOKUP($L36,'Allocation Factors - S'!$B$13:$U$214,18,FALSE)*$J36,0)+IF($F36&lt;&gt;0,VLOOKUP($H36,'Allocation Factors - S'!$B$13:$U$214,18,FALSE)*$F36,0)</f>
        <v>0</v>
      </c>
      <c r="AB36" s="76">
        <f ca="1">IF($J36&lt;&gt;0,VLOOKUP($L36,'Allocation Factors - S'!$B$13:$U$214,19,FALSE)*$J36,0)+IF($F36&lt;&gt;0,VLOOKUP($H36,'Allocation Factors - S'!$B$13:$U$214,19,FALSE)*$F36,0)</f>
        <v>0</v>
      </c>
      <c r="AC36" s="76">
        <f ca="1">IF($J36&lt;&gt;0,VLOOKUP($L36,'Allocation Factors - S'!$B$13:$U$214,20,FALSE)*$J36,0)+IF($F36&lt;&gt;0,VLOOKUP($H36,'Allocation Factors - S'!$B$13:$U$214,20,FALSE)*$F36,0)</f>
        <v>0</v>
      </c>
    </row>
    <row r="37" spans="1:29" x14ac:dyDescent="0.25">
      <c r="A37" s="2">
        <f t="shared" si="7"/>
        <v>19</v>
      </c>
      <c r="B37" s="31" t="s">
        <v>385</v>
      </c>
      <c r="D37" s="76">
        <f ca="1">'Total Allocation by Rate Zone'!R37</f>
        <v>2042.0772565754232</v>
      </c>
      <c r="J37" s="76">
        <f t="shared" ca="1" si="6"/>
        <v>2042.0772565754232</v>
      </c>
      <c r="L37" s="2" t="s">
        <v>461</v>
      </c>
      <c r="N37" s="76">
        <f ca="1">IF($J37&lt;&gt;0,VLOOKUP($L37,'Allocation Factors - S'!$B$13:$U$214,5,FALSE)*$J37,0)+IF($F37&lt;&gt;0,VLOOKUP($H37,'Allocation Factors - S'!$B$13:$U$214,5,FALSE)*$F37,0)</f>
        <v>381.37593609490534</v>
      </c>
      <c r="O37" s="76">
        <f ca="1">IF($J37&lt;&gt;0,VLOOKUP($L37,'Allocation Factors - S'!$B$13:$U$214,6,FALSE)*$J37,0)+IF($F37&lt;&gt;0,VLOOKUP($H37,'Allocation Factors - S'!$B$13:$U$214,6,FALSE)*$F37,0)</f>
        <v>150.4020195833844</v>
      </c>
      <c r="P37" s="76">
        <f ca="1">IF($J37&lt;&gt;0,VLOOKUP($L37,'Allocation Factors - S'!$B$13:$U$214,7,FALSE)*$J37,0)+IF($F37&lt;&gt;0,VLOOKUP($H37,'Allocation Factors - S'!$B$13:$U$214,7,FALSE)*$F37,0)</f>
        <v>361.85689420819483</v>
      </c>
      <c r="Q37" s="76"/>
      <c r="R37" s="76"/>
      <c r="S37" s="76">
        <f ca="1">IF($J37&lt;&gt;0,VLOOKUP($L37,'Allocation Factors - S'!$B$13:$U$214,10,FALSE)*$J37,0)+IF($F37&lt;&gt;0,VLOOKUP($H37,'Allocation Factors - S'!$B$13:$U$214,10,FALSE)*$F37,0)</f>
        <v>771.8374783330172</v>
      </c>
      <c r="T37" s="76">
        <f ca="1">IF($J37&lt;&gt;0,VLOOKUP($L37,'Allocation Factors - S'!$B$13:$U$214,11,FALSE)*$J37,0)+IF($F37&lt;&gt;0,VLOOKUP($H37,'Allocation Factors - S'!$B$13:$U$214,11,FALSE)*$F37,0)</f>
        <v>0</v>
      </c>
      <c r="U37" s="76">
        <f ca="1">IF($J37&lt;&gt;0,VLOOKUP($L37,'Allocation Factors - S'!$B$13:$U$214,12,FALSE)*$J37,0)+IF($F37&lt;&gt;0,VLOOKUP($H37,'Allocation Factors - S'!$B$13:$U$214,12,FALSE)*$F37,0)</f>
        <v>0</v>
      </c>
      <c r="V37" s="76">
        <f ca="1">IF($J37&lt;&gt;0,VLOOKUP($L37,'Allocation Factors - S'!$B$13:$U$214,13,FALSE)*$J37,0)+IF($F37&lt;&gt;0,VLOOKUP($H37,'Allocation Factors - S'!$B$13:$U$214,13,FALSE)*$F37,0)</f>
        <v>0</v>
      </c>
      <c r="W37" s="76">
        <f ca="1">IF($J37&lt;&gt;0,VLOOKUP($L37,'Allocation Factors - S'!$B$13:$U$214,14,FALSE)*$J37,0)+IF($F37&lt;&gt;0,VLOOKUP($H37,'Allocation Factors - S'!$B$13:$U$214,14,FALSE)*$F37,0)</f>
        <v>376.56407227557895</v>
      </c>
      <c r="X37" s="76">
        <f ca="1">IF($J37&lt;&gt;0,VLOOKUP($L37,'Allocation Factors - S'!$B$13:$U$214,15,FALSE)*$J37,0)+IF($F37&lt;&gt;0,VLOOKUP($H37,'Allocation Factors - S'!$B$13:$U$214,15,FALSE)*$F37,0)</f>
        <v>0</v>
      </c>
      <c r="Y37" s="76">
        <f ca="1">IF($J37&lt;&gt;0,VLOOKUP($L37,'Allocation Factors - S'!$B$13:$U$214,16,FALSE)*$J37,0)+IF($F37&lt;&gt;0,VLOOKUP($H37,'Allocation Factors - S'!$B$13:$U$214,16,FALSE)*$F37,0)</f>
        <v>4.085608034249491E-2</v>
      </c>
      <c r="Z37" s="76">
        <f ca="1">IF($J37&lt;&gt;0,VLOOKUP($L37,'Allocation Factors - S'!$B$13:$U$214,17,FALSE)*$J37,0)+IF($F37&lt;&gt;0,VLOOKUP($H37,'Allocation Factors - S'!$B$13:$U$214,17,FALSE)*$F37,0)</f>
        <v>0</v>
      </c>
      <c r="AA37" s="76">
        <f ca="1">IF($J37&lt;&gt;0,VLOOKUP($L37,'Allocation Factors - S'!$B$13:$U$214,18,FALSE)*$J37,0)+IF($F37&lt;&gt;0,VLOOKUP($H37,'Allocation Factors - S'!$B$13:$U$214,18,FALSE)*$F37,0)</f>
        <v>0</v>
      </c>
      <c r="AB37" s="76">
        <f ca="1">IF($J37&lt;&gt;0,VLOOKUP($L37,'Allocation Factors - S'!$B$13:$U$214,19,FALSE)*$J37,0)+IF($F37&lt;&gt;0,VLOOKUP($H37,'Allocation Factors - S'!$B$13:$U$214,19,FALSE)*$F37,0)</f>
        <v>0</v>
      </c>
      <c r="AC37" s="76">
        <f ca="1">IF($J37&lt;&gt;0,VLOOKUP($L37,'Allocation Factors - S'!$B$13:$U$214,20,FALSE)*$J37,0)+IF($F37&lt;&gt;0,VLOOKUP($H37,'Allocation Factors - S'!$B$13:$U$214,20,FALSE)*$F37,0)</f>
        <v>0</v>
      </c>
    </row>
    <row r="38" spans="1:29" x14ac:dyDescent="0.25">
      <c r="A38" s="2">
        <f t="shared" si="7"/>
        <v>20</v>
      </c>
      <c r="B38" s="31" t="s">
        <v>386</v>
      </c>
      <c r="D38" s="76">
        <f ca="1">'Total Allocation by Rate Zone'!R38</f>
        <v>4680.2587595675122</v>
      </c>
      <c r="F38" s="76">
        <f>'Rate Zone Allocation Factors'!J16</f>
        <v>4472.5161039693839</v>
      </c>
      <c r="H38" s="2" t="s">
        <v>462</v>
      </c>
      <c r="J38" s="76">
        <f t="shared" ca="1" si="6"/>
        <v>207.74265559812829</v>
      </c>
      <c r="L38" s="2" t="s">
        <v>463</v>
      </c>
      <c r="N38" s="76">
        <f ca="1">IF($J38&lt;&gt;0,VLOOKUP($L38,'Allocation Factors - S'!$B$13:$U$214,5,FALSE)*$J38,0)+IF($F38&lt;&gt;0,VLOOKUP($H38,'Allocation Factors - S'!$B$13:$U$214,5,FALSE)*$F38,0)</f>
        <v>1284.3835424105955</v>
      </c>
      <c r="O38" s="76">
        <f ca="1">IF($J38&lt;&gt;0,VLOOKUP($L38,'Allocation Factors - S'!$B$13:$U$214,6,FALSE)*$J38,0)+IF($F38&lt;&gt;0,VLOOKUP($H38,'Allocation Factors - S'!$B$13:$U$214,6,FALSE)*$F38,0)</f>
        <v>532.69617373201288</v>
      </c>
      <c r="P38" s="76">
        <f ca="1">IF($J38&lt;&gt;0,VLOOKUP($L38,'Allocation Factors - S'!$B$13:$U$214,7,FALSE)*$J38,0)+IF($F38&lt;&gt;0,VLOOKUP($H38,'Allocation Factors - S'!$B$13:$U$214,7,FALSE)*$F38,0)</f>
        <v>520.17690471499122</v>
      </c>
      <c r="Q38" s="76"/>
      <c r="R38" s="76"/>
      <c r="S38" s="76">
        <f ca="1">IF($J38&lt;&gt;0,VLOOKUP($L38,'Allocation Factors - S'!$B$13:$U$214,10,FALSE)*$J38,0)+IF($F38&lt;&gt;0,VLOOKUP($H38,'Allocation Factors - S'!$B$13:$U$214,10,FALSE)*$F38,0)</f>
        <v>1558.7647582800062</v>
      </c>
      <c r="T38" s="76">
        <f ca="1">IF($J38&lt;&gt;0,VLOOKUP($L38,'Allocation Factors - S'!$B$13:$U$214,11,FALSE)*$J38,0)+IF($F38&lt;&gt;0,VLOOKUP($H38,'Allocation Factors - S'!$B$13:$U$214,11,FALSE)*$F38,0)</f>
        <v>31.449374457231599</v>
      </c>
      <c r="U38" s="76">
        <f ca="1">IF($J38&lt;&gt;0,VLOOKUP($L38,'Allocation Factors - S'!$B$13:$U$214,12,FALSE)*$J38,0)+IF($F38&lt;&gt;0,VLOOKUP($H38,'Allocation Factors - S'!$B$13:$U$214,12,FALSE)*$F38,0)</f>
        <v>0</v>
      </c>
      <c r="V38" s="76">
        <f ca="1">IF($J38&lt;&gt;0,VLOOKUP($L38,'Allocation Factors - S'!$B$13:$U$214,13,FALSE)*$J38,0)+IF($F38&lt;&gt;0,VLOOKUP($H38,'Allocation Factors - S'!$B$13:$U$214,13,FALSE)*$F38,0)</f>
        <v>0</v>
      </c>
      <c r="W38" s="76">
        <f ca="1">IF($J38&lt;&gt;0,VLOOKUP($L38,'Allocation Factors - S'!$B$13:$U$214,14,FALSE)*$J38,0)+IF($F38&lt;&gt;0,VLOOKUP($H38,'Allocation Factors - S'!$B$13:$U$214,14,FALSE)*$F38,0)</f>
        <v>566.06637608866606</v>
      </c>
      <c r="X38" s="76">
        <f ca="1">IF($J38&lt;&gt;0,VLOOKUP($L38,'Allocation Factors - S'!$B$13:$U$214,15,FALSE)*$J38,0)+IF($F38&lt;&gt;0,VLOOKUP($H38,'Allocation Factors - S'!$B$13:$U$214,15,FALSE)*$F38,0)</f>
        <v>0</v>
      </c>
      <c r="Y38" s="76">
        <f ca="1">IF($J38&lt;&gt;0,VLOOKUP($L38,'Allocation Factors - S'!$B$13:$U$214,16,FALSE)*$J38,0)+IF($F38&lt;&gt;0,VLOOKUP($H38,'Allocation Factors - S'!$B$13:$U$214,16,FALSE)*$F38,0)</f>
        <v>51.303958135561885</v>
      </c>
      <c r="Z38" s="76">
        <f ca="1">IF($J38&lt;&gt;0,VLOOKUP($L38,'Allocation Factors - S'!$B$13:$U$214,17,FALSE)*$J38,0)+IF($F38&lt;&gt;0,VLOOKUP($H38,'Allocation Factors - S'!$B$13:$U$214,17,FALSE)*$F38,0)</f>
        <v>0.86221307826281612</v>
      </c>
      <c r="AA38" s="76">
        <f ca="1">IF($J38&lt;&gt;0,VLOOKUP($L38,'Allocation Factors - S'!$B$13:$U$214,18,FALSE)*$J38,0)+IF($F38&lt;&gt;0,VLOOKUP($H38,'Allocation Factors - S'!$B$13:$U$214,18,FALSE)*$F38,0)</f>
        <v>0</v>
      </c>
      <c r="AB38" s="76">
        <f ca="1">IF($J38&lt;&gt;0,VLOOKUP($L38,'Allocation Factors - S'!$B$13:$U$214,19,FALSE)*$J38,0)+IF($F38&lt;&gt;0,VLOOKUP($H38,'Allocation Factors - S'!$B$13:$U$214,19,FALSE)*$F38,0)</f>
        <v>35.723003940961362</v>
      </c>
      <c r="AC38" s="76">
        <f ca="1">IF($J38&lt;&gt;0,VLOOKUP($L38,'Allocation Factors - S'!$B$13:$U$214,20,FALSE)*$J38,0)+IF($F38&lt;&gt;0,VLOOKUP($H38,'Allocation Factors - S'!$B$13:$U$214,20,FALSE)*$F38,0)</f>
        <v>98.832454729222178</v>
      </c>
    </row>
    <row r="39" spans="1:29" x14ac:dyDescent="0.25">
      <c r="A39" s="2">
        <f t="shared" si="7"/>
        <v>21</v>
      </c>
      <c r="B39" s="31" t="s">
        <v>389</v>
      </c>
      <c r="D39" s="40">
        <f ca="1">SUM(D31:D38)</f>
        <v>106120.98056778303</v>
      </c>
      <c r="F39" s="40">
        <f>SUM(F31:F38)</f>
        <v>4472.5161039693839</v>
      </c>
      <c r="J39" s="40">
        <f ca="1">SUM(J31:J38)</f>
        <v>101648.46446381364</v>
      </c>
      <c r="N39" s="40">
        <f t="shared" ref="N39:AB39" ca="1" si="8">SUM(N31:N38)</f>
        <v>37975.746013452386</v>
      </c>
      <c r="O39" s="40">
        <f t="shared" ca="1" si="8"/>
        <v>14313.870743209109</v>
      </c>
      <c r="P39" s="40">
        <f t="shared" ca="1" si="8"/>
        <v>17262.243506273448</v>
      </c>
      <c r="Q39" s="40"/>
      <c r="R39" s="40"/>
      <c r="S39" s="40">
        <f t="shared" ca="1" si="8"/>
        <v>22535.255720806326</v>
      </c>
      <c r="T39" s="40">
        <f t="shared" ca="1" si="8"/>
        <v>31.449374457231599</v>
      </c>
      <c r="U39" s="40">
        <f t="shared" ca="1" si="8"/>
        <v>0</v>
      </c>
      <c r="V39" s="40">
        <f t="shared" ca="1" si="8"/>
        <v>0</v>
      </c>
      <c r="W39" s="40">
        <f t="shared" ca="1" si="8"/>
        <v>10746.845574038551</v>
      </c>
      <c r="X39" s="40">
        <f t="shared" ca="1" si="8"/>
        <v>0</v>
      </c>
      <c r="Y39" s="40">
        <f t="shared" ca="1" si="8"/>
        <v>72.535291271104228</v>
      </c>
      <c r="Z39" s="40">
        <f t="shared" ca="1" si="8"/>
        <v>0.86221307826281612</v>
      </c>
      <c r="AA39" s="40">
        <f t="shared" ca="1" si="8"/>
        <v>0</v>
      </c>
      <c r="AB39" s="40">
        <f t="shared" ca="1" si="8"/>
        <v>522.7318086224218</v>
      </c>
      <c r="AC39" s="40">
        <f ca="1">SUM(AC31:AC38)</f>
        <v>2659.4403225741844</v>
      </c>
    </row>
    <row r="40" spans="1:29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x14ac:dyDescent="0.25">
      <c r="D41" s="48"/>
    </row>
    <row r="42" spans="1:29" ht="13" thickBot="1" x14ac:dyDescent="0.3">
      <c r="A42" s="2">
        <f>A39+1</f>
        <v>22</v>
      </c>
      <c r="B42" s="31" t="s">
        <v>464</v>
      </c>
      <c r="D42" s="80">
        <f ca="1">D21+D28+D39</f>
        <v>793690.18668925622</v>
      </c>
      <c r="F42" s="80">
        <f>F21+F28+F39</f>
        <v>12865.870306476834</v>
      </c>
      <c r="H42" s="48"/>
      <c r="J42" s="80">
        <f ca="1">J21+J28+J39</f>
        <v>780824.31638277951</v>
      </c>
      <c r="L42" s="48"/>
      <c r="N42" s="80">
        <f ca="1">N21+N28+N39</f>
        <v>558064.08596361603</v>
      </c>
      <c r="O42" s="80">
        <f t="shared" ref="O42:AB42" ca="1" si="9">O21+O28+O39</f>
        <v>139948.39183675777</v>
      </c>
      <c r="P42" s="80">
        <f t="shared" ca="1" si="9"/>
        <v>42250.02953981157</v>
      </c>
      <c r="Q42" s="80"/>
      <c r="R42" s="80"/>
      <c r="S42" s="80">
        <f t="shared" ca="1" si="9"/>
        <v>31358.336380309891</v>
      </c>
      <c r="T42" s="80">
        <f t="shared" ca="1" si="9"/>
        <v>41.165776104497922</v>
      </c>
      <c r="U42" s="80">
        <f t="shared" ca="1" si="9"/>
        <v>0</v>
      </c>
      <c r="V42" s="80">
        <f t="shared" ca="1" si="9"/>
        <v>0</v>
      </c>
      <c r="W42" s="80">
        <f t="shared" ca="1" si="9"/>
        <v>10930.137752553923</v>
      </c>
      <c r="X42" s="80">
        <f t="shared" ca="1" si="9"/>
        <v>0</v>
      </c>
      <c r="Y42" s="80">
        <f t="shared" ca="1" si="9"/>
        <v>570.47757579219956</v>
      </c>
      <c r="Z42" s="80">
        <f t="shared" ca="1" si="9"/>
        <v>342.89051105140072</v>
      </c>
      <c r="AA42" s="80">
        <f t="shared" ca="1" si="9"/>
        <v>1696.9418779267523</v>
      </c>
      <c r="AB42" s="80">
        <f t="shared" ca="1" si="9"/>
        <v>3460.7419994360453</v>
      </c>
      <c r="AC42" s="80">
        <f ca="1">AC21+AC28+AC39</f>
        <v>5026.9874758961214</v>
      </c>
    </row>
    <row r="43" spans="1:29" ht="13" thickTop="1" x14ac:dyDescent="0.25"/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8743-E79C-44C2-9ED8-38BC6E50FBF9}">
  <sheetPr>
    <tabColor theme="0" tint="-0.249977111117893"/>
  </sheetPr>
  <dimension ref="A6:AD45"/>
  <sheetViews>
    <sheetView topLeftCell="C1"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4" width="12.81640625" style="31" customWidth="1"/>
    <col min="15" max="15" width="14.54296875" style="31" customWidth="1"/>
    <col min="16" max="16" width="17.1796875" style="31" customWidth="1"/>
    <col min="17" max="17" width="16.81640625" style="31" hidden="1" customWidth="1"/>
    <col min="18" max="18" width="14.7265625" style="31" hidden="1" customWidth="1"/>
    <col min="19" max="19" width="15.81640625" style="31" customWidth="1"/>
    <col min="20" max="20" width="13.453125" style="31" customWidth="1"/>
    <col min="21" max="21" width="14.26953125" style="31" customWidth="1"/>
    <col min="22" max="22" width="13.26953125" style="31" customWidth="1"/>
    <col min="23" max="23" width="13.54296875" style="31" customWidth="1"/>
    <col min="24" max="24" width="13.26953125" style="31" customWidth="1"/>
    <col min="25" max="25" width="13" style="31" customWidth="1"/>
    <col min="26" max="26" width="12.453125" style="31" customWidth="1"/>
    <col min="27" max="27" width="13.26953125" style="31" customWidth="1"/>
    <col min="28" max="28" width="14" style="31" customWidth="1"/>
    <col min="29" max="29" width="12.54296875" style="31" customWidth="1"/>
    <col min="3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473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/>
      <c r="R13" s="70"/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'Total Allocation - S'!D15-'Allocation - S Gas'!D15</f>
        <v>0</v>
      </c>
      <c r="F15" s="76">
        <f>'Total Allocation - S'!F15-'Allocation - S Gas'!F15</f>
        <v>0</v>
      </c>
      <c r="J15" s="76">
        <f ca="1">D15-F15</f>
        <v>0</v>
      </c>
      <c r="L15" s="2" t="s">
        <v>445</v>
      </c>
      <c r="N15" s="76">
        <f ca="1">'Total Allocation - S'!N15-'Allocation - S Gas'!N15</f>
        <v>0</v>
      </c>
      <c r="O15" s="76">
        <f ca="1">'Total Allocation - S'!O15-'Allocation - S Gas'!O15</f>
        <v>0</v>
      </c>
      <c r="P15" s="76">
        <f ca="1">'Total Allocation - S'!P15-'Allocation - S Gas'!P15</f>
        <v>0</v>
      </c>
      <c r="Q15" s="76"/>
      <c r="R15" s="76"/>
      <c r="S15" s="76">
        <f ca="1">'Total Allocation - S'!S15-'Allocation - S Gas'!S15</f>
        <v>0</v>
      </c>
      <c r="T15" s="76">
        <f ca="1">'Total Allocation - S'!T15-'Allocation - S Gas'!T15</f>
        <v>0</v>
      </c>
      <c r="U15" s="76">
        <f ca="1">'Total Allocation - S'!U15-'Allocation - S Gas'!U15</f>
        <v>0</v>
      </c>
      <c r="V15" s="76">
        <f ca="1">'Total Allocation - S'!V15-'Allocation - S Gas'!V15</f>
        <v>0</v>
      </c>
      <c r="W15" s="76">
        <f ca="1">'Total Allocation - S'!W15-'Allocation - S Gas'!W15</f>
        <v>0</v>
      </c>
      <c r="X15" s="76">
        <f ca="1">'Total Allocation - S'!X15-'Allocation - S Gas'!X15</f>
        <v>0</v>
      </c>
      <c r="Y15" s="76">
        <f ca="1">'Total Allocation - S'!Y15-'Allocation - S Gas'!Y15</f>
        <v>0</v>
      </c>
      <c r="Z15" s="76">
        <f ca="1">'Total Allocation - S'!Z15-'Allocation - S Gas'!Z15</f>
        <v>0</v>
      </c>
      <c r="AA15" s="76">
        <f ca="1">'Total Allocation - S'!AA15-'Allocation - S Gas'!AA15</f>
        <v>0</v>
      </c>
      <c r="AB15" s="76">
        <f ca="1">'Total Allocation - S'!AB15-'Allocation - S Gas'!AB15</f>
        <v>0</v>
      </c>
      <c r="AC15" s="76">
        <f ca="1">'Total Allocation - S'!AC15-'Allocation - S Gas'!AC15</f>
        <v>0</v>
      </c>
      <c r="AD15" s="48"/>
    </row>
    <row r="16" spans="1:30" x14ac:dyDescent="0.25">
      <c r="A16" s="2">
        <f>A15+1</f>
        <v>2</v>
      </c>
      <c r="B16" s="31" t="s">
        <v>351</v>
      </c>
      <c r="D16" s="76">
        <f ca="1">'Total Allocation - S'!D16-'Allocation - S Gas'!D16</f>
        <v>0</v>
      </c>
      <c r="E16" s="71"/>
      <c r="F16" s="76">
        <f>'Total Allocation - S'!F16-'Allocation - S Gas'!F16</f>
        <v>0</v>
      </c>
      <c r="J16" s="76">
        <f ca="1">D16-F16</f>
        <v>0</v>
      </c>
      <c r="L16" s="2" t="s">
        <v>446</v>
      </c>
      <c r="N16" s="76">
        <f ca="1">'Total Allocation - S'!N16-'Allocation - S Gas'!N16</f>
        <v>0</v>
      </c>
      <c r="O16" s="76">
        <f ca="1">'Total Allocation - S'!O16-'Allocation - S Gas'!O16</f>
        <v>0</v>
      </c>
      <c r="P16" s="76">
        <f ca="1">'Total Allocation - S'!P16-'Allocation - S Gas'!P16</f>
        <v>0</v>
      </c>
      <c r="Q16" s="76"/>
      <c r="R16" s="76"/>
      <c r="S16" s="76">
        <f ca="1">'Total Allocation - S'!S16-'Allocation - S Gas'!S16</f>
        <v>0</v>
      </c>
      <c r="T16" s="76">
        <f ca="1">'Total Allocation - S'!T16-'Allocation - S Gas'!T16</f>
        <v>0</v>
      </c>
      <c r="U16" s="76">
        <f ca="1">'Total Allocation - S'!U16-'Allocation - S Gas'!U16</f>
        <v>0</v>
      </c>
      <c r="V16" s="76">
        <f ca="1">'Total Allocation - S'!V16-'Allocation - S Gas'!V16</f>
        <v>0</v>
      </c>
      <c r="W16" s="76">
        <f ca="1">'Total Allocation - S'!W16-'Allocation - S Gas'!W16</f>
        <v>0</v>
      </c>
      <c r="X16" s="76">
        <f ca="1">'Total Allocation - S'!X16-'Allocation - S Gas'!X16</f>
        <v>0</v>
      </c>
      <c r="Y16" s="76">
        <f ca="1">'Total Allocation - S'!Y16-'Allocation - S Gas'!Y16</f>
        <v>0</v>
      </c>
      <c r="Z16" s="76">
        <f ca="1">'Total Allocation - S'!Z16-'Allocation - S Gas'!Z16</f>
        <v>0</v>
      </c>
      <c r="AA16" s="76">
        <f ca="1">'Total Allocation - S'!AA16-'Allocation - S Gas'!AA16</f>
        <v>0</v>
      </c>
      <c r="AB16" s="76">
        <f ca="1">'Total Allocation - S'!AB16-'Allocation - S Gas'!AB16</f>
        <v>0</v>
      </c>
      <c r="AC16" s="76">
        <f ca="1">'Total Allocation - S'!AC16-'Allocation - S Gas'!AC16</f>
        <v>0</v>
      </c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'Total Allocation - S'!D17-'Allocation - S Gas'!D17</f>
        <v>0</v>
      </c>
      <c r="F17" s="76">
        <f>'Total Allocation - S'!F17-'Allocation - S Gas'!F17</f>
        <v>0</v>
      </c>
      <c r="J17" s="76">
        <f t="shared" ref="J17:J20" ca="1" si="1">D17-F17</f>
        <v>0</v>
      </c>
      <c r="L17" s="2" t="s">
        <v>447</v>
      </c>
      <c r="N17" s="76">
        <f ca="1">'Total Allocation - S'!N17-'Allocation - S Gas'!N17</f>
        <v>0</v>
      </c>
      <c r="O17" s="76">
        <f ca="1">'Total Allocation - S'!O17-'Allocation - S Gas'!O17</f>
        <v>0</v>
      </c>
      <c r="P17" s="76">
        <f ca="1">'Total Allocation - S'!P17-'Allocation - S Gas'!P17</f>
        <v>0</v>
      </c>
      <c r="Q17" s="76"/>
      <c r="R17" s="76"/>
      <c r="S17" s="76">
        <f ca="1">'Total Allocation - S'!S17-'Allocation - S Gas'!S17</f>
        <v>0</v>
      </c>
      <c r="T17" s="76">
        <f ca="1">'Total Allocation - S'!T17-'Allocation - S Gas'!T17</f>
        <v>0</v>
      </c>
      <c r="U17" s="76">
        <f ca="1">'Total Allocation - S'!U17-'Allocation - S Gas'!U17</f>
        <v>0</v>
      </c>
      <c r="V17" s="76">
        <f ca="1">'Total Allocation - S'!V17-'Allocation - S Gas'!V17</f>
        <v>0</v>
      </c>
      <c r="W17" s="76">
        <f ca="1">'Total Allocation - S'!W17-'Allocation - S Gas'!W17</f>
        <v>0</v>
      </c>
      <c r="X17" s="76">
        <f ca="1">'Total Allocation - S'!X17-'Allocation - S Gas'!X17</f>
        <v>0</v>
      </c>
      <c r="Y17" s="76">
        <f ca="1">'Total Allocation - S'!Y17-'Allocation - S Gas'!Y17</f>
        <v>0</v>
      </c>
      <c r="Z17" s="76">
        <f ca="1">'Total Allocation - S'!Z17-'Allocation - S Gas'!Z17</f>
        <v>0</v>
      </c>
      <c r="AA17" s="76">
        <f ca="1">'Total Allocation - S'!AA17-'Allocation - S Gas'!AA17</f>
        <v>0</v>
      </c>
      <c r="AB17" s="76">
        <f ca="1">'Total Allocation - S'!AB17-'Allocation - S Gas'!AB17</f>
        <v>0</v>
      </c>
      <c r="AC17" s="76">
        <f ca="1">'Total Allocation - S'!AC17-'Allocation - S Gas'!AC17</f>
        <v>0</v>
      </c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'Total Allocation - S'!D18-'Allocation - S Gas'!D18</f>
        <v>0</v>
      </c>
      <c r="F18" s="76">
        <f>'Total Allocation - S'!F18-'Allocation - S Gas'!F18</f>
        <v>0</v>
      </c>
      <c r="H18" s="2" t="s">
        <v>448</v>
      </c>
      <c r="J18" s="76">
        <f t="shared" ca="1" si="1"/>
        <v>0</v>
      </c>
      <c r="L18" s="2" t="s">
        <v>449</v>
      </c>
      <c r="N18" s="76">
        <f ca="1">'Total Allocation - S'!N18-'Allocation - S Gas'!N18</f>
        <v>0</v>
      </c>
      <c r="O18" s="76">
        <f ca="1">'Total Allocation - S'!O18-'Allocation - S Gas'!O18</f>
        <v>0</v>
      </c>
      <c r="P18" s="76">
        <f ca="1">'Total Allocation - S'!P18-'Allocation - S Gas'!P18</f>
        <v>0</v>
      </c>
      <c r="Q18" s="76"/>
      <c r="R18" s="76"/>
      <c r="S18" s="76">
        <f ca="1">'Total Allocation - S'!S18-'Allocation - S Gas'!S18</f>
        <v>0</v>
      </c>
      <c r="T18" s="76">
        <f ca="1">'Total Allocation - S'!T18-'Allocation - S Gas'!T18</f>
        <v>0</v>
      </c>
      <c r="U18" s="76">
        <f ca="1">'Total Allocation - S'!U18-'Allocation - S Gas'!U18</f>
        <v>0</v>
      </c>
      <c r="V18" s="76">
        <f ca="1">'Total Allocation - S'!V18-'Allocation - S Gas'!V18</f>
        <v>0</v>
      </c>
      <c r="W18" s="76">
        <f ca="1">'Total Allocation - S'!W18-'Allocation - S Gas'!W18</f>
        <v>0</v>
      </c>
      <c r="X18" s="76">
        <f ca="1">'Total Allocation - S'!X18-'Allocation - S Gas'!X18</f>
        <v>0</v>
      </c>
      <c r="Y18" s="76">
        <f ca="1">'Total Allocation - S'!Y18-'Allocation - S Gas'!Y18</f>
        <v>0</v>
      </c>
      <c r="Z18" s="76">
        <f ca="1">'Total Allocation - S'!Z18-'Allocation - S Gas'!Z18</f>
        <v>0</v>
      </c>
      <c r="AA18" s="76">
        <f ca="1">'Total Allocation - S'!AA18-'Allocation - S Gas'!AA18</f>
        <v>0</v>
      </c>
      <c r="AB18" s="76">
        <f ca="1">'Total Allocation - S'!AB18-'Allocation - S Gas'!AB18</f>
        <v>0</v>
      </c>
      <c r="AC18" s="76">
        <f ca="1">'Total Allocation - S'!AC18-'Allocation - S Gas'!AC18</f>
        <v>0</v>
      </c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'Total Allocation - S'!D19-'Allocation - S Gas'!D19</f>
        <v>0</v>
      </c>
      <c r="F19" s="76">
        <f>'Total Allocation - S'!F19-'Allocation - S Gas'!F19</f>
        <v>0</v>
      </c>
      <c r="J19" s="76">
        <f t="shared" ca="1" si="1"/>
        <v>0</v>
      </c>
      <c r="L19" s="2" t="s">
        <v>450</v>
      </c>
      <c r="N19" s="76">
        <f ca="1">'Total Allocation - S'!N19-'Allocation - S Gas'!N19</f>
        <v>0</v>
      </c>
      <c r="O19" s="76">
        <f ca="1">'Total Allocation - S'!O19-'Allocation - S Gas'!O19</f>
        <v>0</v>
      </c>
      <c r="P19" s="76">
        <f ca="1">'Total Allocation - S'!P19-'Allocation - S Gas'!P19</f>
        <v>0</v>
      </c>
      <c r="Q19" s="76"/>
      <c r="R19" s="76"/>
      <c r="S19" s="76">
        <f ca="1">'Total Allocation - S'!S19-'Allocation - S Gas'!S19</f>
        <v>0</v>
      </c>
      <c r="T19" s="76">
        <f ca="1">'Total Allocation - S'!T19-'Allocation - S Gas'!T19</f>
        <v>0</v>
      </c>
      <c r="U19" s="76">
        <f ca="1">'Total Allocation - S'!U19-'Allocation - S Gas'!U19</f>
        <v>0</v>
      </c>
      <c r="V19" s="76">
        <f ca="1">'Total Allocation - S'!V19-'Allocation - S Gas'!V19</f>
        <v>0</v>
      </c>
      <c r="W19" s="76">
        <f ca="1">'Total Allocation - S'!W19-'Allocation - S Gas'!W19</f>
        <v>0</v>
      </c>
      <c r="X19" s="76">
        <f ca="1">'Total Allocation - S'!X19-'Allocation - S Gas'!X19</f>
        <v>0</v>
      </c>
      <c r="Y19" s="76">
        <f ca="1">'Total Allocation - S'!Y19-'Allocation - S Gas'!Y19</f>
        <v>0</v>
      </c>
      <c r="Z19" s="76">
        <f ca="1">'Total Allocation - S'!Z19-'Allocation - S Gas'!Z19</f>
        <v>0</v>
      </c>
      <c r="AA19" s="76">
        <f ca="1">'Total Allocation - S'!AA19-'Allocation - S Gas'!AA19</f>
        <v>0</v>
      </c>
      <c r="AB19" s="76">
        <f ca="1">'Total Allocation - S'!AB19-'Allocation - S Gas'!AB19</f>
        <v>0</v>
      </c>
      <c r="AC19" s="76">
        <f ca="1">'Total Allocation - S'!AC19-'Allocation - S Gas'!AC19</f>
        <v>0</v>
      </c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'Total Allocation - S'!D20-'Allocation - S Gas'!D20</f>
        <v>4565.7843354255947</v>
      </c>
      <c r="F20" s="76">
        <f>'Total Allocation - S'!F20-'Allocation - S Gas'!F20</f>
        <v>0</v>
      </c>
      <c r="J20" s="76">
        <f t="shared" ca="1" si="1"/>
        <v>4565.7843354255947</v>
      </c>
      <c r="L20" s="2" t="s">
        <v>445</v>
      </c>
      <c r="N20" s="76">
        <f ca="1">'Total Allocation - S'!N20-'Allocation - S Gas'!N20</f>
        <v>3595.233444635373</v>
      </c>
      <c r="O20" s="76">
        <f ca="1">'Total Allocation - S'!O20-'Allocation - S Gas'!O20</f>
        <v>837.7272912177732</v>
      </c>
      <c r="P20" s="76">
        <f ca="1">'Total Allocation - S'!P20-'Allocation - S Gas'!P20</f>
        <v>109.50285577236919</v>
      </c>
      <c r="Q20" s="76"/>
      <c r="R20" s="76"/>
      <c r="S20" s="76">
        <f ca="1">'Total Allocation - S'!S20-'Allocation - S Gas'!S20</f>
        <v>0</v>
      </c>
      <c r="T20" s="76">
        <f ca="1">'Total Allocation - S'!T20-'Allocation - S Gas'!T20</f>
        <v>0</v>
      </c>
      <c r="U20" s="76">
        <f ca="1">'Total Allocation - S'!U20-'Allocation - S Gas'!U20</f>
        <v>0</v>
      </c>
      <c r="V20" s="76">
        <f ca="1">'Total Allocation - S'!V20-'Allocation - S Gas'!V20</f>
        <v>0</v>
      </c>
      <c r="W20" s="76">
        <f ca="1">'Total Allocation - S'!W20-'Allocation - S Gas'!W20</f>
        <v>0</v>
      </c>
      <c r="X20" s="76">
        <f ca="1">'Total Allocation - S'!X20-'Allocation - S Gas'!X20</f>
        <v>0</v>
      </c>
      <c r="Y20" s="76">
        <f ca="1">'Total Allocation - S'!Y20-'Allocation - S Gas'!Y20</f>
        <v>2.1877312782162566</v>
      </c>
      <c r="Z20" s="76">
        <f ca="1">'Total Allocation - S'!Z20-'Allocation - S Gas'!Z20</f>
        <v>2.5567754354028338</v>
      </c>
      <c r="AA20" s="76">
        <f ca="1">'Total Allocation - S'!AA20-'Allocation - S Gas'!AA20</f>
        <v>0</v>
      </c>
      <c r="AB20" s="76">
        <f ca="1">'Total Allocation - S'!AB20-'Allocation - S Gas'!AB20</f>
        <v>18.576237086460161</v>
      </c>
      <c r="AC20" s="76">
        <f ca="1">'Total Allocation - S'!AC20-'Allocation - S Gas'!AC20</f>
        <v>0</v>
      </c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4565.7843354255947</v>
      </c>
      <c r="F21" s="78">
        <f>SUM(F15:F20)</f>
        <v>0</v>
      </c>
      <c r="J21" s="40">
        <f ca="1">SUM(J15:J20)</f>
        <v>4565.7843354255947</v>
      </c>
      <c r="N21" s="40">
        <f t="shared" ref="N21:AA21" ca="1" si="2">SUM(N15:N20)</f>
        <v>3595.233444635373</v>
      </c>
      <c r="O21" s="40">
        <f t="shared" ca="1" si="2"/>
        <v>837.7272912177732</v>
      </c>
      <c r="P21" s="40">
        <f t="shared" ca="1" si="2"/>
        <v>109.50285577236919</v>
      </c>
      <c r="Q21" s="40"/>
      <c r="R21" s="40"/>
      <c r="S21" s="40">
        <f t="shared" ca="1" si="2"/>
        <v>0</v>
      </c>
      <c r="T21" s="40">
        <f t="shared" ca="1" si="2"/>
        <v>0</v>
      </c>
      <c r="U21" s="40">
        <f t="shared" ca="1" si="2"/>
        <v>0</v>
      </c>
      <c r="V21" s="40">
        <f t="shared" ca="1" si="2"/>
        <v>0</v>
      </c>
      <c r="W21" s="40">
        <f t="shared" ca="1" si="2"/>
        <v>0</v>
      </c>
      <c r="X21" s="40">
        <f t="shared" ca="1" si="2"/>
        <v>0</v>
      </c>
      <c r="Y21" s="40">
        <f t="shared" ca="1" si="2"/>
        <v>2.1877312782162566</v>
      </c>
      <c r="Z21" s="40">
        <f t="shared" ca="1" si="2"/>
        <v>2.5567754354028338</v>
      </c>
      <c r="AA21" s="40">
        <f t="shared" ca="1" si="2"/>
        <v>0</v>
      </c>
      <c r="AB21" s="40">
        <f ca="1">SUM(AB15:AB20)</f>
        <v>18.576237086460161</v>
      </c>
      <c r="AC21" s="40">
        <f ca="1">SUM(AC15:AC20)</f>
        <v>0</v>
      </c>
      <c r="AD21" s="48"/>
    </row>
    <row r="22" spans="1:30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48"/>
    </row>
    <row r="24" spans="1:30" x14ac:dyDescent="0.25">
      <c r="A24" s="2">
        <f>A21+1</f>
        <v>8</v>
      </c>
      <c r="B24" s="31" t="s">
        <v>363</v>
      </c>
      <c r="D24" s="76">
        <f ca="1">'Total Allocation - S'!D24-'Allocation - S Gas'!D24</f>
        <v>32777.010914830542</v>
      </c>
      <c r="F24" s="76">
        <f>'Total Allocation - S'!F24-'Allocation - S Gas'!F24</f>
        <v>0</v>
      </c>
      <c r="J24" s="76">
        <f ca="1">D24-F24</f>
        <v>32777.010914830542</v>
      </c>
      <c r="L24" s="2" t="s">
        <v>447</v>
      </c>
      <c r="N24" s="76">
        <f ca="1">'Total Allocation - S'!N24-'Allocation - S Gas'!N24</f>
        <v>16343.510888757623</v>
      </c>
      <c r="O24" s="76">
        <f ca="1">'Total Allocation - S'!O24-'Allocation - S Gas'!O24</f>
        <v>5763.0520545192621</v>
      </c>
      <c r="P24" s="76">
        <f ca="1">'Total Allocation - S'!P24-'Allocation - S Gas'!P24</f>
        <v>4861.0218755320921</v>
      </c>
      <c r="Q24" s="76"/>
      <c r="R24" s="76"/>
      <c r="S24" s="76">
        <f ca="1">'Total Allocation - S'!S24-'Allocation - S Gas'!S24</f>
        <v>4007.4751346131129</v>
      </c>
      <c r="T24" s="76">
        <f ca="1">'Total Allocation - S'!T24-'Allocation - S Gas'!T24</f>
        <v>0</v>
      </c>
      <c r="U24" s="76">
        <f ca="1">'Total Allocation - S'!U24-'Allocation - S Gas'!U24</f>
        <v>0</v>
      </c>
      <c r="V24" s="76">
        <f ca="1">'Total Allocation - S'!V24-'Allocation - S Gas'!V24</f>
        <v>0</v>
      </c>
      <c r="W24" s="76">
        <f ca="1">'Total Allocation - S'!W24-'Allocation - S Gas'!W24</f>
        <v>0</v>
      </c>
      <c r="X24" s="76">
        <f ca="1">'Total Allocation - S'!X24-'Allocation - S Gas'!X24</f>
        <v>0</v>
      </c>
      <c r="Y24" s="76">
        <f ca="1">'Total Allocation - S'!Y24-'Allocation - S Gas'!Y24</f>
        <v>1.029807031307358</v>
      </c>
      <c r="Z24" s="76">
        <f ca="1">'Total Allocation - S'!Z24-'Allocation - S Gas'!Z24</f>
        <v>0</v>
      </c>
      <c r="AA24" s="76">
        <f ca="1">'Total Allocation - S'!AA24-'Allocation - S Gas'!AA24</f>
        <v>599.00166260281776</v>
      </c>
      <c r="AB24" s="76">
        <f ca="1">'Total Allocation - S'!AB24-'Allocation - S Gas'!AB24</f>
        <v>182.89765254437293</v>
      </c>
      <c r="AC24" s="76">
        <f ca="1">'Total Allocation - S'!AC24-'Allocation - S Gas'!AC24</f>
        <v>1019.0218392299505</v>
      </c>
      <c r="AD24" s="48"/>
    </row>
    <row r="25" spans="1:30" x14ac:dyDescent="0.25">
      <c r="A25" s="2">
        <f>A24+1</f>
        <v>9</v>
      </c>
      <c r="B25" s="31" t="s">
        <v>364</v>
      </c>
      <c r="D25" s="76">
        <f ca="1">'Total Allocation - S'!D25-'Allocation - S Gas'!D25</f>
        <v>20708.419821830495</v>
      </c>
      <c r="F25" s="76">
        <f>'Total Allocation - S'!F25-'Allocation - S Gas'!F25</f>
        <v>8393.3542025074494</v>
      </c>
      <c r="H25" s="2" t="s">
        <v>451</v>
      </c>
      <c r="J25" s="76">
        <f t="shared" ref="J25:J27" ca="1" si="3">D25-F25</f>
        <v>12315.065619323046</v>
      </c>
      <c r="L25" s="2" t="s">
        <v>452</v>
      </c>
      <c r="N25" s="76">
        <f ca="1">'Total Allocation - S'!N25-'Allocation - S Gas'!N25</f>
        <v>12549.277814160418</v>
      </c>
      <c r="O25" s="76">
        <f ca="1">'Total Allocation - S'!O25-'Allocation - S Gas'!O25</f>
        <v>3774.7411395250674</v>
      </c>
      <c r="P25" s="76">
        <f ca="1">'Total Allocation - S'!P25-'Allocation - S Gas'!P25</f>
        <v>1842.877248206484</v>
      </c>
      <c r="Q25" s="76"/>
      <c r="R25" s="76"/>
      <c r="S25" s="76">
        <f ca="1">'Total Allocation - S'!S25-'Allocation - S Gas'!S25</f>
        <v>1403.8164040723464</v>
      </c>
      <c r="T25" s="76">
        <f ca="1">'Total Allocation - S'!T25-'Allocation - S Gas'!T25</f>
        <v>0</v>
      </c>
      <c r="U25" s="76">
        <f ca="1">'Total Allocation - S'!U25-'Allocation - S Gas'!U25</f>
        <v>0</v>
      </c>
      <c r="V25" s="76">
        <f ca="1">'Total Allocation - S'!V25-'Allocation - S Gas'!V25</f>
        <v>0</v>
      </c>
      <c r="W25" s="76">
        <f ca="1">'Total Allocation - S'!W25-'Allocation - S Gas'!W25</f>
        <v>0</v>
      </c>
      <c r="X25" s="76">
        <f ca="1">'Total Allocation - S'!X25-'Allocation - S Gas'!X25</f>
        <v>0</v>
      </c>
      <c r="Y25" s="76">
        <f ca="1">'Total Allocation - S'!Y25-'Allocation - S Gas'!Y25</f>
        <v>97.499204399957904</v>
      </c>
      <c r="Z25" s="76">
        <f ca="1">'Total Allocation - S'!Z25-'Allocation - S Gas'!Z25</f>
        <v>0</v>
      </c>
      <c r="AA25" s="76">
        <f ca="1">'Total Allocation - S'!AA25-'Allocation - S Gas'!AA25</f>
        <v>400.91722953912864</v>
      </c>
      <c r="AB25" s="76">
        <f ca="1">'Total Allocation - S'!AB25-'Allocation - S Gas'!AB25</f>
        <v>107.87150288252445</v>
      </c>
      <c r="AC25" s="76">
        <f ca="1">'Total Allocation - S'!AC25-'Allocation - S Gas'!AC25</f>
        <v>531.41927904456963</v>
      </c>
      <c r="AD25" s="48"/>
    </row>
    <row r="26" spans="1:30" x14ac:dyDescent="0.25">
      <c r="A26" s="2">
        <f t="shared" ref="A26:A28" si="4">A25+1</f>
        <v>10</v>
      </c>
      <c r="B26" s="31" t="s">
        <v>367</v>
      </c>
      <c r="D26" s="76">
        <f ca="1">'Total Allocation - S'!D26-'Allocation - S Gas'!D26</f>
        <v>1552.727668972055</v>
      </c>
      <c r="F26" s="76">
        <f>'Total Allocation - S'!F26-'Allocation - S Gas'!F26</f>
        <v>0</v>
      </c>
      <c r="J26" s="76">
        <f t="shared" ca="1" si="3"/>
        <v>1552.727668972055</v>
      </c>
      <c r="L26" s="2" t="s">
        <v>453</v>
      </c>
      <c r="N26" s="76">
        <f ca="1">'Total Allocation - S'!N26-'Allocation - S Gas'!N26</f>
        <v>979.66375637632586</v>
      </c>
      <c r="O26" s="76">
        <f ca="1">'Total Allocation - S'!O26-'Allocation - S Gas'!O26</f>
        <v>348.17659062817091</v>
      </c>
      <c r="P26" s="76">
        <f ca="1">'Total Allocation - S'!P26-'Allocation - S Gas'!P26</f>
        <v>50.894284632031805</v>
      </c>
      <c r="Q26" s="76"/>
      <c r="R26" s="76"/>
      <c r="S26" s="76">
        <f ca="1">'Total Allocation - S'!S26-'Allocation - S Gas'!S26</f>
        <v>104.614254106616</v>
      </c>
      <c r="T26" s="76">
        <f ca="1">'Total Allocation - S'!T26-'Allocation - S Gas'!T26</f>
        <v>1.2137004413002555</v>
      </c>
      <c r="U26" s="76">
        <f ca="1">'Total Allocation - S'!U26-'Allocation - S Gas'!U26</f>
        <v>0</v>
      </c>
      <c r="V26" s="76">
        <f ca="1">'Total Allocation - S'!V26-'Allocation - S Gas'!V26</f>
        <v>0</v>
      </c>
      <c r="W26" s="76">
        <f ca="1">'Total Allocation - S'!W26-'Allocation - S Gas'!W26</f>
        <v>30.249603186000961</v>
      </c>
      <c r="X26" s="76">
        <f ca="1">'Total Allocation - S'!X26-'Allocation - S Gas'!X26</f>
        <v>0</v>
      </c>
      <c r="Y26" s="76">
        <f ca="1">'Total Allocation - S'!Y26-'Allocation - S Gas'!Y26</f>
        <v>3.3845865870085725</v>
      </c>
      <c r="Z26" s="76">
        <f ca="1">'Total Allocation - S'!Z26-'Allocation - S Gas'!Z26</f>
        <v>3.3274696614337941E-2</v>
      </c>
      <c r="AA26" s="76">
        <f ca="1">'Total Allocation - S'!AA26-'Allocation - S Gas'!AA26</f>
        <v>8.8420497872321278</v>
      </c>
      <c r="AB26" s="76">
        <f ca="1">'Total Allocation - S'!AB26-'Allocation - S Gas'!AB26</f>
        <v>3.8620142940882802</v>
      </c>
      <c r="AC26" s="76">
        <f ca="1">'Total Allocation - S'!AC26-'Allocation - S Gas'!AC26</f>
        <v>21.793554236665887</v>
      </c>
      <c r="AD26" s="48"/>
    </row>
    <row r="27" spans="1:30" x14ac:dyDescent="0.25">
      <c r="A27" s="2">
        <f t="shared" si="4"/>
        <v>11</v>
      </c>
      <c r="B27" s="31" t="s">
        <v>369</v>
      </c>
      <c r="D27" s="76">
        <f ca="1">'Total Allocation - S'!D27-'Allocation - S Gas'!D27</f>
        <v>0</v>
      </c>
      <c r="F27" s="76">
        <f>'Total Allocation - S'!F27-'Allocation - S Gas'!F27</f>
        <v>0</v>
      </c>
      <c r="J27" s="76">
        <f t="shared" ca="1" si="3"/>
        <v>0</v>
      </c>
      <c r="L27" s="2" t="s">
        <v>454</v>
      </c>
      <c r="N27" s="76">
        <f ca="1">'Total Allocation - S'!N27-'Allocation - S Gas'!N27</f>
        <v>0</v>
      </c>
      <c r="O27" s="76">
        <f ca="1">'Total Allocation - S'!O27-'Allocation - S Gas'!O27</f>
        <v>0</v>
      </c>
      <c r="P27" s="76">
        <f ca="1">'Total Allocation - S'!P27-'Allocation - S Gas'!P27</f>
        <v>0</v>
      </c>
      <c r="Q27" s="76"/>
      <c r="R27" s="76"/>
      <c r="S27" s="76">
        <f ca="1">'Total Allocation - S'!S27-'Allocation - S Gas'!S27</f>
        <v>0</v>
      </c>
      <c r="T27" s="76">
        <f ca="1">'Total Allocation - S'!T27-'Allocation - S Gas'!T27</f>
        <v>0</v>
      </c>
      <c r="U27" s="76">
        <f ca="1">'Total Allocation - S'!U27-'Allocation - S Gas'!U27</f>
        <v>0</v>
      </c>
      <c r="V27" s="76">
        <f ca="1">'Total Allocation - S'!V27-'Allocation - S Gas'!V27</f>
        <v>0</v>
      </c>
      <c r="W27" s="76">
        <f ca="1">'Total Allocation - S'!W27-'Allocation - S Gas'!W27</f>
        <v>0</v>
      </c>
      <c r="X27" s="76">
        <f ca="1">'Total Allocation - S'!X27-'Allocation - S Gas'!X27</f>
        <v>0</v>
      </c>
      <c r="Y27" s="76">
        <f ca="1">'Total Allocation - S'!Y27-'Allocation - S Gas'!Y27</f>
        <v>0</v>
      </c>
      <c r="Z27" s="76">
        <f ca="1">'Total Allocation - S'!Z27-'Allocation - S Gas'!Z27</f>
        <v>0</v>
      </c>
      <c r="AA27" s="76">
        <f ca="1">'Total Allocation - S'!AA27-'Allocation - S Gas'!AA27</f>
        <v>0</v>
      </c>
      <c r="AB27" s="76">
        <f ca="1">'Total Allocation - S'!AB27-'Allocation - S Gas'!AB27</f>
        <v>0</v>
      </c>
      <c r="AC27" s="76">
        <f ca="1">'Total Allocation - S'!AC27-'Allocation - S Gas'!AC27</f>
        <v>0</v>
      </c>
      <c r="AD27" s="48"/>
    </row>
    <row r="28" spans="1:30" x14ac:dyDescent="0.25">
      <c r="A28" s="2">
        <f t="shared" si="4"/>
        <v>12</v>
      </c>
      <c r="B28" s="31" t="s">
        <v>371</v>
      </c>
      <c r="D28" s="40">
        <f ca="1">SUM(D24:D27)</f>
        <v>55038.15840563309</v>
      </c>
      <c r="F28" s="40">
        <f>SUM(F24:F27)</f>
        <v>8393.3542025074494</v>
      </c>
      <c r="H28" s="115"/>
      <c r="J28" s="40">
        <f ca="1">SUM(J24:J27)</f>
        <v>46644.804203125641</v>
      </c>
      <c r="N28" s="40">
        <f t="shared" ref="N28:AA28" ca="1" si="5">SUM(N24:N27)</f>
        <v>29872.452459294367</v>
      </c>
      <c r="O28" s="40">
        <f t="shared" ca="1" si="5"/>
        <v>9885.9697846725012</v>
      </c>
      <c r="P28" s="40">
        <f t="shared" ca="1" si="5"/>
        <v>6754.7934083706077</v>
      </c>
      <c r="Q28" s="40"/>
      <c r="R28" s="40"/>
      <c r="S28" s="40">
        <f t="shared" ca="1" si="5"/>
        <v>5515.9057927920749</v>
      </c>
      <c r="T28" s="40">
        <f t="shared" ca="1" si="5"/>
        <v>1.2137004413002555</v>
      </c>
      <c r="U28" s="40">
        <f t="shared" ca="1" si="5"/>
        <v>0</v>
      </c>
      <c r="V28" s="40">
        <f t="shared" ca="1" si="5"/>
        <v>0</v>
      </c>
      <c r="W28" s="40">
        <f t="shared" ca="1" si="5"/>
        <v>30.249603186000961</v>
      </c>
      <c r="X28" s="40">
        <f t="shared" ca="1" si="5"/>
        <v>0</v>
      </c>
      <c r="Y28" s="40">
        <f t="shared" ca="1" si="5"/>
        <v>101.91359801827383</v>
      </c>
      <c r="Z28" s="40">
        <f t="shared" ca="1" si="5"/>
        <v>3.3274696614337941E-2</v>
      </c>
      <c r="AA28" s="40">
        <f t="shared" ca="1" si="5"/>
        <v>1008.7609419291784</v>
      </c>
      <c r="AB28" s="40">
        <f ca="1">SUM(AB24:AB27)</f>
        <v>294.63116972098567</v>
      </c>
      <c r="AC28" s="40">
        <f ca="1">SUM(AC24:AC27)</f>
        <v>1572.2346725111861</v>
      </c>
      <c r="AD28" s="48"/>
    </row>
    <row r="29" spans="1:30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48"/>
    </row>
    <row r="31" spans="1:30" x14ac:dyDescent="0.25">
      <c r="A31" s="2">
        <f>A28+1</f>
        <v>13</v>
      </c>
      <c r="B31" s="31" t="s">
        <v>373</v>
      </c>
      <c r="D31" s="76">
        <f ca="1">'Total Allocation - S'!D31-'Allocation - S Gas'!D31</f>
        <v>2801.1189187088398</v>
      </c>
      <c r="F31" s="76">
        <f>'Total Allocation - S'!F31-'Allocation - S Gas'!F31</f>
        <v>0</v>
      </c>
      <c r="J31" s="76">
        <f ca="1">D31-F31</f>
        <v>2801.1189187088398</v>
      </c>
      <c r="L31" s="2" t="s">
        <v>455</v>
      </c>
      <c r="N31" s="76">
        <f ca="1">'Total Allocation - S'!N31-'Allocation - S Gas'!N31</f>
        <v>1389.9104056839162</v>
      </c>
      <c r="O31" s="76">
        <f ca="1">'Total Allocation - S'!O31-'Allocation - S Gas'!O31</f>
        <v>505.82740063288003</v>
      </c>
      <c r="P31" s="76">
        <f ca="1">'Total Allocation - S'!P31-'Allocation - S Gas'!P31</f>
        <v>208.17260725915912</v>
      </c>
      <c r="Q31" s="76"/>
      <c r="R31" s="76"/>
      <c r="S31" s="76">
        <f ca="1">'Total Allocation - S'!S31-'Allocation - S Gas'!S31</f>
        <v>320.54311895035465</v>
      </c>
      <c r="T31" s="76">
        <f ca="1">'Total Allocation - S'!T31-'Allocation - S Gas'!T31</f>
        <v>0</v>
      </c>
      <c r="U31" s="76">
        <f ca="1">'Total Allocation - S'!U31-'Allocation - S Gas'!U31</f>
        <v>0</v>
      </c>
      <c r="V31" s="76">
        <f ca="1">'Total Allocation - S'!V31-'Allocation - S Gas'!V31</f>
        <v>0</v>
      </c>
      <c r="W31" s="76">
        <f ca="1">'Total Allocation - S'!W31-'Allocation - S Gas'!W31</f>
        <v>198.69412078680148</v>
      </c>
      <c r="X31" s="76">
        <f ca="1">'Total Allocation - S'!X31-'Allocation - S Gas'!X31</f>
        <v>0</v>
      </c>
      <c r="Y31" s="76">
        <f ca="1">'Total Allocation - S'!Y31-'Allocation - S Gas'!Y31</f>
        <v>1.199463595079526</v>
      </c>
      <c r="Z31" s="76">
        <f ca="1">'Total Allocation - S'!Z31-'Allocation - S Gas'!Z31</f>
        <v>0</v>
      </c>
      <c r="AA31" s="76">
        <f ca="1">'Total Allocation - S'!AA31-'Allocation - S Gas'!AA31</f>
        <v>0</v>
      </c>
      <c r="AB31" s="76">
        <f ca="1">'Total Allocation - S'!AB31-'Allocation - S Gas'!AB31</f>
        <v>28.248114230506332</v>
      </c>
      <c r="AC31" s="76">
        <f ca="1">'Total Allocation - S'!AC31-'Allocation - S Gas'!AC31</f>
        <v>148.52368757014241</v>
      </c>
      <c r="AD31" s="48"/>
    </row>
    <row r="32" spans="1:30" x14ac:dyDescent="0.25">
      <c r="A32" s="2">
        <f>A31+1</f>
        <v>14</v>
      </c>
      <c r="B32" s="31" t="s">
        <v>375</v>
      </c>
      <c r="D32" s="76">
        <f ca="1">'Total Allocation - S'!D32-'Allocation - S Gas'!D32</f>
        <v>286.05282800224467</v>
      </c>
      <c r="F32" s="76">
        <f>'Total Allocation - S'!F32-'Allocation - S Gas'!F32</f>
        <v>0</v>
      </c>
      <c r="J32" s="76">
        <f t="shared" ref="J32:J38" ca="1" si="6">D32-F32</f>
        <v>286.05282800224467</v>
      </c>
      <c r="L32" s="2" t="s">
        <v>456</v>
      </c>
      <c r="N32" s="76">
        <f ca="1">'Total Allocation - S'!N32-'Allocation - S Gas'!N32</f>
        <v>141.93892289260512</v>
      </c>
      <c r="O32" s="76">
        <f ca="1">'Total Allocation - S'!O32-'Allocation - S Gas'!O32</f>
        <v>51.655557165261428</v>
      </c>
      <c r="P32" s="76">
        <f ca="1">'Total Allocation - S'!P32-'Allocation - S Gas'!P32</f>
        <v>21.25877720555026</v>
      </c>
      <c r="Q32" s="76"/>
      <c r="R32" s="76"/>
      <c r="S32" s="76">
        <f ca="1">'Total Allocation - S'!S32-'Allocation - S Gas'!S32</f>
        <v>32.734156718585119</v>
      </c>
      <c r="T32" s="76">
        <f ca="1">'Total Allocation - S'!T32-'Allocation - S Gas'!T32</f>
        <v>0</v>
      </c>
      <c r="U32" s="76">
        <f ca="1">'Total Allocation - S'!U32-'Allocation - S Gas'!U32</f>
        <v>0</v>
      </c>
      <c r="V32" s="76">
        <f ca="1">'Total Allocation - S'!V32-'Allocation - S Gas'!V32</f>
        <v>0</v>
      </c>
      <c r="W32" s="76">
        <f ca="1">'Total Allocation - S'!W32-'Allocation - S Gas'!W32</f>
        <v>20.290825490794539</v>
      </c>
      <c r="X32" s="76">
        <f ca="1">'Total Allocation - S'!X32-'Allocation - S Gas'!X32</f>
        <v>0</v>
      </c>
      <c r="Y32" s="76">
        <f ca="1">'Total Allocation - S'!Y32-'Allocation - S Gas'!Y32</f>
        <v>0.12249032026687118</v>
      </c>
      <c r="Z32" s="76">
        <f ca="1">'Total Allocation - S'!Z32-'Allocation - S Gas'!Z32</f>
        <v>0</v>
      </c>
      <c r="AA32" s="76">
        <f ca="1">'Total Allocation - S'!AA32-'Allocation - S Gas'!AA32</f>
        <v>0</v>
      </c>
      <c r="AB32" s="76">
        <f ca="1">'Total Allocation - S'!AB32-'Allocation - S Gas'!AB32</f>
        <v>2.8847232823272728</v>
      </c>
      <c r="AC32" s="76">
        <f ca="1">'Total Allocation - S'!AC32-'Allocation - S Gas'!AC32</f>
        <v>15.167374926854082</v>
      </c>
      <c r="AD32" s="48"/>
    </row>
    <row r="33" spans="1:30" x14ac:dyDescent="0.25">
      <c r="A33" s="2">
        <f t="shared" ref="A33:A39" si="7">A32+1</f>
        <v>15</v>
      </c>
      <c r="B33" s="31" t="s">
        <v>377</v>
      </c>
      <c r="D33" s="76">
        <f ca="1">'Total Allocation - S'!D33-'Allocation - S Gas'!D33</f>
        <v>0</v>
      </c>
      <c r="F33" s="76">
        <f>'Total Allocation - S'!F33-'Allocation - S Gas'!F33</f>
        <v>0</v>
      </c>
      <c r="J33" s="76">
        <f t="shared" ca="1" si="6"/>
        <v>0</v>
      </c>
      <c r="L33" s="2" t="s">
        <v>457</v>
      </c>
      <c r="N33" s="76">
        <f ca="1">'Total Allocation - S'!N33-'Allocation - S Gas'!N33</f>
        <v>0</v>
      </c>
      <c r="O33" s="76">
        <f ca="1">'Total Allocation - S'!O33-'Allocation - S Gas'!O33</f>
        <v>0</v>
      </c>
      <c r="P33" s="76">
        <f ca="1">'Total Allocation - S'!P33-'Allocation - S Gas'!P33</f>
        <v>0</v>
      </c>
      <c r="Q33" s="76"/>
      <c r="R33" s="76"/>
      <c r="S33" s="76">
        <f ca="1">'Total Allocation - S'!S33-'Allocation - S Gas'!S33</f>
        <v>0</v>
      </c>
      <c r="T33" s="76">
        <f ca="1">'Total Allocation - S'!T33-'Allocation - S Gas'!T33</f>
        <v>0</v>
      </c>
      <c r="U33" s="76">
        <f ca="1">'Total Allocation - S'!U33-'Allocation - S Gas'!U33</f>
        <v>0</v>
      </c>
      <c r="V33" s="76">
        <f ca="1">'Total Allocation - S'!V33-'Allocation - S Gas'!V33</f>
        <v>0</v>
      </c>
      <c r="W33" s="76">
        <f ca="1">'Total Allocation - S'!W33-'Allocation - S Gas'!W33</f>
        <v>0</v>
      </c>
      <c r="X33" s="76">
        <f ca="1">'Total Allocation - S'!X33-'Allocation - S Gas'!X33</f>
        <v>0</v>
      </c>
      <c r="Y33" s="76">
        <f ca="1">'Total Allocation - S'!Y33-'Allocation - S Gas'!Y33</f>
        <v>0</v>
      </c>
      <c r="Z33" s="76">
        <f ca="1">'Total Allocation - S'!Z33-'Allocation - S Gas'!Z33</f>
        <v>0</v>
      </c>
      <c r="AA33" s="76">
        <f ca="1">'Total Allocation - S'!AA33-'Allocation - S Gas'!AA33</f>
        <v>0</v>
      </c>
      <c r="AB33" s="76">
        <f ca="1">'Total Allocation - S'!AB33-'Allocation - S Gas'!AB33</f>
        <v>0</v>
      </c>
      <c r="AC33" s="76">
        <f ca="1">'Total Allocation - S'!AC33-'Allocation - S Gas'!AC33</f>
        <v>0</v>
      </c>
      <c r="AD33" s="48"/>
    </row>
    <row r="34" spans="1:30" x14ac:dyDescent="0.25">
      <c r="A34" s="2">
        <f t="shared" si="7"/>
        <v>16</v>
      </c>
      <c r="B34" s="31" t="s">
        <v>379</v>
      </c>
      <c r="D34" s="76">
        <f ca="1">'Total Allocation - S'!D34-'Allocation - S Gas'!D34</f>
        <v>45205.240456075633</v>
      </c>
      <c r="F34" s="76">
        <f>'Total Allocation - S'!F34-'Allocation - S Gas'!F34</f>
        <v>0</v>
      </c>
      <c r="J34" s="76">
        <f t="shared" ca="1" si="6"/>
        <v>45205.240456075633</v>
      </c>
      <c r="L34" s="2" t="s">
        <v>458</v>
      </c>
      <c r="N34" s="76">
        <f ca="1">'Total Allocation - S'!N34-'Allocation - S Gas'!N34</f>
        <v>22430.762821845772</v>
      </c>
      <c r="O34" s="76">
        <f ca="1">'Total Allocation - S'!O34-'Allocation - S Gas'!O34</f>
        <v>8163.1840484019967</v>
      </c>
      <c r="P34" s="76">
        <f ca="1">'Total Allocation - S'!P34-'Allocation - S Gas'!P34</f>
        <v>3359.5477523875352</v>
      </c>
      <c r="Q34" s="76"/>
      <c r="R34" s="76"/>
      <c r="S34" s="76">
        <f ca="1">'Total Allocation - S'!S34-'Allocation - S Gas'!S34</f>
        <v>5173.0144949970299</v>
      </c>
      <c r="T34" s="76">
        <f ca="1">'Total Allocation - S'!T34-'Allocation - S Gas'!T34</f>
        <v>0</v>
      </c>
      <c r="U34" s="76">
        <f ca="1">'Total Allocation - S'!U34-'Allocation - S Gas'!U34</f>
        <v>0</v>
      </c>
      <c r="V34" s="76">
        <f ca="1">'Total Allocation - S'!V34-'Allocation - S Gas'!V34</f>
        <v>0</v>
      </c>
      <c r="W34" s="76">
        <f ca="1">'Total Allocation - S'!W34-'Allocation - S Gas'!W34</f>
        <v>3206.5812869937376</v>
      </c>
      <c r="X34" s="76">
        <f ca="1">'Total Allocation - S'!X34-'Allocation - S Gas'!X34</f>
        <v>0</v>
      </c>
      <c r="Y34" s="76">
        <f ca="1">'Total Allocation - S'!Y34-'Allocation - S Gas'!Y34</f>
        <v>19.357278932974488</v>
      </c>
      <c r="Z34" s="76">
        <f ca="1">'Total Allocation - S'!Z34-'Allocation - S Gas'!Z34</f>
        <v>0</v>
      </c>
      <c r="AA34" s="76">
        <f ca="1">'Total Allocation - S'!AA34-'Allocation - S Gas'!AA34</f>
        <v>0</v>
      </c>
      <c r="AB34" s="76">
        <f ca="1">'Total Allocation - S'!AB34-'Allocation - S Gas'!AB34</f>
        <v>455.8759671686268</v>
      </c>
      <c r="AC34" s="76">
        <f ca="1">'Total Allocation - S'!AC34-'Allocation - S Gas'!AC34</f>
        <v>2396.9168053479657</v>
      </c>
      <c r="AD34" s="48"/>
    </row>
    <row r="35" spans="1:30" x14ac:dyDescent="0.25">
      <c r="A35" s="2">
        <f t="shared" si="7"/>
        <v>17</v>
      </c>
      <c r="B35" s="31" t="s">
        <v>381</v>
      </c>
      <c r="D35" s="76">
        <f ca="1">'Total Allocation - S'!D35-'Allocation - S Gas'!D35</f>
        <v>0</v>
      </c>
      <c r="F35" s="76">
        <f>'Total Allocation - S'!F35-'Allocation - S Gas'!F35</f>
        <v>0</v>
      </c>
      <c r="J35" s="76">
        <f t="shared" ca="1" si="6"/>
        <v>0</v>
      </c>
      <c r="L35" s="2" t="s">
        <v>459</v>
      </c>
      <c r="N35" s="76">
        <f ca="1">'Total Allocation - S'!N35-'Allocation - S Gas'!N35</f>
        <v>0</v>
      </c>
      <c r="O35" s="76">
        <f ca="1">'Total Allocation - S'!O35-'Allocation - S Gas'!O35</f>
        <v>0</v>
      </c>
      <c r="P35" s="76">
        <f ca="1">'Total Allocation - S'!P35-'Allocation - S Gas'!P35</f>
        <v>0</v>
      </c>
      <c r="Q35" s="76"/>
      <c r="R35" s="76"/>
      <c r="S35" s="76">
        <f ca="1">'Total Allocation - S'!S35-'Allocation - S Gas'!S35</f>
        <v>0</v>
      </c>
      <c r="T35" s="76">
        <f ca="1">'Total Allocation - S'!T35-'Allocation - S Gas'!T35</f>
        <v>0</v>
      </c>
      <c r="U35" s="76">
        <f ca="1">'Total Allocation - S'!U35-'Allocation - S Gas'!U35</f>
        <v>0</v>
      </c>
      <c r="V35" s="76">
        <f ca="1">'Total Allocation - S'!V35-'Allocation - S Gas'!V35</f>
        <v>0</v>
      </c>
      <c r="W35" s="76">
        <f ca="1">'Total Allocation - S'!W35-'Allocation - S Gas'!W35</f>
        <v>0</v>
      </c>
      <c r="X35" s="76">
        <f ca="1">'Total Allocation - S'!X35-'Allocation - S Gas'!X35</f>
        <v>0</v>
      </c>
      <c r="Y35" s="76">
        <f ca="1">'Total Allocation - S'!Y35-'Allocation - S Gas'!Y35</f>
        <v>0</v>
      </c>
      <c r="Z35" s="76">
        <f ca="1">'Total Allocation - S'!Z35-'Allocation - S Gas'!Z35</f>
        <v>0</v>
      </c>
      <c r="AA35" s="76">
        <f ca="1">'Total Allocation - S'!AA35-'Allocation - S Gas'!AA35</f>
        <v>0</v>
      </c>
      <c r="AB35" s="76">
        <f ca="1">'Total Allocation - S'!AB35-'Allocation - S Gas'!AB35</f>
        <v>0</v>
      </c>
      <c r="AC35" s="76">
        <f ca="1">'Total Allocation - S'!AC35-'Allocation - S Gas'!AC35</f>
        <v>0</v>
      </c>
      <c r="AD35" s="48"/>
    </row>
    <row r="36" spans="1:30" x14ac:dyDescent="0.25">
      <c r="A36" s="2">
        <f t="shared" si="7"/>
        <v>18</v>
      </c>
      <c r="B36" s="31" t="s">
        <v>383</v>
      </c>
      <c r="D36" s="76">
        <f ca="1">'Total Allocation - S'!D36-'Allocation - S Gas'!D36</f>
        <v>51106.232348853373</v>
      </c>
      <c r="F36" s="76">
        <f>'Total Allocation - S'!F36-'Allocation - S Gas'!F36</f>
        <v>0</v>
      </c>
      <c r="J36" s="76">
        <f t="shared" ca="1" si="6"/>
        <v>51106.232348853373</v>
      </c>
      <c r="L36" s="2" t="s">
        <v>460</v>
      </c>
      <c r="N36" s="76">
        <f ca="1">'Total Allocation - S'!N36-'Allocation - S Gas'!N36</f>
        <v>12347.374384524597</v>
      </c>
      <c r="O36" s="76">
        <f ca="1">'Total Allocation - S'!O36-'Allocation - S Gas'!O36</f>
        <v>4910.1055436935749</v>
      </c>
      <c r="P36" s="76">
        <f ca="1">'Total Allocation - S'!P36-'Allocation - S Gas'!P36</f>
        <v>12791.230570498017</v>
      </c>
      <c r="Q36" s="76"/>
      <c r="R36" s="76"/>
      <c r="S36" s="76">
        <f ca="1">'Total Allocation - S'!S36-'Allocation - S Gas'!S36</f>
        <v>14678.361713527331</v>
      </c>
      <c r="T36" s="76">
        <f ca="1">'Total Allocation - S'!T36-'Allocation - S Gas'!T36</f>
        <v>0</v>
      </c>
      <c r="U36" s="76">
        <f ca="1">'Total Allocation - S'!U36-'Allocation - S Gas'!U36</f>
        <v>0</v>
      </c>
      <c r="V36" s="76">
        <f ca="1">'Total Allocation - S'!V36-'Allocation - S Gas'!V36</f>
        <v>0</v>
      </c>
      <c r="W36" s="76">
        <f ca="1">'Total Allocation - S'!W36-'Allocation - S Gas'!W36</f>
        <v>6378.6488924029718</v>
      </c>
      <c r="X36" s="76">
        <f ca="1">'Total Allocation - S'!X36-'Allocation - S Gas'!X36</f>
        <v>0</v>
      </c>
      <c r="Y36" s="76">
        <f ca="1">'Total Allocation - S'!Y36-'Allocation - S Gas'!Y36</f>
        <v>0.51124420687896888</v>
      </c>
      <c r="Z36" s="76">
        <f ca="1">'Total Allocation - S'!Z36-'Allocation - S Gas'!Z36</f>
        <v>0</v>
      </c>
      <c r="AA36" s="76">
        <f ca="1">'Total Allocation - S'!AA36-'Allocation - S Gas'!AA36</f>
        <v>0</v>
      </c>
      <c r="AB36" s="76">
        <f ca="1">'Total Allocation - S'!AB36-'Allocation - S Gas'!AB36</f>
        <v>0</v>
      </c>
      <c r="AC36" s="76">
        <f ca="1">'Total Allocation - S'!AC36-'Allocation - S Gas'!AC36</f>
        <v>0</v>
      </c>
      <c r="AD36" s="48"/>
    </row>
    <row r="37" spans="1:30" x14ac:dyDescent="0.25">
      <c r="A37" s="2">
        <f t="shared" si="7"/>
        <v>19</v>
      </c>
      <c r="B37" s="31" t="s">
        <v>385</v>
      </c>
      <c r="D37" s="76">
        <f ca="1">'Total Allocation - S'!D37-'Allocation - S Gas'!D37</f>
        <v>747.55531378907335</v>
      </c>
      <c r="F37" s="76">
        <f>'Total Allocation - S'!F37-'Allocation - S Gas'!F37</f>
        <v>0</v>
      </c>
      <c r="J37" s="76">
        <f t="shared" ca="1" si="6"/>
        <v>747.55531378907335</v>
      </c>
      <c r="L37" s="2" t="s">
        <v>461</v>
      </c>
      <c r="N37" s="76">
        <f ca="1">'Total Allocation - S'!N37-'Allocation - S Gas'!N37</f>
        <v>139.61254730251608</v>
      </c>
      <c r="O37" s="76">
        <f ca="1">'Total Allocation - S'!O37-'Allocation - S Gas'!O37</f>
        <v>55.058557937577504</v>
      </c>
      <c r="P37" s="76">
        <f ca="1">'Total Allocation - S'!P37-'Allocation - S Gas'!P37</f>
        <v>132.46709605403976</v>
      </c>
      <c r="Q37" s="76"/>
      <c r="R37" s="76"/>
      <c r="S37" s="76">
        <f ca="1">'Total Allocation - S'!S37-'Allocation - S Gas'!S37</f>
        <v>282.55111624768972</v>
      </c>
      <c r="T37" s="76">
        <f ca="1">'Total Allocation - S'!T37-'Allocation - S Gas'!T37</f>
        <v>0</v>
      </c>
      <c r="U37" s="76">
        <f ca="1">'Total Allocation - S'!U37-'Allocation - S Gas'!U37</f>
        <v>0</v>
      </c>
      <c r="V37" s="76">
        <f ca="1">'Total Allocation - S'!V37-'Allocation - S Gas'!V37</f>
        <v>0</v>
      </c>
      <c r="W37" s="76">
        <f ca="1">'Total Allocation - S'!W37-'Allocation - S Gas'!W37</f>
        <v>137.8510398199837</v>
      </c>
      <c r="X37" s="76">
        <f ca="1">'Total Allocation - S'!X37-'Allocation - S Gas'!X37</f>
        <v>0</v>
      </c>
      <c r="Y37" s="76">
        <f ca="1">'Total Allocation - S'!Y37-'Allocation - S Gas'!Y37</f>
        <v>1.4956427266539764E-2</v>
      </c>
      <c r="Z37" s="76">
        <f ca="1">'Total Allocation - S'!Z37-'Allocation - S Gas'!Z37</f>
        <v>0</v>
      </c>
      <c r="AA37" s="76">
        <f ca="1">'Total Allocation - S'!AA37-'Allocation - S Gas'!AA37</f>
        <v>0</v>
      </c>
      <c r="AB37" s="76">
        <f ca="1">'Total Allocation - S'!AB37-'Allocation - S Gas'!AB37</f>
        <v>0</v>
      </c>
      <c r="AC37" s="76">
        <f ca="1">'Total Allocation - S'!AC37-'Allocation - S Gas'!AC37</f>
        <v>0</v>
      </c>
      <c r="AD37" s="48"/>
    </row>
    <row r="38" spans="1:30" x14ac:dyDescent="0.25">
      <c r="A38" s="2">
        <f t="shared" si="7"/>
        <v>20</v>
      </c>
      <c r="B38" s="31" t="s">
        <v>386</v>
      </c>
      <c r="D38" s="76">
        <f ca="1">'Total Allocation - S'!D38-'Allocation - S Gas'!D38</f>
        <v>0</v>
      </c>
      <c r="F38" s="76">
        <f>'Total Allocation - S'!F38-'Allocation - S Gas'!F38</f>
        <v>0</v>
      </c>
      <c r="H38" s="2" t="s">
        <v>462</v>
      </c>
      <c r="J38" s="76">
        <f t="shared" ca="1" si="6"/>
        <v>0</v>
      </c>
      <c r="L38" s="2" t="s">
        <v>463</v>
      </c>
      <c r="N38" s="76">
        <f ca="1">'Total Allocation - S'!N38-'Allocation - S Gas'!N38</f>
        <v>0</v>
      </c>
      <c r="O38" s="76">
        <f ca="1">'Total Allocation - S'!O38-'Allocation - S Gas'!O38</f>
        <v>0</v>
      </c>
      <c r="P38" s="76">
        <f ca="1">'Total Allocation - S'!P38-'Allocation - S Gas'!P38</f>
        <v>0</v>
      </c>
      <c r="Q38" s="76"/>
      <c r="R38" s="76"/>
      <c r="S38" s="76">
        <f ca="1">'Total Allocation - S'!S38-'Allocation - S Gas'!S38</f>
        <v>0</v>
      </c>
      <c r="T38" s="76">
        <f ca="1">'Total Allocation - S'!T38-'Allocation - S Gas'!T38</f>
        <v>0</v>
      </c>
      <c r="U38" s="76">
        <f ca="1">'Total Allocation - S'!U38-'Allocation - S Gas'!U38</f>
        <v>0</v>
      </c>
      <c r="V38" s="76">
        <f ca="1">'Total Allocation - S'!V38-'Allocation - S Gas'!V38</f>
        <v>0</v>
      </c>
      <c r="W38" s="76">
        <f ca="1">'Total Allocation - S'!W38-'Allocation - S Gas'!W38</f>
        <v>0</v>
      </c>
      <c r="X38" s="76">
        <f ca="1">'Total Allocation - S'!X38-'Allocation - S Gas'!X38</f>
        <v>0</v>
      </c>
      <c r="Y38" s="76">
        <f ca="1">'Total Allocation - S'!Y38-'Allocation - S Gas'!Y38</f>
        <v>0</v>
      </c>
      <c r="Z38" s="76">
        <f ca="1">'Total Allocation - S'!Z38-'Allocation - S Gas'!Z38</f>
        <v>0</v>
      </c>
      <c r="AA38" s="76">
        <f ca="1">'Total Allocation - S'!AA38-'Allocation - S Gas'!AA38</f>
        <v>0</v>
      </c>
      <c r="AB38" s="76">
        <f ca="1">'Total Allocation - S'!AB38-'Allocation - S Gas'!AB38</f>
        <v>0</v>
      </c>
      <c r="AC38" s="76">
        <f ca="1">'Total Allocation - S'!AC38-'Allocation - S Gas'!AC38</f>
        <v>0</v>
      </c>
      <c r="AD38" s="48"/>
    </row>
    <row r="39" spans="1:30" x14ac:dyDescent="0.25">
      <c r="A39" s="2">
        <f t="shared" si="7"/>
        <v>21</v>
      </c>
      <c r="B39" s="31" t="s">
        <v>389</v>
      </c>
      <c r="D39" s="40">
        <f ca="1">SUM(D31:D38)</f>
        <v>100146.19986542915</v>
      </c>
      <c r="F39" s="40">
        <f>SUM(F31:F38)</f>
        <v>0</v>
      </c>
      <c r="J39" s="40">
        <f ca="1">SUM(J31:J38)</f>
        <v>100146.19986542915</v>
      </c>
      <c r="N39" s="40">
        <f t="shared" ref="N39:AA39" ca="1" si="8">SUM(N31:N38)</f>
        <v>36449.599082249406</v>
      </c>
      <c r="O39" s="40">
        <f t="shared" ca="1" si="8"/>
        <v>13685.831107831291</v>
      </c>
      <c r="P39" s="40">
        <f t="shared" ca="1" si="8"/>
        <v>16512.676803404302</v>
      </c>
      <c r="Q39" s="40"/>
      <c r="R39" s="40"/>
      <c r="S39" s="40">
        <f t="shared" ca="1" si="8"/>
        <v>20487.204600440993</v>
      </c>
      <c r="T39" s="40">
        <f t="shared" ca="1" si="8"/>
        <v>0</v>
      </c>
      <c r="U39" s="40">
        <f t="shared" ca="1" si="8"/>
        <v>0</v>
      </c>
      <c r="V39" s="40">
        <f t="shared" ca="1" si="8"/>
        <v>0</v>
      </c>
      <c r="W39" s="40">
        <f t="shared" ca="1" si="8"/>
        <v>9942.0661654942887</v>
      </c>
      <c r="X39" s="40">
        <f t="shared" ca="1" si="8"/>
        <v>0</v>
      </c>
      <c r="Y39" s="40">
        <f t="shared" ca="1" si="8"/>
        <v>21.205433482466397</v>
      </c>
      <c r="Z39" s="40">
        <f t="shared" ca="1" si="8"/>
        <v>0</v>
      </c>
      <c r="AA39" s="40">
        <f t="shared" ca="1" si="8"/>
        <v>0</v>
      </c>
      <c r="AB39" s="40">
        <f ca="1">SUM(AB31:AB38)</f>
        <v>487.00880468146039</v>
      </c>
      <c r="AC39" s="40">
        <f ca="1">SUM(AC31:AC38)</f>
        <v>2560.6078678449621</v>
      </c>
      <c r="AD39" s="48"/>
    </row>
    <row r="40" spans="1:30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159750.14260648785</v>
      </c>
      <c r="F42" s="80">
        <f>F21+F28+F39</f>
        <v>8393.3542025074494</v>
      </c>
      <c r="J42" s="80">
        <f ca="1">J21+J28+J39</f>
        <v>151356.78840398038</v>
      </c>
      <c r="N42" s="80">
        <f t="shared" ref="N42:AC42" ca="1" si="9">N21+N28+N39</f>
        <v>69917.284986179147</v>
      </c>
      <c r="O42" s="80">
        <f t="shared" ca="1" si="9"/>
        <v>24409.528183721566</v>
      </c>
      <c r="P42" s="80">
        <f t="shared" ca="1" si="9"/>
        <v>23376.973067547278</v>
      </c>
      <c r="Q42" s="80"/>
      <c r="R42" s="80"/>
      <c r="S42" s="80">
        <f t="shared" ca="1" si="9"/>
        <v>26003.110393233066</v>
      </c>
      <c r="T42" s="80">
        <f t="shared" ca="1" si="9"/>
        <v>1.2137004413002555</v>
      </c>
      <c r="U42" s="80">
        <f t="shared" ca="1" si="9"/>
        <v>0</v>
      </c>
      <c r="V42" s="80">
        <f t="shared" ca="1" si="9"/>
        <v>0</v>
      </c>
      <c r="W42" s="80">
        <f t="shared" ca="1" si="9"/>
        <v>9972.3157686802897</v>
      </c>
      <c r="X42" s="80">
        <f t="shared" ca="1" si="9"/>
        <v>0</v>
      </c>
      <c r="Y42" s="80">
        <f t="shared" ca="1" si="9"/>
        <v>125.30676277895648</v>
      </c>
      <c r="Z42" s="80">
        <f t="shared" ca="1" si="9"/>
        <v>2.5900501320171716</v>
      </c>
      <c r="AA42" s="80">
        <f t="shared" ca="1" si="9"/>
        <v>1008.7609419291784</v>
      </c>
      <c r="AB42" s="80">
        <f t="shared" ca="1" si="9"/>
        <v>800.2162114889062</v>
      </c>
      <c r="AC42" s="80">
        <f t="shared" ca="1" si="9"/>
        <v>4132.8425403561487</v>
      </c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8086-E69D-4087-8B2D-D136C398D90E}">
  <sheetPr>
    <tabColor theme="0" tint="-0.249977111117893"/>
  </sheetPr>
  <dimension ref="A6:AD45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4" width="12.81640625" style="31" customWidth="1"/>
    <col min="15" max="15" width="14.54296875" style="31" customWidth="1"/>
    <col min="16" max="16" width="17.1796875" style="31" customWidth="1"/>
    <col min="17" max="17" width="16.81640625" style="31" hidden="1" customWidth="1"/>
    <col min="18" max="18" width="14.7265625" style="31" hidden="1" customWidth="1"/>
    <col min="19" max="19" width="15.81640625" style="31" customWidth="1"/>
    <col min="20" max="20" width="15.453125" style="31" customWidth="1"/>
    <col min="21" max="21" width="16" style="31" customWidth="1"/>
    <col min="22" max="22" width="15.7265625" style="31" customWidth="1"/>
    <col min="23" max="23" width="14.26953125" style="31" customWidth="1"/>
    <col min="24" max="24" width="14.1796875" style="31" customWidth="1"/>
    <col min="25" max="25" width="12.1796875" style="31" customWidth="1"/>
    <col min="26" max="26" width="13" style="31" customWidth="1"/>
    <col min="27" max="27" width="13.26953125" style="31" customWidth="1"/>
    <col min="28" max="28" width="13.54296875" style="31" customWidth="1"/>
    <col min="29" max="29" width="15.81640625" style="31" customWidth="1"/>
    <col min="3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474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439</v>
      </c>
      <c r="AC11" s="33" t="s">
        <v>440</v>
      </c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/>
      <c r="R13" s="70"/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'Rate Zone Allocation - Gas Cost'!R15</f>
        <v>603155.24906895147</v>
      </c>
      <c r="F15" s="76"/>
      <c r="J15" s="76">
        <f ca="1">D15-F15</f>
        <v>603155.24906895147</v>
      </c>
      <c r="L15" s="2" t="s">
        <v>445</v>
      </c>
      <c r="N15" s="76">
        <f ca="1">IF($J15&lt;&gt;0,VLOOKUP($L15,'Allocation Factors - S'!$B$13:$U$214,5,FALSE)*$J15,0)+IF($F15&lt;&gt;0,VLOOKUP($H15,'Allocation Factors - S'!$B$13:$U$214,5,FALSE)*$F15,0)</f>
        <v>474942.25842753035</v>
      </c>
      <c r="O15" s="76">
        <f ca="1">IF($J15&lt;&gt;0,VLOOKUP($L15,'Allocation Factors - S'!$B$13:$U$214,6,FALSE)*$J15,0)+IF($F15&lt;&gt;0,VLOOKUP($H15,'Allocation Factors - S'!$B$13:$U$214,6,FALSE)*$F15,0)</f>
        <v>110666.5527466739</v>
      </c>
      <c r="P15" s="76">
        <f ca="1">IF($J15&lt;&gt;0,VLOOKUP($L15,'Allocation Factors - S'!$B$13:$U$214,7,FALSE)*$J15,0)+IF($F15&lt;&gt;0,VLOOKUP($H15,'Allocation Factors - S'!$B$13:$U$214,7,FALSE)*$F15,0)</f>
        <v>14465.690316270333</v>
      </c>
      <c r="Q15" s="76"/>
      <c r="R15" s="76"/>
      <c r="S15" s="76">
        <f ca="1">IF($J15&lt;&gt;0,VLOOKUP($L15,'Allocation Factors - S'!$B$13:$U$214,10,FALSE)*$J15,0)+IF($F15&lt;&gt;0,VLOOKUP($H15,'Allocation Factors - S'!$B$13:$U$214,10,FALSE)*$F15,0)</f>
        <v>0</v>
      </c>
      <c r="T15" s="76">
        <f ca="1">IF($J15&lt;&gt;0,VLOOKUP($L15,'Allocation Factors - S'!$B$13:$U$214,11,FALSE)*$J15,0)+IF($F15&lt;&gt;0,VLOOKUP($H15,'Allocation Factors - S'!$B$13:$U$214,11,FALSE)*$F15,0)</f>
        <v>0</v>
      </c>
      <c r="U15" s="76">
        <f ca="1">IF($J15&lt;&gt;0,VLOOKUP($L15,'Allocation Factors - S'!$B$13:$U$214,12,FALSE)*$J15,0)+IF($F15&lt;&gt;0,VLOOKUP($H15,'Allocation Factors - S'!$B$13:$U$214,12,FALSE)*$F15,0)</f>
        <v>0</v>
      </c>
      <c r="V15" s="76">
        <f ca="1">IF($J15&lt;&gt;0,VLOOKUP($L15,'Allocation Factors - S'!$B$13:$U$214,13,FALSE)*$J15,0)+IF($F15&lt;&gt;0,VLOOKUP($H15,'Allocation Factors - S'!$B$13:$U$214,13,FALSE)*$F15,0)</f>
        <v>0</v>
      </c>
      <c r="W15" s="76">
        <f ca="1">IF($J15&lt;&gt;0,VLOOKUP($L15,'Allocation Factors - S'!$B$13:$U$214,14,FALSE)*$J15,0)+IF($F15&lt;&gt;0,VLOOKUP($H15,'Allocation Factors - S'!$B$13:$U$214,14,FALSE)*$F15,0)</f>
        <v>0</v>
      </c>
      <c r="X15" s="76">
        <f ca="1">IF($J15&lt;&gt;0,VLOOKUP($L15,'Allocation Factors - S'!$B$13:$U$214,15,FALSE)*$J15,0)+IF($F15&lt;&gt;0,VLOOKUP($H15,'Allocation Factors - S'!$B$13:$U$214,15,FALSE)*$F15,0)</f>
        <v>0</v>
      </c>
      <c r="Y15" s="76">
        <f ca="1">IF($J15&lt;&gt;0,VLOOKUP($L15,'Allocation Factors - S'!$B$13:$U$214,16,FALSE)*$J15,0)+IF($F15&lt;&gt;0,VLOOKUP($H15,'Allocation Factors - S'!$B$13:$U$214,16,FALSE)*$F15,0)</f>
        <v>289.00655551560607</v>
      </c>
      <c r="Z15" s="76">
        <f ca="1">IF($J15&lt;&gt;0,VLOOKUP($L15,'Allocation Factors - S'!$B$13:$U$214,17,FALSE)*$J15,0)+IF($F15&lt;&gt;0,VLOOKUP($H15,'Allocation Factors - S'!$B$13:$U$214,17,FALSE)*$F15,0)</f>
        <v>337.75851228637254</v>
      </c>
      <c r="AA15" s="76">
        <f ca="1">IF($J15&lt;&gt;0,VLOOKUP($L15,'Allocation Factors - S'!$B$13:$U$214,18,FALSE)*$J15,0)+IF($F15&lt;&gt;0,VLOOKUP($H15,'Allocation Factors - S'!$B$13:$U$214,18,FALSE)*$F15,0)</f>
        <v>0</v>
      </c>
      <c r="AB15" s="76">
        <f ca="1">IF($J15&lt;&gt;0,VLOOKUP($L15,'Allocation Factors - S'!$B$13:$U$214,19,FALSE)*$J15,0)+IF($F15&lt;&gt;0,VLOOKUP($H15,'Allocation Factors - S'!$B$13:$U$214,19,FALSE)*$F15,0)</f>
        <v>2453.9825106748872</v>
      </c>
      <c r="AC15" s="76">
        <f ca="1">IF($J15&lt;&gt;0,VLOOKUP($L15,'Allocation Factors - S'!$B$13:$U$214,20,FALSE)*$J15,0)+IF($F15&lt;&gt;0,VLOOKUP($H15,'Allocation Factors - S'!$B$13:$U$214,20,FALSE)*$F15,0)</f>
        <v>0</v>
      </c>
      <c r="AD15" s="48"/>
    </row>
    <row r="16" spans="1:30" x14ac:dyDescent="0.25">
      <c r="A16" s="2">
        <f>A15+1</f>
        <v>2</v>
      </c>
      <c r="B16" s="31" t="s">
        <v>351</v>
      </c>
      <c r="D16" s="76">
        <f ca="1">'Rate Zone Allocation - Gas Cost'!R16</f>
        <v>0</v>
      </c>
      <c r="E16" s="71"/>
      <c r="F16" s="76"/>
      <c r="J16" s="76">
        <f ca="1">D16-F16</f>
        <v>0</v>
      </c>
      <c r="L16" s="2" t="s">
        <v>446</v>
      </c>
      <c r="N16" s="76">
        <f ca="1">IF($J16&lt;&gt;0,VLOOKUP($L16,'Allocation Factors - S'!$B$13:$U$214,5,FALSE)*$J16,0)+IF($F16&lt;&gt;0,VLOOKUP($H16,'Allocation Factors - S'!$B$13:$U$214,5,FALSE)*$F16,0)</f>
        <v>0</v>
      </c>
      <c r="O16" s="76">
        <f ca="1">IF($J16&lt;&gt;0,VLOOKUP($L16,'Allocation Factors - S'!$B$13:$U$214,6,FALSE)*$J16,0)+IF($F16&lt;&gt;0,VLOOKUP($H16,'Allocation Factors - S'!$B$13:$U$214,6,FALSE)*$F16,0)</f>
        <v>0</v>
      </c>
      <c r="P16" s="76">
        <f ca="1">IF($J16&lt;&gt;0,VLOOKUP($L16,'Allocation Factors - S'!$B$13:$U$214,7,FALSE)*$J16,0)+IF($F16&lt;&gt;0,VLOOKUP($H16,'Allocation Factors - S'!$B$13:$U$214,7,FALSE)*$F16,0)</f>
        <v>0</v>
      </c>
      <c r="Q16" s="76"/>
      <c r="R16" s="76"/>
      <c r="S16" s="76">
        <f ca="1">IF($J16&lt;&gt;0,VLOOKUP($L16,'Allocation Factors - S'!$B$13:$U$214,10,FALSE)*$J16,0)+IF($F16&lt;&gt;0,VLOOKUP($H16,'Allocation Factors - S'!$B$13:$U$214,10,FALSE)*$F16,0)</f>
        <v>0</v>
      </c>
      <c r="T16" s="76">
        <f ca="1">IF($J16&lt;&gt;0,VLOOKUP($L16,'Allocation Factors - S'!$B$13:$U$214,11,FALSE)*$J16,0)+IF($F16&lt;&gt;0,VLOOKUP($H16,'Allocation Factors - S'!$B$13:$U$214,11,FALSE)*$F16,0)</f>
        <v>0</v>
      </c>
      <c r="U16" s="76">
        <f ca="1">IF($J16&lt;&gt;0,VLOOKUP($L16,'Allocation Factors - S'!$B$13:$U$214,12,FALSE)*$J16,0)+IF($F16&lt;&gt;0,VLOOKUP($H16,'Allocation Factors - S'!$B$13:$U$214,12,FALSE)*$F16,0)</f>
        <v>0</v>
      </c>
      <c r="V16" s="76">
        <f ca="1">IF($J16&lt;&gt;0,VLOOKUP($L16,'Allocation Factors - S'!$B$13:$U$214,13,FALSE)*$J16,0)+IF($F16&lt;&gt;0,VLOOKUP($H16,'Allocation Factors - S'!$B$13:$U$214,13,FALSE)*$F16,0)</f>
        <v>0</v>
      </c>
      <c r="W16" s="76">
        <f ca="1">IF($J16&lt;&gt;0,VLOOKUP($L16,'Allocation Factors - S'!$B$13:$U$214,14,FALSE)*$J16,0)+IF($F16&lt;&gt;0,VLOOKUP($H16,'Allocation Factors - S'!$B$13:$U$214,14,FALSE)*$F16,0)</f>
        <v>0</v>
      </c>
      <c r="X16" s="76">
        <f ca="1">IF($J16&lt;&gt;0,VLOOKUP($L16,'Allocation Factors - S'!$B$13:$U$214,15,FALSE)*$J16,0)+IF($F16&lt;&gt;0,VLOOKUP($H16,'Allocation Factors - S'!$B$13:$U$214,15,FALSE)*$F16,0)</f>
        <v>0</v>
      </c>
      <c r="Y16" s="76">
        <f ca="1">IF($J16&lt;&gt;0,VLOOKUP($L16,'Allocation Factors - S'!$B$13:$U$214,16,FALSE)*$J16,0)+IF($F16&lt;&gt;0,VLOOKUP($H16,'Allocation Factors - S'!$B$13:$U$214,16,FALSE)*$F16,0)</f>
        <v>0</v>
      </c>
      <c r="Z16" s="76">
        <f ca="1">IF($J16&lt;&gt;0,VLOOKUP($L16,'Allocation Factors - S'!$B$13:$U$214,17,FALSE)*$J16,0)+IF($F16&lt;&gt;0,VLOOKUP($H16,'Allocation Factors - S'!$B$13:$U$214,17,FALSE)*$F16,0)</f>
        <v>0</v>
      </c>
      <c r="AA16" s="76">
        <f ca="1">IF($J16&lt;&gt;0,VLOOKUP($L16,'Allocation Factors - S'!$B$13:$U$214,18,FALSE)*$J16,0)+IF($F16&lt;&gt;0,VLOOKUP($H16,'Allocation Factors - S'!$B$13:$U$214,18,FALSE)*$F16,0)</f>
        <v>0</v>
      </c>
      <c r="AB16" s="76">
        <f ca="1">IF($J16&lt;&gt;0,VLOOKUP($L16,'Allocation Factors - S'!$B$13:$U$214,19,FALSE)*$J16,0)+IF($F16&lt;&gt;0,VLOOKUP($H16,'Allocation Factors - S'!$B$13:$U$214,19,FALSE)*$F16,0)</f>
        <v>0</v>
      </c>
      <c r="AC16" s="76">
        <f ca="1">IF($J16&lt;&gt;0,VLOOKUP($L16,'Allocation Factors - S'!$B$13:$U$214,20,FALSE)*$J16,0)+IF($F16&lt;&gt;0,VLOOKUP($H16,'Allocation Factors - S'!$B$13:$U$214,20,FALSE)*$F16,0)</f>
        <v>0</v>
      </c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'Rate Zone Allocation - Gas Cost'!R17</f>
        <v>13768.650229689516</v>
      </c>
      <c r="F17" s="76"/>
      <c r="J17" s="76">
        <f t="shared" ref="J17:J20" ca="1" si="1">D17-F17</f>
        <v>13768.650229689516</v>
      </c>
      <c r="L17" s="2" t="s">
        <v>447</v>
      </c>
      <c r="N17" s="76">
        <f ca="1">IF($J17&lt;&gt;0,VLOOKUP($L17,'Allocation Factors - S'!$B$13:$U$214,5,FALSE)*$J17,0)+IF($F17&lt;&gt;0,VLOOKUP($H17,'Allocation Factors - S'!$B$13:$U$214,5,FALSE)*$F17,0)</f>
        <v>6865.4242309388801</v>
      </c>
      <c r="O17" s="76">
        <f ca="1">IF($J17&lt;&gt;0,VLOOKUP($L17,'Allocation Factors - S'!$B$13:$U$214,6,FALSE)*$J17,0)+IF($F17&lt;&gt;0,VLOOKUP($H17,'Allocation Factors - S'!$B$13:$U$214,6,FALSE)*$F17,0)</f>
        <v>2420.8872554106574</v>
      </c>
      <c r="P17" s="76">
        <f ca="1">IF($J17&lt;&gt;0,VLOOKUP($L17,'Allocation Factors - S'!$B$13:$U$214,7,FALSE)*$J17,0)+IF($F17&lt;&gt;0,VLOOKUP($H17,'Allocation Factors - S'!$B$13:$U$214,7,FALSE)*$F17,0)</f>
        <v>2041.9711283919169</v>
      </c>
      <c r="Q17" s="76"/>
      <c r="R17" s="76"/>
      <c r="S17" s="76">
        <f ca="1">IF($J17&lt;&gt;0,VLOOKUP($L17,'Allocation Factors - S'!$B$13:$U$214,10,FALSE)*$J17,0)+IF($F17&lt;&gt;0,VLOOKUP($H17,'Allocation Factors - S'!$B$13:$U$214,10,FALSE)*$F17,0)</f>
        <v>1683.4214558503199</v>
      </c>
      <c r="T17" s="76">
        <f ca="1">IF($J17&lt;&gt;0,VLOOKUP($L17,'Allocation Factors - S'!$B$13:$U$214,11,FALSE)*$J17,0)+IF($F17&lt;&gt;0,VLOOKUP($H17,'Allocation Factors - S'!$B$13:$U$214,11,FALSE)*$F17,0)</f>
        <v>0</v>
      </c>
      <c r="U17" s="76">
        <f ca="1">IF($J17&lt;&gt;0,VLOOKUP($L17,'Allocation Factors - S'!$B$13:$U$214,12,FALSE)*$J17,0)+IF($F17&lt;&gt;0,VLOOKUP($H17,'Allocation Factors - S'!$B$13:$U$214,12,FALSE)*$F17,0)</f>
        <v>0</v>
      </c>
      <c r="V17" s="76">
        <f ca="1">IF($J17&lt;&gt;0,VLOOKUP($L17,'Allocation Factors - S'!$B$13:$U$214,13,FALSE)*$J17,0)+IF($F17&lt;&gt;0,VLOOKUP($H17,'Allocation Factors - S'!$B$13:$U$214,13,FALSE)*$F17,0)</f>
        <v>0</v>
      </c>
      <c r="W17" s="76">
        <f ca="1">IF($J17&lt;&gt;0,VLOOKUP($L17,'Allocation Factors - S'!$B$13:$U$214,14,FALSE)*$J17,0)+IF($F17&lt;&gt;0,VLOOKUP($H17,'Allocation Factors - S'!$B$13:$U$214,14,FALSE)*$F17,0)</f>
        <v>0</v>
      </c>
      <c r="X17" s="76">
        <f ca="1">IF($J17&lt;&gt;0,VLOOKUP($L17,'Allocation Factors - S'!$B$13:$U$214,15,FALSE)*$J17,0)+IF($F17&lt;&gt;0,VLOOKUP($H17,'Allocation Factors - S'!$B$13:$U$214,15,FALSE)*$F17,0)</f>
        <v>0</v>
      </c>
      <c r="Y17" s="76">
        <f ca="1">IF($J17&lt;&gt;0,VLOOKUP($L17,'Allocation Factors - S'!$B$13:$U$214,16,FALSE)*$J17,0)+IF($F17&lt;&gt;0,VLOOKUP($H17,'Allocation Factors - S'!$B$13:$U$214,16,FALSE)*$F17,0)</f>
        <v>0.43259139324783175</v>
      </c>
      <c r="Z17" s="76">
        <f ca="1">IF($J17&lt;&gt;0,VLOOKUP($L17,'Allocation Factors - S'!$B$13:$U$214,17,FALSE)*$J17,0)+IF($F17&lt;&gt;0,VLOOKUP($H17,'Allocation Factors - S'!$B$13:$U$214,17,FALSE)*$F17,0)</f>
        <v>0</v>
      </c>
      <c r="AA17" s="76">
        <f ca="1">IF($J17&lt;&gt;0,VLOOKUP($L17,'Allocation Factors - S'!$B$13:$U$214,18,FALSE)*$J17,0)+IF($F17&lt;&gt;0,VLOOKUP($H17,'Allocation Factors - S'!$B$13:$U$214,18,FALSE)*$F17,0)</f>
        <v>251.62283408976094</v>
      </c>
      <c r="AB17" s="76">
        <f ca="1">IF($J17&lt;&gt;0,VLOOKUP($L17,'Allocation Factors - S'!$B$13:$U$214,19,FALSE)*$J17,0)+IF($F17&lt;&gt;0,VLOOKUP($H17,'Allocation Factors - S'!$B$13:$U$214,19,FALSE)*$F17,0)</f>
        <v>76.829879706185324</v>
      </c>
      <c r="AC17" s="76">
        <f ca="1">IF($J17&lt;&gt;0,VLOOKUP($L17,'Allocation Factors - S'!$B$13:$U$214,20,FALSE)*$J17,0)+IF($F17&lt;&gt;0,VLOOKUP($H17,'Allocation Factors - S'!$B$13:$U$214,20,FALSE)*$F17,0)</f>
        <v>428.06085390854588</v>
      </c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'Rate Zone Allocation - Gas Cost'!R18</f>
        <v>1143.5864065573767</v>
      </c>
      <c r="F18" s="76"/>
      <c r="H18" s="2" t="s">
        <v>448</v>
      </c>
      <c r="J18" s="76">
        <f t="shared" ca="1" si="1"/>
        <v>1143.5864065573767</v>
      </c>
      <c r="L18" s="2" t="s">
        <v>449</v>
      </c>
      <c r="N18" s="76">
        <f ca="1">IF($J18&lt;&gt;0,VLOOKUP($L18,'Allocation Factors - S'!$B$13:$U$214,5,FALSE)*$J18,0)+IF($F18&lt;&gt;0,VLOOKUP($H18,'Allocation Factors - S'!$B$13:$U$214,5,FALSE)*$F18,0)</f>
        <v>313.85137370994056</v>
      </c>
      <c r="O18" s="76">
        <f ca="1">IF($J18&lt;&gt;0,VLOOKUP($L18,'Allocation Factors - S'!$B$13:$U$214,6,FALSE)*$J18,0)+IF($F18&lt;&gt;0,VLOOKUP($H18,'Allocation Factors - S'!$B$13:$U$214,6,FALSE)*$F18,0)</f>
        <v>130.16939284509644</v>
      </c>
      <c r="P18" s="76">
        <f ca="1">IF($J18&lt;&gt;0,VLOOKUP($L18,'Allocation Factors - S'!$B$13:$U$214,7,FALSE)*$J18,0)+IF($F18&lt;&gt;0,VLOOKUP($H18,'Allocation Factors - S'!$B$13:$U$214,7,FALSE)*$F18,0)</f>
        <v>127.09575047230979</v>
      </c>
      <c r="Q18" s="76"/>
      <c r="R18" s="76"/>
      <c r="S18" s="76">
        <f ca="1">IF($J18&lt;&gt;0,VLOOKUP($L18,'Allocation Factors - S'!$B$13:$U$214,10,FALSE)*$J18,0)+IF($F18&lt;&gt;0,VLOOKUP($H18,'Allocation Factors - S'!$B$13:$U$214,10,FALSE)*$F18,0)</f>
        <v>380.8557722720733</v>
      </c>
      <c r="T18" s="76">
        <f ca="1">IF($J18&lt;&gt;0,VLOOKUP($L18,'Allocation Factors - S'!$B$13:$U$214,11,FALSE)*$J18,0)+IF($F18&lt;&gt;0,VLOOKUP($H18,'Allocation Factors - S'!$B$13:$U$214,11,FALSE)*$F18,0)</f>
        <v>7.6840817261297394</v>
      </c>
      <c r="U18" s="76">
        <f ca="1">IF($J18&lt;&gt;0,VLOOKUP($L18,'Allocation Factors - S'!$B$13:$U$214,12,FALSE)*$J18,0)+IF($F18&lt;&gt;0,VLOOKUP($H18,'Allocation Factors - S'!$B$13:$U$214,12,FALSE)*$F18,0)</f>
        <v>0</v>
      </c>
      <c r="V18" s="76">
        <f ca="1">IF($J18&lt;&gt;0,VLOOKUP($L18,'Allocation Factors - S'!$B$13:$U$214,13,FALSE)*$J18,0)+IF($F18&lt;&gt;0,VLOOKUP($H18,'Allocation Factors - S'!$B$13:$U$214,13,FALSE)*$F18,0)</f>
        <v>0</v>
      </c>
      <c r="W18" s="76">
        <f ca="1">IF($J18&lt;&gt;0,VLOOKUP($L18,'Allocation Factors - S'!$B$13:$U$214,14,FALSE)*$J18,0)+IF($F18&lt;&gt;0,VLOOKUP($H18,'Allocation Factors - S'!$B$13:$U$214,14,FALSE)*$F18,0)</f>
        <v>138.30800682294949</v>
      </c>
      <c r="X18" s="76">
        <f ca="1">IF($J18&lt;&gt;0,VLOOKUP($L18,'Allocation Factors - S'!$B$13:$U$214,15,FALSE)*$J18,0)+IF($F18&lt;&gt;0,VLOOKUP($H18,'Allocation Factors - S'!$B$13:$U$214,15,FALSE)*$F18,0)</f>
        <v>0</v>
      </c>
      <c r="Y18" s="76">
        <f ca="1">IF($J18&lt;&gt;0,VLOOKUP($L18,'Allocation Factors - S'!$B$13:$U$214,16,FALSE)*$J18,0)+IF($F18&lt;&gt;0,VLOOKUP($H18,'Allocation Factors - S'!$B$13:$U$214,16,FALSE)*$F18,0)</f>
        <v>12.535187553356153</v>
      </c>
      <c r="Z18" s="76">
        <f ca="1">IF($J18&lt;&gt;0,VLOOKUP($L18,'Allocation Factors - S'!$B$13:$U$214,17,FALSE)*$J18,0)+IF($F18&lt;&gt;0,VLOOKUP($H18,'Allocation Factors - S'!$B$13:$U$214,17,FALSE)*$F18,0)</f>
        <v>0.21066605852332532</v>
      </c>
      <c r="AA18" s="76">
        <f ca="1">IF($J18&lt;&gt;0,VLOOKUP($L18,'Allocation Factors - S'!$B$13:$U$214,18,FALSE)*$J18,0)+IF($F18&lt;&gt;0,VLOOKUP($H18,'Allocation Factors - S'!$B$13:$U$214,18,FALSE)*$F18,0)</f>
        <v>0</v>
      </c>
      <c r="AB18" s="76">
        <f ca="1">IF($J18&lt;&gt;0,VLOOKUP($L18,'Allocation Factors - S'!$B$13:$U$214,19,FALSE)*$J18,0)+IF($F18&lt;&gt;0,VLOOKUP($H18,'Allocation Factors - S'!$B$13:$U$214,19,FALSE)*$F18,0)</f>
        <v>8.7282652377029493</v>
      </c>
      <c r="AC18" s="76">
        <f ca="1">IF($J18&lt;&gt;0,VLOOKUP($L18,'Allocation Factors - S'!$B$13:$U$214,20,FALSE)*$J18,0)+IF($F18&lt;&gt;0,VLOOKUP($H18,'Allocation Factors - S'!$B$13:$U$214,20,FALSE)*$F18,0)</f>
        <v>24.14790985929524</v>
      </c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'Rate Zone Allocation - Gas Cost'!R19</f>
        <v>121.83135768851581</v>
      </c>
      <c r="F19" s="76"/>
      <c r="J19" s="76">
        <f t="shared" ca="1" si="1"/>
        <v>121.83135768851581</v>
      </c>
      <c r="L19" s="2" t="s">
        <v>450</v>
      </c>
      <c r="N19" s="76">
        <f ca="1">IF($J19&lt;&gt;0,VLOOKUP($L19,'Allocation Factors - S'!$B$13:$U$214,5,FALSE)*$J19,0)+IF($F19&lt;&gt;0,VLOOKUP($H19,'Allocation Factors - S'!$B$13:$U$214,5,FALSE)*$F19,0)</f>
        <v>33.435985905599651</v>
      </c>
      <c r="O19" s="76">
        <f ca="1">IF($J19&lt;&gt;0,VLOOKUP($L19,'Allocation Factors - S'!$B$13:$U$214,6,FALSE)*$J19,0)+IF($F19&lt;&gt;0,VLOOKUP($H19,'Allocation Factors - S'!$B$13:$U$214,6,FALSE)*$F19,0)</f>
        <v>13.867525679627951</v>
      </c>
      <c r="P19" s="76">
        <f ca="1">IF($J19&lt;&gt;0,VLOOKUP($L19,'Allocation Factors - S'!$B$13:$U$214,7,FALSE)*$J19,0)+IF($F19&lt;&gt;0,VLOOKUP($H19,'Allocation Factors - S'!$B$13:$U$214,7,FALSE)*$F19,0)</f>
        <v>13.540076856191133</v>
      </c>
      <c r="Q19" s="76"/>
      <c r="R19" s="76"/>
      <c r="S19" s="76">
        <f ca="1">IF($J19&lt;&gt;0,VLOOKUP($L19,'Allocation Factors - S'!$B$13:$U$214,10,FALSE)*$J19,0)+IF($F19&lt;&gt;0,VLOOKUP($H19,'Allocation Factors - S'!$B$13:$U$214,10,FALSE)*$F19,0)</f>
        <v>40.574263171854909</v>
      </c>
      <c r="T19" s="76">
        <f ca="1">IF($J19&lt;&gt;0,VLOOKUP($L19,'Allocation Factors - S'!$B$13:$U$214,11,FALSE)*$J19,0)+IF($F19&lt;&gt;0,VLOOKUP($H19,'Allocation Factors - S'!$B$13:$U$214,11,FALSE)*$F19,0)</f>
        <v>0.81861947983633221</v>
      </c>
      <c r="U19" s="76">
        <f ca="1">IF($J19&lt;&gt;0,VLOOKUP($L19,'Allocation Factors - S'!$B$13:$U$214,12,FALSE)*$J19,0)+IF($F19&lt;&gt;0,VLOOKUP($H19,'Allocation Factors - S'!$B$13:$U$214,12,FALSE)*$F19,0)</f>
        <v>0</v>
      </c>
      <c r="V19" s="76">
        <f ca="1">IF($J19&lt;&gt;0,VLOOKUP($L19,'Allocation Factors - S'!$B$13:$U$214,13,FALSE)*$J19,0)+IF($F19&lt;&gt;0,VLOOKUP($H19,'Allocation Factors - S'!$B$13:$U$214,13,FALSE)*$F19,0)</f>
        <v>0</v>
      </c>
      <c r="W19" s="76">
        <f ca="1">IF($J19&lt;&gt;0,VLOOKUP($L19,'Allocation Factors - S'!$B$13:$U$214,14,FALSE)*$J19,0)+IF($F19&lt;&gt;0,VLOOKUP($H19,'Allocation Factors - S'!$B$13:$U$214,14,FALSE)*$F19,0)</f>
        <v>14.734568506421835</v>
      </c>
      <c r="X19" s="76">
        <f ca="1">IF($J19&lt;&gt;0,VLOOKUP($L19,'Allocation Factors - S'!$B$13:$U$214,15,FALSE)*$J19,0)+IF($F19&lt;&gt;0,VLOOKUP($H19,'Allocation Factors - S'!$B$13:$U$214,15,FALSE)*$F19,0)</f>
        <v>0</v>
      </c>
      <c r="Y19" s="76">
        <f ca="1">IF($J19&lt;&gt;0,VLOOKUP($L19,'Allocation Factors - S'!$B$13:$U$214,16,FALSE)*$J19,0)+IF($F19&lt;&gt;0,VLOOKUP($H19,'Allocation Factors - S'!$B$13:$U$214,16,FALSE)*$F19,0)</f>
        <v>1.3354294085244898</v>
      </c>
      <c r="Z19" s="76">
        <f ca="1">IF($J19&lt;&gt;0,VLOOKUP($L19,'Allocation Factors - S'!$B$13:$U$214,17,FALSE)*$J19,0)+IF($F19&lt;&gt;0,VLOOKUP($H19,'Allocation Factors - S'!$B$13:$U$214,17,FALSE)*$F19,0)</f>
        <v>2.2443194306627431E-2</v>
      </c>
      <c r="AA19" s="76">
        <f ca="1">IF($J19&lt;&gt;0,VLOOKUP($L19,'Allocation Factors - S'!$B$13:$U$214,18,FALSE)*$J19,0)+IF($F19&lt;&gt;0,VLOOKUP($H19,'Allocation Factors - S'!$B$13:$U$214,18,FALSE)*$F19,0)</f>
        <v>0</v>
      </c>
      <c r="AB19" s="76">
        <f ca="1">IF($J19&lt;&gt;0,VLOOKUP($L19,'Allocation Factors - S'!$B$13:$U$214,19,FALSE)*$J19,0)+IF($F19&lt;&gt;0,VLOOKUP($H19,'Allocation Factors - S'!$B$13:$U$214,19,FALSE)*$F19,0)</f>
        <v>0.92986100401104577</v>
      </c>
      <c r="AC19" s="76">
        <f ca="1">IF($J19&lt;&gt;0,VLOOKUP($L19,'Allocation Factors - S'!$B$13:$U$214,20,FALSE)*$J19,0)+IF($F19&lt;&gt;0,VLOOKUP($H19,'Allocation Factors - S'!$B$13:$U$214,20,FALSE)*$F19,0)</f>
        <v>2.5725844821418216</v>
      </c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'Rate Zone Allocation - Gas Cost'!R20</f>
        <v>0</v>
      </c>
      <c r="F20" s="76"/>
      <c r="J20" s="76">
        <f t="shared" ca="1" si="1"/>
        <v>0</v>
      </c>
      <c r="L20" s="2" t="s">
        <v>445</v>
      </c>
      <c r="N20" s="76">
        <f ca="1">IF($J20&lt;&gt;0,VLOOKUP($L20,'Allocation Factors - S'!$B$13:$U$214,5,FALSE)*$J20,0)+IF($F20&lt;&gt;0,VLOOKUP($H20,'Allocation Factors - S'!$B$13:$U$214,5,FALSE)*$F20,0)</f>
        <v>0</v>
      </c>
      <c r="O20" s="76">
        <f ca="1">IF($J20&lt;&gt;0,VLOOKUP($L20,'Allocation Factors - S'!$B$13:$U$214,6,FALSE)*$J20,0)+IF($F20&lt;&gt;0,VLOOKUP($H20,'Allocation Factors - S'!$B$13:$U$214,6,FALSE)*$F20,0)</f>
        <v>0</v>
      </c>
      <c r="P20" s="76">
        <f ca="1">IF($J20&lt;&gt;0,VLOOKUP($L20,'Allocation Factors - S'!$B$13:$U$214,7,FALSE)*$J20,0)+IF($F20&lt;&gt;0,VLOOKUP($H20,'Allocation Factors - S'!$B$13:$U$214,7,FALSE)*$F20,0)</f>
        <v>0</v>
      </c>
      <c r="Q20" s="76"/>
      <c r="R20" s="76"/>
      <c r="S20" s="76">
        <f ca="1">IF($J20&lt;&gt;0,VLOOKUP($L20,'Allocation Factors - S'!$B$13:$U$214,10,FALSE)*$J20,0)+IF($F20&lt;&gt;0,VLOOKUP($H20,'Allocation Factors - S'!$B$13:$U$214,10,FALSE)*$F20,0)</f>
        <v>0</v>
      </c>
      <c r="T20" s="76">
        <f ca="1">IF($J20&lt;&gt;0,VLOOKUP($L20,'Allocation Factors - S'!$B$13:$U$214,11,FALSE)*$J20,0)+IF($F20&lt;&gt;0,VLOOKUP($H20,'Allocation Factors - S'!$B$13:$U$214,11,FALSE)*$F20,0)</f>
        <v>0</v>
      </c>
      <c r="U20" s="76">
        <f ca="1">IF($J20&lt;&gt;0,VLOOKUP($L20,'Allocation Factors - S'!$B$13:$U$214,12,FALSE)*$J20,0)+IF($F20&lt;&gt;0,VLOOKUP($H20,'Allocation Factors - S'!$B$13:$U$214,12,FALSE)*$F20,0)</f>
        <v>0</v>
      </c>
      <c r="V20" s="76">
        <f ca="1">IF($J20&lt;&gt;0,VLOOKUP($L20,'Allocation Factors - S'!$B$13:$U$214,13,FALSE)*$J20,0)+IF($F20&lt;&gt;0,VLOOKUP($H20,'Allocation Factors - S'!$B$13:$U$214,13,FALSE)*$F20,0)</f>
        <v>0</v>
      </c>
      <c r="W20" s="76">
        <f ca="1">IF($J20&lt;&gt;0,VLOOKUP($L20,'Allocation Factors - S'!$B$13:$U$214,14,FALSE)*$J20,0)+IF($F20&lt;&gt;0,VLOOKUP($H20,'Allocation Factors - S'!$B$13:$U$214,14,FALSE)*$F20,0)</f>
        <v>0</v>
      </c>
      <c r="X20" s="76">
        <f ca="1">IF($J20&lt;&gt;0,VLOOKUP($L20,'Allocation Factors - S'!$B$13:$U$214,15,FALSE)*$J20,0)+IF($F20&lt;&gt;0,VLOOKUP($H20,'Allocation Factors - S'!$B$13:$U$214,15,FALSE)*$F20,0)</f>
        <v>0</v>
      </c>
      <c r="Y20" s="76">
        <f ca="1">IF($J20&lt;&gt;0,VLOOKUP($L20,'Allocation Factors - S'!$B$13:$U$214,16,FALSE)*$J20,0)+IF($F20&lt;&gt;0,VLOOKUP($H20,'Allocation Factors - S'!$B$13:$U$214,16,FALSE)*$F20,0)</f>
        <v>0</v>
      </c>
      <c r="Z20" s="76">
        <f ca="1">IF($J20&lt;&gt;0,VLOOKUP($L20,'Allocation Factors - S'!$B$13:$U$214,17,FALSE)*$J20,0)+IF($F20&lt;&gt;0,VLOOKUP($H20,'Allocation Factors - S'!$B$13:$U$214,17,FALSE)*$F20,0)</f>
        <v>0</v>
      </c>
      <c r="AA20" s="76">
        <f ca="1">IF($J20&lt;&gt;0,VLOOKUP($L20,'Allocation Factors - S'!$B$13:$U$214,18,FALSE)*$J20,0)+IF($F20&lt;&gt;0,VLOOKUP($H20,'Allocation Factors - S'!$B$13:$U$214,18,FALSE)*$F20,0)</f>
        <v>0</v>
      </c>
      <c r="AB20" s="76">
        <f ca="1">IF($J20&lt;&gt;0,VLOOKUP($L20,'Allocation Factors - S'!$B$13:$U$214,19,FALSE)*$J20,0)+IF($F20&lt;&gt;0,VLOOKUP($H20,'Allocation Factors - S'!$B$13:$U$214,19,FALSE)*$F20,0)</f>
        <v>0</v>
      </c>
      <c r="AC20" s="76">
        <f ca="1">IF($J20&lt;&gt;0,VLOOKUP($L20,'Allocation Factors - S'!$B$13:$U$214,20,FALSE)*$J20,0)+IF($F20&lt;&gt;0,VLOOKUP($H20,'Allocation Factors - S'!$B$13:$U$214,20,FALSE)*$F20,0)</f>
        <v>0</v>
      </c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618189.3170628869</v>
      </c>
      <c r="F21" s="78">
        <f>SUM(F15:F20)</f>
        <v>0</v>
      </c>
      <c r="J21" s="40">
        <f ca="1">SUM(J15:J20)</f>
        <v>618189.3170628869</v>
      </c>
      <c r="N21" s="40">
        <f t="shared" ref="N21:AA21" ca="1" si="2">SUM(N15:N20)</f>
        <v>482154.97001808474</v>
      </c>
      <c r="O21" s="40">
        <f t="shared" ca="1" si="2"/>
        <v>113231.47692060929</v>
      </c>
      <c r="P21" s="40">
        <f t="shared" ca="1" si="2"/>
        <v>16648.297271990748</v>
      </c>
      <c r="Q21" s="40"/>
      <c r="R21" s="40"/>
      <c r="S21" s="40">
        <f t="shared" ca="1" si="2"/>
        <v>2104.8514912942483</v>
      </c>
      <c r="T21" s="40">
        <f t="shared" ca="1" si="2"/>
        <v>8.5027012059660709</v>
      </c>
      <c r="U21" s="40">
        <f t="shared" ca="1" si="2"/>
        <v>0</v>
      </c>
      <c r="V21" s="40">
        <f t="shared" ca="1" si="2"/>
        <v>0</v>
      </c>
      <c r="W21" s="40">
        <f t="shared" ca="1" si="2"/>
        <v>153.04257532937132</v>
      </c>
      <c r="X21" s="40">
        <f t="shared" ca="1" si="2"/>
        <v>0</v>
      </c>
      <c r="Y21" s="40">
        <f t="shared" ca="1" si="2"/>
        <v>303.30976387073451</v>
      </c>
      <c r="Z21" s="40">
        <f t="shared" ca="1" si="2"/>
        <v>337.99162153920247</v>
      </c>
      <c r="AA21" s="40">
        <f t="shared" ca="1" si="2"/>
        <v>251.62283408976094</v>
      </c>
      <c r="AB21" s="40">
        <f ca="1">SUM(AB15:AB20)</f>
        <v>2540.4705166227864</v>
      </c>
      <c r="AC21" s="40">
        <f ca="1">SUM(AC15:AC20)</f>
        <v>454.78134824998295</v>
      </c>
      <c r="AD21" s="48"/>
    </row>
    <row r="22" spans="1:30" x14ac:dyDescent="0.25">
      <c r="D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48"/>
    </row>
    <row r="24" spans="1:30" x14ac:dyDescent="0.25">
      <c r="A24" s="2">
        <f>A21+1</f>
        <v>8</v>
      </c>
      <c r="B24" s="31" t="s">
        <v>363</v>
      </c>
      <c r="D24" s="76">
        <f ca="1">'Rate Zone Allocation - Gas Cost'!R24</f>
        <v>3503.3287364780331</v>
      </c>
      <c r="F24" s="76"/>
      <c r="J24" s="76">
        <f ca="1">D24-F24</f>
        <v>3503.3287364780331</v>
      </c>
      <c r="L24" s="2" t="s">
        <v>447</v>
      </c>
      <c r="N24" s="76">
        <f ca="1">IF($J24&lt;&gt;0,VLOOKUP($L24,'Allocation Factors - S'!$B$13:$U$214,5,FALSE)*$J24,0)+IF($F24&lt;&gt;0,VLOOKUP($H24,'Allocation Factors - S'!$B$13:$U$214,5,FALSE)*$F24,0)</f>
        <v>1746.8551815266171</v>
      </c>
      <c r="O24" s="76">
        <f ca="1">IF($J24&lt;&gt;0,VLOOKUP($L24,'Allocation Factors - S'!$B$13:$U$214,6,FALSE)*$J24,0)+IF($F24&lt;&gt;0,VLOOKUP($H24,'Allocation Factors - S'!$B$13:$U$214,6,FALSE)*$F24,0)</f>
        <v>615.9764209396177</v>
      </c>
      <c r="P24" s="76">
        <f ca="1">IF($J24&lt;&gt;0,VLOOKUP($L24,'Allocation Factors - S'!$B$13:$U$214,7,FALSE)*$J24,0)+IF($F24&lt;&gt;0,VLOOKUP($H24,'Allocation Factors - S'!$B$13:$U$214,7,FALSE)*$F24,0)</f>
        <v>519.56408317558032</v>
      </c>
      <c r="Q24" s="76"/>
      <c r="R24" s="76"/>
      <c r="S24" s="76">
        <f ca="1">IF($J24&lt;&gt;0,VLOOKUP($L24,'Allocation Factors - S'!$B$13:$U$214,10,FALSE)*$J24,0)+IF($F24&lt;&gt;0,VLOOKUP($H24,'Allocation Factors - S'!$B$13:$U$214,10,FALSE)*$F24,0)</f>
        <v>428.33383545230072</v>
      </c>
      <c r="T24" s="76">
        <f ca="1">IF($J24&lt;&gt;0,VLOOKUP($L24,'Allocation Factors - S'!$B$13:$U$214,11,FALSE)*$J24,0)+IF($F24&lt;&gt;0,VLOOKUP($H24,'Allocation Factors - S'!$B$13:$U$214,11,FALSE)*$F24,0)</f>
        <v>0</v>
      </c>
      <c r="U24" s="76">
        <f ca="1">IF($J24&lt;&gt;0,VLOOKUP($L24,'Allocation Factors - S'!$B$13:$U$214,12,FALSE)*$J24,0)+IF($F24&lt;&gt;0,VLOOKUP($H24,'Allocation Factors - S'!$B$13:$U$214,12,FALSE)*$F24,0)</f>
        <v>0</v>
      </c>
      <c r="V24" s="76">
        <f ca="1">IF($J24&lt;&gt;0,VLOOKUP($L24,'Allocation Factors - S'!$B$13:$U$214,13,FALSE)*$J24,0)+IF($F24&lt;&gt;0,VLOOKUP($H24,'Allocation Factors - S'!$B$13:$U$214,13,FALSE)*$F24,0)</f>
        <v>0</v>
      </c>
      <c r="W24" s="76">
        <f ca="1">IF($J24&lt;&gt;0,VLOOKUP($L24,'Allocation Factors - S'!$B$13:$U$214,14,FALSE)*$J24,0)+IF($F24&lt;&gt;0,VLOOKUP($H24,'Allocation Factors - S'!$B$13:$U$214,14,FALSE)*$F24,0)</f>
        <v>0</v>
      </c>
      <c r="X24" s="76">
        <f ca="1">IF($J24&lt;&gt;0,VLOOKUP($L24,'Allocation Factors - S'!$B$13:$U$214,15,FALSE)*$J24,0)+IF($F24&lt;&gt;0,VLOOKUP($H24,'Allocation Factors - S'!$B$13:$U$214,15,FALSE)*$F24,0)</f>
        <v>0</v>
      </c>
      <c r="Y24" s="76">
        <f ca="1">IF($J24&lt;&gt;0,VLOOKUP($L24,'Allocation Factors - S'!$B$13:$U$214,16,FALSE)*$J24,0)+IF($F24&lt;&gt;0,VLOOKUP($H24,'Allocation Factors - S'!$B$13:$U$214,16,FALSE)*$F24,0)</f>
        <v>0.11006960259984563</v>
      </c>
      <c r="Z24" s="76">
        <f ca="1">IF($J24&lt;&gt;0,VLOOKUP($L24,'Allocation Factors - S'!$B$13:$U$214,17,FALSE)*$J24,0)+IF($F24&lt;&gt;0,VLOOKUP($H24,'Allocation Factors - S'!$B$13:$U$214,17,FALSE)*$F24,0)</f>
        <v>0</v>
      </c>
      <c r="AA24" s="76">
        <f ca="1">IF($J24&lt;&gt;0,VLOOKUP($L24,'Allocation Factors - S'!$B$13:$U$214,18,FALSE)*$J24,0)+IF($F24&lt;&gt;0,VLOOKUP($H24,'Allocation Factors - S'!$B$13:$U$214,18,FALSE)*$F24,0)</f>
        <v>64.023523781574212</v>
      </c>
      <c r="AB24" s="76">
        <f ca="1">IF($J24&lt;&gt;0,VLOOKUP($L24,'Allocation Factors - S'!$B$13:$U$214,19,FALSE)*$J24,0)+IF($F24&lt;&gt;0,VLOOKUP($H24,'Allocation Factors - S'!$B$13:$U$214,19,FALSE)*$F24,0)</f>
        <v>19.548780810368445</v>
      </c>
      <c r="AC24" s="76">
        <f ca="1">IF($J24&lt;&gt;0,VLOOKUP($L24,'Allocation Factors - S'!$B$13:$U$214,20,FALSE)*$J24,0)+IF($F24&lt;&gt;0,VLOOKUP($H24,'Allocation Factors - S'!$B$13:$U$214,20,FALSE)*$F24,0)</f>
        <v>108.91684118937422</v>
      </c>
      <c r="AD24" s="48"/>
    </row>
    <row r="25" spans="1:30" x14ac:dyDescent="0.25">
      <c r="A25" s="2">
        <f>A24+1</f>
        <v>9</v>
      </c>
      <c r="B25" s="31" t="s">
        <v>364</v>
      </c>
      <c r="D25" s="76">
        <f ca="1">'Rate Zone Allocation - Gas Cost'!R25</f>
        <v>1018.8302250722368</v>
      </c>
      <c r="F25" s="76"/>
      <c r="H25" s="2" t="s">
        <v>451</v>
      </c>
      <c r="J25" s="76">
        <f t="shared" ref="J25:J27" ca="1" si="3">D25-F25</f>
        <v>1018.8302250722368</v>
      </c>
      <c r="L25" s="2" t="s">
        <v>452</v>
      </c>
      <c r="N25" s="76">
        <f ca="1">IF($J25&lt;&gt;0,VLOOKUP($L25,'Allocation Factors - S'!$B$13:$U$214,5,FALSE)*$J25,0)+IF($F25&lt;&gt;0,VLOOKUP($H25,'Allocation Factors - S'!$B$13:$U$214,5,FALSE)*$F25,0)</f>
        <v>563.90286530091907</v>
      </c>
      <c r="O25" s="76">
        <f ca="1">IF($J25&lt;&gt;0,VLOOKUP($L25,'Allocation Factors - S'!$B$13:$U$214,6,FALSE)*$J25,0)+IF($F25&lt;&gt;0,VLOOKUP($H25,'Allocation Factors - S'!$B$13:$U$214,6,FALSE)*$F25,0)</f>
        <v>169.61831396748391</v>
      </c>
      <c r="P25" s="76">
        <f ca="1">IF($J25&lt;&gt;0,VLOOKUP($L25,'Allocation Factors - S'!$B$13:$U$214,7,FALSE)*$J25,0)+IF($F25&lt;&gt;0,VLOOKUP($H25,'Allocation Factors - S'!$B$13:$U$214,7,FALSE)*$F25,0)</f>
        <v>82.809845797571498</v>
      </c>
      <c r="Q25" s="76"/>
      <c r="R25" s="76"/>
      <c r="S25" s="76">
        <f ca="1">IF($J25&lt;&gt;0,VLOOKUP($L25,'Allocation Factors - S'!$B$13:$U$214,10,FALSE)*$J25,0)+IF($F25&lt;&gt;0,VLOOKUP($H25,'Allocation Factors - S'!$B$13:$U$214,10,FALSE)*$F25,0)</f>
        <v>116.13828355709134</v>
      </c>
      <c r="T25" s="76">
        <f ca="1">IF($J25&lt;&gt;0,VLOOKUP($L25,'Allocation Factors - S'!$B$13:$U$214,11,FALSE)*$J25,0)+IF($F25&lt;&gt;0,VLOOKUP($H25,'Allocation Factors - S'!$B$13:$U$214,11,FALSE)*$F25,0)</f>
        <v>0</v>
      </c>
      <c r="U25" s="76">
        <f ca="1">IF($J25&lt;&gt;0,VLOOKUP($L25,'Allocation Factors - S'!$B$13:$U$214,12,FALSE)*$J25,0)+IF($F25&lt;&gt;0,VLOOKUP($H25,'Allocation Factors - S'!$B$13:$U$214,12,FALSE)*$F25,0)</f>
        <v>0</v>
      </c>
      <c r="V25" s="76">
        <f ca="1">IF($J25&lt;&gt;0,VLOOKUP($L25,'Allocation Factors - S'!$B$13:$U$214,13,FALSE)*$J25,0)+IF($F25&lt;&gt;0,VLOOKUP($H25,'Allocation Factors - S'!$B$13:$U$214,13,FALSE)*$F25,0)</f>
        <v>0</v>
      </c>
      <c r="W25" s="76">
        <f ca="1">IF($J25&lt;&gt;0,VLOOKUP($L25,'Allocation Factors - S'!$B$13:$U$214,14,FALSE)*$J25,0)+IF($F25&lt;&gt;0,VLOOKUP($H25,'Allocation Factors - S'!$B$13:$U$214,14,FALSE)*$F25,0)</f>
        <v>0</v>
      </c>
      <c r="X25" s="76">
        <f ca="1">IF($J25&lt;&gt;0,VLOOKUP($L25,'Allocation Factors - S'!$B$13:$U$214,15,FALSE)*$J25,0)+IF($F25&lt;&gt;0,VLOOKUP($H25,'Allocation Factors - S'!$B$13:$U$214,15,FALSE)*$F25,0)</f>
        <v>0</v>
      </c>
      <c r="Y25" s="76">
        <f ca="1">IF($J25&lt;&gt;0,VLOOKUP($L25,'Allocation Factors - S'!$B$13:$U$214,16,FALSE)*$J25,0)+IF($F25&lt;&gt;0,VLOOKUP($H25,'Allocation Factors - S'!$B$13:$U$214,16,FALSE)*$F25,0)</f>
        <v>4.3811350374009201</v>
      </c>
      <c r="Z25" s="76">
        <f ca="1">IF($J25&lt;&gt;0,VLOOKUP($L25,'Allocation Factors - S'!$B$13:$U$214,17,FALSE)*$J25,0)+IF($F25&lt;&gt;0,VLOOKUP($H25,'Allocation Factors - S'!$B$13:$U$214,17,FALSE)*$F25,0)</f>
        <v>0</v>
      </c>
      <c r="AA25" s="76">
        <f ca="1">IF($J25&lt;&gt;0,VLOOKUP($L25,'Allocation Factors - S'!$B$13:$U$214,18,FALSE)*$J25,0)+IF($F25&lt;&gt;0,VLOOKUP($H25,'Allocation Factors - S'!$B$13:$U$214,18,FALSE)*$F25,0)</f>
        <v>33.168040173962247</v>
      </c>
      <c r="AB25" s="76">
        <f ca="1">IF($J25&lt;&gt;0,VLOOKUP($L25,'Allocation Factors - S'!$B$13:$U$214,19,FALSE)*$J25,0)+IF($F25&lt;&gt;0,VLOOKUP($H25,'Allocation Factors - S'!$B$13:$U$214,19,FALSE)*$F25,0)</f>
        <v>4.8472151513876991</v>
      </c>
      <c r="AC25" s="76">
        <f ca="1">IF($J25&lt;&gt;0,VLOOKUP($L25,'Allocation Factors - S'!$B$13:$U$214,20,FALSE)*$J25,0)+IF($F25&lt;&gt;0,VLOOKUP($H25,'Allocation Factors - S'!$B$13:$U$214,20,FALSE)*$F25,0)</f>
        <v>43.9645260864202</v>
      </c>
      <c r="AD25" s="48"/>
    </row>
    <row r="26" spans="1:30" x14ac:dyDescent="0.25">
      <c r="A26" s="2">
        <f t="shared" ref="A26:A28" si="4">A25+1</f>
        <v>10</v>
      </c>
      <c r="B26" s="31" t="s">
        <v>367</v>
      </c>
      <c r="D26" s="76">
        <f ca="1">'Rate Zone Allocation - Gas Cost'!R26</f>
        <v>0</v>
      </c>
      <c r="F26" s="76"/>
      <c r="J26" s="76">
        <f t="shared" ca="1" si="3"/>
        <v>0</v>
      </c>
      <c r="L26" s="2" t="s">
        <v>453</v>
      </c>
      <c r="N26" s="76">
        <f ca="1">IF($J26&lt;&gt;0,VLOOKUP($L26,'Allocation Factors - S'!$B$13:$U$214,5,FALSE)*$J26,0)+IF($F26&lt;&gt;0,VLOOKUP($H26,'Allocation Factors - S'!$B$13:$U$214,5,FALSE)*$F26,0)</f>
        <v>0</v>
      </c>
      <c r="O26" s="76">
        <f ca="1">IF($J26&lt;&gt;0,VLOOKUP($L26,'Allocation Factors - S'!$B$13:$U$214,6,FALSE)*$J26,0)+IF($F26&lt;&gt;0,VLOOKUP($H26,'Allocation Factors - S'!$B$13:$U$214,6,FALSE)*$F26,0)</f>
        <v>0</v>
      </c>
      <c r="P26" s="76">
        <f ca="1">IF($J26&lt;&gt;0,VLOOKUP($L26,'Allocation Factors - S'!$B$13:$U$214,7,FALSE)*$J26,0)+IF($F26&lt;&gt;0,VLOOKUP($H26,'Allocation Factors - S'!$B$13:$U$214,7,FALSE)*$F26,0)</f>
        <v>0</v>
      </c>
      <c r="Q26" s="76"/>
      <c r="R26" s="76"/>
      <c r="S26" s="76">
        <f ca="1">IF($J26&lt;&gt;0,VLOOKUP($L26,'Allocation Factors - S'!$B$13:$U$214,10,FALSE)*$J26,0)+IF($F26&lt;&gt;0,VLOOKUP($H26,'Allocation Factors - S'!$B$13:$U$214,10,FALSE)*$F26,0)</f>
        <v>0</v>
      </c>
      <c r="T26" s="76">
        <f ca="1">IF($J26&lt;&gt;0,VLOOKUP($L26,'Allocation Factors - S'!$B$13:$U$214,11,FALSE)*$J26,0)+IF($F26&lt;&gt;0,VLOOKUP($H26,'Allocation Factors - S'!$B$13:$U$214,11,FALSE)*$F26,0)</f>
        <v>0</v>
      </c>
      <c r="U26" s="76">
        <f ca="1">IF($J26&lt;&gt;0,VLOOKUP($L26,'Allocation Factors - S'!$B$13:$U$214,12,FALSE)*$J26,0)+IF($F26&lt;&gt;0,VLOOKUP($H26,'Allocation Factors - S'!$B$13:$U$214,12,FALSE)*$F26,0)</f>
        <v>0</v>
      </c>
      <c r="V26" s="76">
        <f ca="1">IF($J26&lt;&gt;0,VLOOKUP($L26,'Allocation Factors - S'!$B$13:$U$214,13,FALSE)*$J26,0)+IF($F26&lt;&gt;0,VLOOKUP($H26,'Allocation Factors - S'!$B$13:$U$214,13,FALSE)*$F26,0)</f>
        <v>0</v>
      </c>
      <c r="W26" s="76">
        <f ca="1">IF($J26&lt;&gt;0,VLOOKUP($L26,'Allocation Factors - S'!$B$13:$U$214,14,FALSE)*$J26,0)+IF($F26&lt;&gt;0,VLOOKUP($H26,'Allocation Factors - S'!$B$13:$U$214,14,FALSE)*$F26,0)</f>
        <v>0</v>
      </c>
      <c r="X26" s="76">
        <f ca="1">IF($J26&lt;&gt;0,VLOOKUP($L26,'Allocation Factors - S'!$B$13:$U$214,15,FALSE)*$J26,0)+IF($F26&lt;&gt;0,VLOOKUP($H26,'Allocation Factors - S'!$B$13:$U$214,15,FALSE)*$F26,0)</f>
        <v>0</v>
      </c>
      <c r="Y26" s="76">
        <f ca="1">IF($J26&lt;&gt;0,VLOOKUP($L26,'Allocation Factors - S'!$B$13:$U$214,16,FALSE)*$J26,0)+IF($F26&lt;&gt;0,VLOOKUP($H26,'Allocation Factors - S'!$B$13:$U$214,16,FALSE)*$F26,0)</f>
        <v>0</v>
      </c>
      <c r="Z26" s="76">
        <f ca="1">IF($J26&lt;&gt;0,VLOOKUP($L26,'Allocation Factors - S'!$B$13:$U$214,17,FALSE)*$J26,0)+IF($F26&lt;&gt;0,VLOOKUP($H26,'Allocation Factors - S'!$B$13:$U$214,17,FALSE)*$F26,0)</f>
        <v>0</v>
      </c>
      <c r="AA26" s="76">
        <f ca="1">IF($J26&lt;&gt;0,VLOOKUP($L26,'Allocation Factors - S'!$B$13:$U$214,18,FALSE)*$J26,0)+IF($F26&lt;&gt;0,VLOOKUP($H26,'Allocation Factors - S'!$B$13:$U$214,18,FALSE)*$F26,0)</f>
        <v>0</v>
      </c>
      <c r="AB26" s="76">
        <f ca="1">IF($J26&lt;&gt;0,VLOOKUP($L26,'Allocation Factors - S'!$B$13:$U$214,19,FALSE)*$J26,0)+IF($F26&lt;&gt;0,VLOOKUP($H26,'Allocation Factors - S'!$B$13:$U$214,19,FALSE)*$F26,0)</f>
        <v>0</v>
      </c>
      <c r="AC26" s="76">
        <f ca="1">IF($J26&lt;&gt;0,VLOOKUP($L26,'Allocation Factors - S'!$B$13:$U$214,20,FALSE)*$J26,0)+IF($F26&lt;&gt;0,VLOOKUP($H26,'Allocation Factors - S'!$B$13:$U$214,20,FALSE)*$F26,0)</f>
        <v>0</v>
      </c>
      <c r="AD26" s="48"/>
    </row>
    <row r="27" spans="1:30" x14ac:dyDescent="0.25">
      <c r="A27" s="2">
        <f t="shared" si="4"/>
        <v>11</v>
      </c>
      <c r="B27" s="31" t="s">
        <v>369</v>
      </c>
      <c r="D27" s="76">
        <f ca="1">'Rate Zone Allocation - Gas Cost'!R27</f>
        <v>5253.7873559774252</v>
      </c>
      <c r="F27" s="76"/>
      <c r="J27" s="76">
        <f t="shared" ca="1" si="3"/>
        <v>5253.7873559774252</v>
      </c>
      <c r="L27" s="2" t="s">
        <v>454</v>
      </c>
      <c r="N27" s="76">
        <f ca="1">IF($J27&lt;&gt;0,VLOOKUP($L27,'Allocation Factors - S'!$B$13:$U$214,5,FALSE)*$J27,0)+IF($F27&lt;&gt;0,VLOOKUP($H27,'Allocation Factors - S'!$B$13:$U$214,5,FALSE)*$F27,0)</f>
        <v>2154.9259813216745</v>
      </c>
      <c r="O27" s="76">
        <f ca="1">IF($J27&lt;&gt;0,VLOOKUP($L27,'Allocation Factors - S'!$B$13:$U$214,6,FALSE)*$J27,0)+IF($F27&lt;&gt;0,VLOOKUP($H27,'Allocation Factors - S'!$B$13:$U$214,6,FALSE)*$F27,0)</f>
        <v>893.75236214198424</v>
      </c>
      <c r="P27" s="76">
        <f ca="1">IF($J27&lt;&gt;0,VLOOKUP($L27,'Allocation Factors - S'!$B$13:$U$214,7,FALSE)*$J27,0)+IF($F27&lt;&gt;0,VLOOKUP($H27,'Allocation Factors - S'!$B$13:$U$214,7,FALSE)*$F27,0)</f>
        <v>872.81856843124092</v>
      </c>
      <c r="Q27" s="76"/>
      <c r="R27" s="76"/>
      <c r="S27" s="76">
        <f ca="1">IF($J27&lt;&gt;0,VLOOKUP($L27,'Allocation Factors - S'!$B$13:$U$214,10,FALSE)*$J27,0)+IF($F27&lt;&gt;0,VLOOKUP($H27,'Allocation Factors - S'!$B$13:$U$214,10,FALSE)*$F27,0)</f>
        <v>657.851256407851</v>
      </c>
      <c r="T27" s="76">
        <f ca="1">IF($J27&lt;&gt;0,VLOOKUP($L27,'Allocation Factors - S'!$B$13:$U$214,11,FALSE)*$J27,0)+IF($F27&lt;&gt;0,VLOOKUP($H27,'Allocation Factors - S'!$B$13:$U$214,11,FALSE)*$F27,0)</f>
        <v>0</v>
      </c>
      <c r="U27" s="76">
        <f ca="1">IF($J27&lt;&gt;0,VLOOKUP($L27,'Allocation Factors - S'!$B$13:$U$214,12,FALSE)*$J27,0)+IF($F27&lt;&gt;0,VLOOKUP($H27,'Allocation Factors - S'!$B$13:$U$214,12,FALSE)*$F27,0)</f>
        <v>0</v>
      </c>
      <c r="V27" s="76">
        <f ca="1">IF($J27&lt;&gt;0,VLOOKUP($L27,'Allocation Factors - S'!$B$13:$U$214,13,FALSE)*$J27,0)+IF($F27&lt;&gt;0,VLOOKUP($H27,'Allocation Factors - S'!$B$13:$U$214,13,FALSE)*$F27,0)</f>
        <v>0</v>
      </c>
      <c r="W27" s="76">
        <f ca="1">IF($J27&lt;&gt;0,VLOOKUP($L27,'Allocation Factors - S'!$B$13:$U$214,14,FALSE)*$J27,0)+IF($F27&lt;&gt;0,VLOOKUP($H27,'Allocation Factors - S'!$B$13:$U$214,14,FALSE)*$F27,0)</f>
        <v>0</v>
      </c>
      <c r="X27" s="76">
        <f ca="1">IF($J27&lt;&gt;0,VLOOKUP($L27,'Allocation Factors - S'!$B$13:$U$214,15,FALSE)*$J27,0)+IF($F27&lt;&gt;0,VLOOKUP($H27,'Allocation Factors - S'!$B$13:$U$214,15,FALSE)*$F27,0)</f>
        <v>0</v>
      </c>
      <c r="Y27" s="76">
        <f ca="1">IF($J27&lt;&gt;0,VLOOKUP($L27,'Allocation Factors - S'!$B$13:$U$214,16,FALSE)*$J27,0)+IF($F27&lt;&gt;0,VLOOKUP($H27,'Allocation Factors - S'!$B$13:$U$214,16,FALSE)*$F27,0)</f>
        <v>86.039986713870022</v>
      </c>
      <c r="Z27" s="76">
        <f ca="1">IF($J27&lt;&gt;0,VLOOKUP($L27,'Allocation Factors - S'!$B$13:$U$214,17,FALSE)*$J27,0)+IF($F27&lt;&gt;0,VLOOKUP($H27,'Allocation Factors - S'!$B$13:$U$214,17,FALSE)*$F27,0)</f>
        <v>1.4466263019182843</v>
      </c>
      <c r="AA27" s="76">
        <f ca="1">IF($J27&lt;&gt;0,VLOOKUP($L27,'Allocation Factors - S'!$B$13:$U$214,18,FALSE)*$J27,0)+IF($F27&lt;&gt;0,VLOOKUP($H27,'Allocation Factors - S'!$B$13:$U$214,18,FALSE)*$F27,0)</f>
        <v>339.3665379522763</v>
      </c>
      <c r="AB27" s="76">
        <f ca="1">IF($J27&lt;&gt;0,VLOOKUP($L27,'Allocation Factors - S'!$B$13:$U$214,19,FALSE)*$J27,0)+IF($F27&lt;&gt;0,VLOOKUP($H27,'Allocation Factors - S'!$B$13:$U$214,19,FALSE)*$F27,0)</f>
        <v>59.936271421635276</v>
      </c>
      <c r="AC27" s="76">
        <f ca="1">IF($J27&lt;&gt;0,VLOOKUP($L27,'Allocation Factors - S'!$B$13:$U$214,20,FALSE)*$J27,0)+IF($F27&lt;&gt;0,VLOOKUP($H27,'Allocation Factors - S'!$B$13:$U$214,20,FALSE)*$F27,0)</f>
        <v>187.64976528497428</v>
      </c>
      <c r="AD27" s="48"/>
    </row>
    <row r="28" spans="1:30" x14ac:dyDescent="0.25">
      <c r="A28" s="2">
        <f t="shared" si="4"/>
        <v>12</v>
      </c>
      <c r="B28" s="31" t="s">
        <v>371</v>
      </c>
      <c r="D28" s="40">
        <f ca="1">SUM(D24:D27)</f>
        <v>9775.9463175276942</v>
      </c>
      <c r="F28" s="40">
        <f>SUM(F24:F27)</f>
        <v>0</v>
      </c>
      <c r="H28" s="115"/>
      <c r="J28" s="40">
        <f ca="1">SUM(J24:J27)</f>
        <v>9775.9463175276942</v>
      </c>
      <c r="N28" s="40">
        <f t="shared" ref="N28:AA28" ca="1" si="5">SUM(N24:N27)</f>
        <v>4465.6840281492114</v>
      </c>
      <c r="O28" s="40">
        <f t="shared" ca="1" si="5"/>
        <v>1679.3470970490857</v>
      </c>
      <c r="P28" s="40">
        <f t="shared" ca="1" si="5"/>
        <v>1475.1924974043927</v>
      </c>
      <c r="Q28" s="40"/>
      <c r="R28" s="40"/>
      <c r="S28" s="40">
        <f t="shared" ca="1" si="5"/>
        <v>1202.3233754172429</v>
      </c>
      <c r="T28" s="40">
        <f t="shared" ca="1" si="5"/>
        <v>0</v>
      </c>
      <c r="U28" s="40">
        <f t="shared" ca="1" si="5"/>
        <v>0</v>
      </c>
      <c r="V28" s="40">
        <f t="shared" ca="1" si="5"/>
        <v>0</v>
      </c>
      <c r="W28" s="40">
        <f t="shared" ca="1" si="5"/>
        <v>0</v>
      </c>
      <c r="X28" s="40">
        <f t="shared" ca="1" si="5"/>
        <v>0</v>
      </c>
      <c r="Y28" s="40">
        <f t="shared" ca="1" si="5"/>
        <v>90.531191353870781</v>
      </c>
      <c r="Z28" s="40">
        <f t="shared" ca="1" si="5"/>
        <v>1.4466263019182843</v>
      </c>
      <c r="AA28" s="40">
        <f t="shared" ca="1" si="5"/>
        <v>436.55810190781278</v>
      </c>
      <c r="AB28" s="40">
        <f ca="1">SUM(AB24:AB27)</f>
        <v>84.332267383391411</v>
      </c>
      <c r="AC28" s="40">
        <f ca="1">SUM(AC24:AC27)</f>
        <v>340.5311325607687</v>
      </c>
      <c r="AD28" s="48"/>
    </row>
    <row r="29" spans="1:30" x14ac:dyDescent="0.25"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48"/>
    </row>
    <row r="31" spans="1:30" x14ac:dyDescent="0.25">
      <c r="A31" s="2">
        <f>A28+1</f>
        <v>13</v>
      </c>
      <c r="B31" s="31" t="s">
        <v>373</v>
      </c>
      <c r="D31" s="76">
        <f ca="1">'Rate Zone Allocation - Gas Cost'!R31</f>
        <v>0</v>
      </c>
      <c r="F31" s="76"/>
      <c r="J31" s="76">
        <f ca="1">D31-F31</f>
        <v>0</v>
      </c>
      <c r="L31" s="2" t="s">
        <v>455</v>
      </c>
      <c r="N31" s="76">
        <f ca="1">IF($J31&lt;&gt;0,VLOOKUP($L31,'Allocation Factors - S'!$B$13:$U$214,5,FALSE)*$J31,0)+IF($F31&lt;&gt;0,VLOOKUP($H31,'Allocation Factors - S'!$B$13:$U$214,5,FALSE)*$F31,0)</f>
        <v>0</v>
      </c>
      <c r="O31" s="76">
        <f ca="1">IF($J31&lt;&gt;0,VLOOKUP($L31,'Allocation Factors - S'!$B$13:$U$214,6,FALSE)*$J31,0)+IF($F31&lt;&gt;0,VLOOKUP($H31,'Allocation Factors - S'!$B$13:$U$214,6,FALSE)*$F31,0)</f>
        <v>0</v>
      </c>
      <c r="P31" s="76">
        <f ca="1">IF($J31&lt;&gt;0,VLOOKUP($L31,'Allocation Factors - S'!$B$13:$U$214,7,FALSE)*$J31,0)+IF($F31&lt;&gt;0,VLOOKUP($H31,'Allocation Factors - S'!$B$13:$U$214,7,FALSE)*$F31,0)</f>
        <v>0</v>
      </c>
      <c r="Q31" s="76"/>
      <c r="R31" s="76"/>
      <c r="S31" s="76">
        <f ca="1">IF($J31&lt;&gt;0,VLOOKUP($L31,'Allocation Factors - S'!$B$13:$U$214,10,FALSE)*$J31,0)+IF($F31&lt;&gt;0,VLOOKUP($H31,'Allocation Factors - S'!$B$13:$U$214,10,FALSE)*$F31,0)</f>
        <v>0</v>
      </c>
      <c r="T31" s="76">
        <f ca="1">IF($J31&lt;&gt;0,VLOOKUP($L31,'Allocation Factors - S'!$B$13:$U$214,11,FALSE)*$J31,0)+IF($F31&lt;&gt;0,VLOOKUP($H31,'Allocation Factors - S'!$B$13:$U$214,11,FALSE)*$F31,0)</f>
        <v>0</v>
      </c>
      <c r="U31" s="76">
        <f ca="1">IF($J31&lt;&gt;0,VLOOKUP($L31,'Allocation Factors - S'!$B$13:$U$214,12,FALSE)*$J31,0)+IF($F31&lt;&gt;0,VLOOKUP($H31,'Allocation Factors - S'!$B$13:$U$214,12,FALSE)*$F31,0)</f>
        <v>0</v>
      </c>
      <c r="V31" s="76">
        <f ca="1">IF($J31&lt;&gt;0,VLOOKUP($L31,'Allocation Factors - S'!$B$13:$U$214,13,FALSE)*$J31,0)+IF($F31&lt;&gt;0,VLOOKUP($H31,'Allocation Factors - S'!$B$13:$U$214,13,FALSE)*$F31,0)</f>
        <v>0</v>
      </c>
      <c r="W31" s="76">
        <f ca="1">IF($J31&lt;&gt;0,VLOOKUP($L31,'Allocation Factors - S'!$B$13:$U$214,14,FALSE)*$J31,0)+IF($F31&lt;&gt;0,VLOOKUP($H31,'Allocation Factors - S'!$B$13:$U$214,14,FALSE)*$F31,0)</f>
        <v>0</v>
      </c>
      <c r="X31" s="76">
        <f ca="1">IF($J31&lt;&gt;0,VLOOKUP($L31,'Allocation Factors - S'!$B$13:$U$214,15,FALSE)*$J31,0)+IF($F31&lt;&gt;0,VLOOKUP($H31,'Allocation Factors - S'!$B$13:$U$214,15,FALSE)*$F31,0)</f>
        <v>0</v>
      </c>
      <c r="Y31" s="76">
        <f ca="1">IF($J31&lt;&gt;0,VLOOKUP($L31,'Allocation Factors - S'!$B$13:$U$214,16,FALSE)*$J31,0)+IF($F31&lt;&gt;0,VLOOKUP($H31,'Allocation Factors - S'!$B$13:$U$214,16,FALSE)*$F31,0)</f>
        <v>0</v>
      </c>
      <c r="Z31" s="76">
        <f ca="1">IF($J31&lt;&gt;0,VLOOKUP($L31,'Allocation Factors - S'!$B$13:$U$214,17,FALSE)*$J31,0)+IF($F31&lt;&gt;0,VLOOKUP($H31,'Allocation Factors - S'!$B$13:$U$214,17,FALSE)*$F31,0)</f>
        <v>0</v>
      </c>
      <c r="AA31" s="76">
        <f ca="1">IF($J31&lt;&gt;0,VLOOKUP($L31,'Allocation Factors - S'!$B$13:$U$214,18,FALSE)*$J31,0)+IF($F31&lt;&gt;0,VLOOKUP($H31,'Allocation Factors - S'!$B$13:$U$214,18,FALSE)*$F31,0)</f>
        <v>0</v>
      </c>
      <c r="AB31" s="76">
        <f ca="1">IF($J31&lt;&gt;0,VLOOKUP($L31,'Allocation Factors - S'!$B$13:$U$214,19,FALSE)*$J31,0)+IF($F31&lt;&gt;0,VLOOKUP($H31,'Allocation Factors - S'!$B$13:$U$214,19,FALSE)*$F31,0)</f>
        <v>0</v>
      </c>
      <c r="AC31" s="76">
        <f ca="1">IF($J31&lt;&gt;0,VLOOKUP($L31,'Allocation Factors - S'!$B$13:$U$214,20,FALSE)*$J31,0)+IF($F31&lt;&gt;0,VLOOKUP($H31,'Allocation Factors - S'!$B$13:$U$214,20,FALSE)*$F31,0)</f>
        <v>0</v>
      </c>
      <c r="AD31" s="48"/>
    </row>
    <row r="32" spans="1:30" x14ac:dyDescent="0.25">
      <c r="A32" s="2">
        <f>A31+1</f>
        <v>14</v>
      </c>
      <c r="B32" s="31" t="s">
        <v>375</v>
      </c>
      <c r="D32" s="76">
        <f ca="1">'Rate Zone Allocation - Gas Cost'!R32</f>
        <v>0</v>
      </c>
      <c r="F32" s="76"/>
      <c r="J32" s="76">
        <f t="shared" ref="J32:J38" ca="1" si="6">D32-F32</f>
        <v>0</v>
      </c>
      <c r="L32" s="2" t="s">
        <v>456</v>
      </c>
      <c r="N32" s="76">
        <f ca="1">IF($J32&lt;&gt;0,VLOOKUP($L32,'Allocation Factors - S'!$B$13:$U$214,5,FALSE)*$J32,0)+IF($F32&lt;&gt;0,VLOOKUP($H32,'Allocation Factors - S'!$B$13:$U$214,5,FALSE)*$F32,0)</f>
        <v>0</v>
      </c>
      <c r="O32" s="76">
        <f ca="1">IF($J32&lt;&gt;0,VLOOKUP($L32,'Allocation Factors - S'!$B$13:$U$214,6,FALSE)*$J32,0)+IF($F32&lt;&gt;0,VLOOKUP($H32,'Allocation Factors - S'!$B$13:$U$214,6,FALSE)*$F32,0)</f>
        <v>0</v>
      </c>
      <c r="P32" s="76">
        <f ca="1">IF($J32&lt;&gt;0,VLOOKUP($L32,'Allocation Factors - S'!$B$13:$U$214,7,FALSE)*$J32,0)+IF($F32&lt;&gt;0,VLOOKUP($H32,'Allocation Factors - S'!$B$13:$U$214,7,FALSE)*$F32,0)</f>
        <v>0</v>
      </c>
      <c r="Q32" s="76"/>
      <c r="R32" s="76"/>
      <c r="S32" s="76">
        <f ca="1">IF($J32&lt;&gt;0,VLOOKUP($L32,'Allocation Factors - S'!$B$13:$U$214,10,FALSE)*$J32,0)+IF($F32&lt;&gt;0,VLOOKUP($H32,'Allocation Factors - S'!$B$13:$U$214,10,FALSE)*$F32,0)</f>
        <v>0</v>
      </c>
      <c r="T32" s="76">
        <f ca="1">IF($J32&lt;&gt;0,VLOOKUP($L32,'Allocation Factors - S'!$B$13:$U$214,11,FALSE)*$J32,0)+IF($F32&lt;&gt;0,VLOOKUP($H32,'Allocation Factors - S'!$B$13:$U$214,11,FALSE)*$F32,0)</f>
        <v>0</v>
      </c>
      <c r="U32" s="76">
        <f ca="1">IF($J32&lt;&gt;0,VLOOKUP($L32,'Allocation Factors - S'!$B$13:$U$214,12,FALSE)*$J32,0)+IF($F32&lt;&gt;0,VLOOKUP($H32,'Allocation Factors - S'!$B$13:$U$214,12,FALSE)*$F32,0)</f>
        <v>0</v>
      </c>
      <c r="V32" s="76">
        <f ca="1">IF($J32&lt;&gt;0,VLOOKUP($L32,'Allocation Factors - S'!$B$13:$U$214,13,FALSE)*$J32,0)+IF($F32&lt;&gt;0,VLOOKUP($H32,'Allocation Factors - S'!$B$13:$U$214,13,FALSE)*$F32,0)</f>
        <v>0</v>
      </c>
      <c r="W32" s="76">
        <f ca="1">IF($J32&lt;&gt;0,VLOOKUP($L32,'Allocation Factors - S'!$B$13:$U$214,14,FALSE)*$J32,0)+IF($F32&lt;&gt;0,VLOOKUP($H32,'Allocation Factors - S'!$B$13:$U$214,14,FALSE)*$F32,0)</f>
        <v>0</v>
      </c>
      <c r="X32" s="76">
        <f ca="1">IF($J32&lt;&gt;0,VLOOKUP($L32,'Allocation Factors - S'!$B$13:$U$214,15,FALSE)*$J32,0)+IF($F32&lt;&gt;0,VLOOKUP($H32,'Allocation Factors - S'!$B$13:$U$214,15,FALSE)*$F32,0)</f>
        <v>0</v>
      </c>
      <c r="Y32" s="76">
        <f ca="1">IF($J32&lt;&gt;0,VLOOKUP($L32,'Allocation Factors - S'!$B$13:$U$214,16,FALSE)*$J32,0)+IF($F32&lt;&gt;0,VLOOKUP($H32,'Allocation Factors - S'!$B$13:$U$214,16,FALSE)*$F32,0)</f>
        <v>0</v>
      </c>
      <c r="Z32" s="76">
        <f ca="1">IF($J32&lt;&gt;0,VLOOKUP($L32,'Allocation Factors - S'!$B$13:$U$214,17,FALSE)*$J32,0)+IF($F32&lt;&gt;0,VLOOKUP($H32,'Allocation Factors - S'!$B$13:$U$214,17,FALSE)*$F32,0)</f>
        <v>0</v>
      </c>
      <c r="AA32" s="76">
        <f ca="1">IF($J32&lt;&gt;0,VLOOKUP($L32,'Allocation Factors - S'!$B$13:$U$214,18,FALSE)*$J32,0)+IF($F32&lt;&gt;0,VLOOKUP($H32,'Allocation Factors - S'!$B$13:$U$214,18,FALSE)*$F32,0)</f>
        <v>0</v>
      </c>
      <c r="AB32" s="76">
        <f ca="1">IF($J32&lt;&gt;0,VLOOKUP($L32,'Allocation Factors - S'!$B$13:$U$214,19,FALSE)*$J32,0)+IF($F32&lt;&gt;0,VLOOKUP($H32,'Allocation Factors - S'!$B$13:$U$214,19,FALSE)*$F32,0)</f>
        <v>0</v>
      </c>
      <c r="AC32" s="76">
        <f ca="1">IF($J32&lt;&gt;0,VLOOKUP($L32,'Allocation Factors - S'!$B$13:$U$214,20,FALSE)*$J32,0)+IF($F32&lt;&gt;0,VLOOKUP($H32,'Allocation Factors - S'!$B$13:$U$214,20,FALSE)*$F32,0)</f>
        <v>0</v>
      </c>
      <c r="AD32" s="48"/>
    </row>
    <row r="33" spans="1:30" x14ac:dyDescent="0.25">
      <c r="A33" s="2">
        <f t="shared" ref="A33:A39" si="7">A32+1</f>
        <v>15</v>
      </c>
      <c r="B33" s="31" t="s">
        <v>377</v>
      </c>
      <c r="D33" s="76">
        <f ca="1">'Rate Zone Allocation - Gas Cost'!R33</f>
        <v>0</v>
      </c>
      <c r="F33" s="76"/>
      <c r="J33" s="76">
        <f t="shared" ca="1" si="6"/>
        <v>0</v>
      </c>
      <c r="L33" s="2" t="s">
        <v>457</v>
      </c>
      <c r="N33" s="76">
        <f ca="1">IF($J33&lt;&gt;0,VLOOKUP($L33,'Allocation Factors - S'!$B$13:$U$214,5,FALSE)*$J33,0)+IF($F33&lt;&gt;0,VLOOKUP($H33,'Allocation Factors - S'!$B$13:$U$214,5,FALSE)*$F33,0)</f>
        <v>0</v>
      </c>
      <c r="O33" s="76">
        <f ca="1">IF($J33&lt;&gt;0,VLOOKUP($L33,'Allocation Factors - S'!$B$13:$U$214,6,FALSE)*$J33,0)+IF($F33&lt;&gt;0,VLOOKUP($H33,'Allocation Factors - S'!$B$13:$U$214,6,FALSE)*$F33,0)</f>
        <v>0</v>
      </c>
      <c r="P33" s="76">
        <f ca="1">IF($J33&lt;&gt;0,VLOOKUP($L33,'Allocation Factors - S'!$B$13:$U$214,7,FALSE)*$J33,0)+IF($F33&lt;&gt;0,VLOOKUP($H33,'Allocation Factors - S'!$B$13:$U$214,7,FALSE)*$F33,0)</f>
        <v>0</v>
      </c>
      <c r="Q33" s="76"/>
      <c r="R33" s="76"/>
      <c r="S33" s="76">
        <f ca="1">IF($J33&lt;&gt;0,VLOOKUP($L33,'Allocation Factors - S'!$B$13:$U$214,10,FALSE)*$J33,0)+IF($F33&lt;&gt;0,VLOOKUP($H33,'Allocation Factors - S'!$B$13:$U$214,10,FALSE)*$F33,0)</f>
        <v>0</v>
      </c>
      <c r="T33" s="76">
        <f ca="1">IF($J33&lt;&gt;0,VLOOKUP($L33,'Allocation Factors - S'!$B$13:$U$214,11,FALSE)*$J33,0)+IF($F33&lt;&gt;0,VLOOKUP($H33,'Allocation Factors - S'!$B$13:$U$214,11,FALSE)*$F33,0)</f>
        <v>0</v>
      </c>
      <c r="U33" s="76">
        <f ca="1">IF($J33&lt;&gt;0,VLOOKUP($L33,'Allocation Factors - S'!$B$13:$U$214,12,FALSE)*$J33,0)+IF($F33&lt;&gt;0,VLOOKUP($H33,'Allocation Factors - S'!$B$13:$U$214,12,FALSE)*$F33,0)</f>
        <v>0</v>
      </c>
      <c r="V33" s="76">
        <f ca="1">IF($J33&lt;&gt;0,VLOOKUP($L33,'Allocation Factors - S'!$B$13:$U$214,13,FALSE)*$J33,0)+IF($F33&lt;&gt;0,VLOOKUP($H33,'Allocation Factors - S'!$B$13:$U$214,13,FALSE)*$F33,0)</f>
        <v>0</v>
      </c>
      <c r="W33" s="76">
        <f ca="1">IF($J33&lt;&gt;0,VLOOKUP($L33,'Allocation Factors - S'!$B$13:$U$214,14,FALSE)*$J33,0)+IF($F33&lt;&gt;0,VLOOKUP($H33,'Allocation Factors - S'!$B$13:$U$214,14,FALSE)*$F33,0)</f>
        <v>0</v>
      </c>
      <c r="X33" s="76">
        <f ca="1">IF($J33&lt;&gt;0,VLOOKUP($L33,'Allocation Factors - S'!$B$13:$U$214,15,FALSE)*$J33,0)+IF($F33&lt;&gt;0,VLOOKUP($H33,'Allocation Factors - S'!$B$13:$U$214,15,FALSE)*$F33,0)</f>
        <v>0</v>
      </c>
      <c r="Y33" s="76">
        <f ca="1">IF($J33&lt;&gt;0,VLOOKUP($L33,'Allocation Factors - S'!$B$13:$U$214,16,FALSE)*$J33,0)+IF($F33&lt;&gt;0,VLOOKUP($H33,'Allocation Factors - S'!$B$13:$U$214,16,FALSE)*$F33,0)</f>
        <v>0</v>
      </c>
      <c r="Z33" s="76">
        <f ca="1">IF($J33&lt;&gt;0,VLOOKUP($L33,'Allocation Factors - S'!$B$13:$U$214,17,FALSE)*$J33,0)+IF($F33&lt;&gt;0,VLOOKUP($H33,'Allocation Factors - S'!$B$13:$U$214,17,FALSE)*$F33,0)</f>
        <v>0</v>
      </c>
      <c r="AA33" s="76">
        <f ca="1">IF($J33&lt;&gt;0,VLOOKUP($L33,'Allocation Factors - S'!$B$13:$U$214,18,FALSE)*$J33,0)+IF($F33&lt;&gt;0,VLOOKUP($H33,'Allocation Factors - S'!$B$13:$U$214,18,FALSE)*$F33,0)</f>
        <v>0</v>
      </c>
      <c r="AB33" s="76">
        <f ca="1">IF($J33&lt;&gt;0,VLOOKUP($L33,'Allocation Factors - S'!$B$13:$U$214,19,FALSE)*$J33,0)+IF($F33&lt;&gt;0,VLOOKUP($H33,'Allocation Factors - S'!$B$13:$U$214,19,FALSE)*$F33,0)</f>
        <v>0</v>
      </c>
      <c r="AC33" s="76">
        <f ca="1">IF($J33&lt;&gt;0,VLOOKUP($L33,'Allocation Factors - S'!$B$13:$U$214,20,FALSE)*$J33,0)+IF($F33&lt;&gt;0,VLOOKUP($H33,'Allocation Factors - S'!$B$13:$U$214,20,FALSE)*$F33,0)</f>
        <v>0</v>
      </c>
      <c r="AD33" s="48"/>
    </row>
    <row r="34" spans="1:30" x14ac:dyDescent="0.25">
      <c r="A34" s="2">
        <f t="shared" si="7"/>
        <v>16</v>
      </c>
      <c r="B34" s="31" t="s">
        <v>379</v>
      </c>
      <c r="D34" s="76">
        <f ca="1">'Rate Zone Allocation - Gas Cost'!R34</f>
        <v>0</v>
      </c>
      <c r="F34" s="76"/>
      <c r="J34" s="76">
        <f t="shared" ca="1" si="6"/>
        <v>0</v>
      </c>
      <c r="L34" s="2" t="s">
        <v>458</v>
      </c>
      <c r="N34" s="76">
        <f ca="1">IF($J34&lt;&gt;0,VLOOKUP($L34,'Allocation Factors - S'!$B$13:$U$214,5,FALSE)*$J34,0)+IF($F34&lt;&gt;0,VLOOKUP($H34,'Allocation Factors - S'!$B$13:$U$214,5,FALSE)*$F34,0)</f>
        <v>0</v>
      </c>
      <c r="O34" s="76">
        <f ca="1">IF($J34&lt;&gt;0,VLOOKUP($L34,'Allocation Factors - S'!$B$13:$U$214,6,FALSE)*$J34,0)+IF($F34&lt;&gt;0,VLOOKUP($H34,'Allocation Factors - S'!$B$13:$U$214,6,FALSE)*$F34,0)</f>
        <v>0</v>
      </c>
      <c r="P34" s="76">
        <f ca="1">IF($J34&lt;&gt;0,VLOOKUP($L34,'Allocation Factors - S'!$B$13:$U$214,7,FALSE)*$J34,0)+IF($F34&lt;&gt;0,VLOOKUP($H34,'Allocation Factors - S'!$B$13:$U$214,7,FALSE)*$F34,0)</f>
        <v>0</v>
      </c>
      <c r="Q34" s="76"/>
      <c r="R34" s="76"/>
      <c r="S34" s="76">
        <f ca="1">IF($J34&lt;&gt;0,VLOOKUP($L34,'Allocation Factors - S'!$B$13:$U$214,10,FALSE)*$J34,0)+IF($F34&lt;&gt;0,VLOOKUP($H34,'Allocation Factors - S'!$B$13:$U$214,10,FALSE)*$F34,0)</f>
        <v>0</v>
      </c>
      <c r="T34" s="76">
        <f ca="1">IF($J34&lt;&gt;0,VLOOKUP($L34,'Allocation Factors - S'!$B$13:$U$214,11,FALSE)*$J34,0)+IF($F34&lt;&gt;0,VLOOKUP($H34,'Allocation Factors - S'!$B$13:$U$214,11,FALSE)*$F34,0)</f>
        <v>0</v>
      </c>
      <c r="U34" s="76">
        <f ca="1">IF($J34&lt;&gt;0,VLOOKUP($L34,'Allocation Factors - S'!$B$13:$U$214,12,FALSE)*$J34,0)+IF($F34&lt;&gt;0,VLOOKUP($H34,'Allocation Factors - S'!$B$13:$U$214,12,FALSE)*$F34,0)</f>
        <v>0</v>
      </c>
      <c r="V34" s="76">
        <f ca="1">IF($J34&lt;&gt;0,VLOOKUP($L34,'Allocation Factors - S'!$B$13:$U$214,13,FALSE)*$J34,0)+IF($F34&lt;&gt;0,VLOOKUP($H34,'Allocation Factors - S'!$B$13:$U$214,13,FALSE)*$F34,0)</f>
        <v>0</v>
      </c>
      <c r="W34" s="76">
        <f ca="1">IF($J34&lt;&gt;0,VLOOKUP($L34,'Allocation Factors - S'!$B$13:$U$214,14,FALSE)*$J34,0)+IF($F34&lt;&gt;0,VLOOKUP($H34,'Allocation Factors - S'!$B$13:$U$214,14,FALSE)*$F34,0)</f>
        <v>0</v>
      </c>
      <c r="X34" s="76">
        <f ca="1">IF($J34&lt;&gt;0,VLOOKUP($L34,'Allocation Factors - S'!$B$13:$U$214,15,FALSE)*$J34,0)+IF($F34&lt;&gt;0,VLOOKUP($H34,'Allocation Factors - S'!$B$13:$U$214,15,FALSE)*$F34,0)</f>
        <v>0</v>
      </c>
      <c r="Y34" s="76">
        <f ca="1">IF($J34&lt;&gt;0,VLOOKUP($L34,'Allocation Factors - S'!$B$13:$U$214,16,FALSE)*$J34,0)+IF($F34&lt;&gt;0,VLOOKUP($H34,'Allocation Factors - S'!$B$13:$U$214,16,FALSE)*$F34,0)</f>
        <v>0</v>
      </c>
      <c r="Z34" s="76">
        <f ca="1">IF($J34&lt;&gt;0,VLOOKUP($L34,'Allocation Factors - S'!$B$13:$U$214,17,FALSE)*$J34,0)+IF($F34&lt;&gt;0,VLOOKUP($H34,'Allocation Factors - S'!$B$13:$U$214,17,FALSE)*$F34,0)</f>
        <v>0</v>
      </c>
      <c r="AA34" s="76">
        <f ca="1">IF($J34&lt;&gt;0,VLOOKUP($L34,'Allocation Factors - S'!$B$13:$U$214,18,FALSE)*$J34,0)+IF($F34&lt;&gt;0,VLOOKUP($H34,'Allocation Factors - S'!$B$13:$U$214,18,FALSE)*$F34,0)</f>
        <v>0</v>
      </c>
      <c r="AB34" s="76">
        <f ca="1">IF($J34&lt;&gt;0,VLOOKUP($L34,'Allocation Factors - S'!$B$13:$U$214,19,FALSE)*$J34,0)+IF($F34&lt;&gt;0,VLOOKUP($H34,'Allocation Factors - S'!$B$13:$U$214,19,FALSE)*$F34,0)</f>
        <v>0</v>
      </c>
      <c r="AC34" s="76">
        <f ca="1">IF($J34&lt;&gt;0,VLOOKUP($L34,'Allocation Factors - S'!$B$13:$U$214,20,FALSE)*$J34,0)+IF($F34&lt;&gt;0,VLOOKUP($H34,'Allocation Factors - S'!$B$13:$U$214,20,FALSE)*$F34,0)</f>
        <v>0</v>
      </c>
      <c r="AD34" s="48"/>
    </row>
    <row r="35" spans="1:30" x14ac:dyDescent="0.25">
      <c r="A35" s="2">
        <f t="shared" si="7"/>
        <v>17</v>
      </c>
      <c r="B35" s="31" t="s">
        <v>381</v>
      </c>
      <c r="D35" s="76">
        <f ca="1">'Rate Zone Allocation - Gas Cost'!R35</f>
        <v>0</v>
      </c>
      <c r="F35" s="76"/>
      <c r="J35" s="76">
        <f t="shared" ca="1" si="6"/>
        <v>0</v>
      </c>
      <c r="L35" s="2" t="s">
        <v>459</v>
      </c>
      <c r="N35" s="76">
        <f ca="1">IF($J35&lt;&gt;0,VLOOKUP($L35,'Allocation Factors - S'!$B$13:$U$214,5,FALSE)*$J35,0)+IF($F35&lt;&gt;0,VLOOKUP($H35,'Allocation Factors - S'!$B$13:$U$214,5,FALSE)*$F35,0)</f>
        <v>0</v>
      </c>
      <c r="O35" s="76">
        <f ca="1">IF($J35&lt;&gt;0,VLOOKUP($L35,'Allocation Factors - S'!$B$13:$U$214,6,FALSE)*$J35,0)+IF($F35&lt;&gt;0,VLOOKUP($H35,'Allocation Factors - S'!$B$13:$U$214,6,FALSE)*$F35,0)</f>
        <v>0</v>
      </c>
      <c r="P35" s="76">
        <f ca="1">IF($J35&lt;&gt;0,VLOOKUP($L35,'Allocation Factors - S'!$B$13:$U$214,7,FALSE)*$J35,0)+IF($F35&lt;&gt;0,VLOOKUP($H35,'Allocation Factors - S'!$B$13:$U$214,7,FALSE)*$F35,0)</f>
        <v>0</v>
      </c>
      <c r="Q35" s="76"/>
      <c r="R35" s="76"/>
      <c r="S35" s="76">
        <f ca="1">IF($J35&lt;&gt;0,VLOOKUP($L35,'Allocation Factors - S'!$B$13:$U$214,10,FALSE)*$J35,0)+IF($F35&lt;&gt;0,VLOOKUP($H35,'Allocation Factors - S'!$B$13:$U$214,10,FALSE)*$F35,0)</f>
        <v>0</v>
      </c>
      <c r="T35" s="76">
        <f ca="1">IF($J35&lt;&gt;0,VLOOKUP($L35,'Allocation Factors - S'!$B$13:$U$214,11,FALSE)*$J35,0)+IF($F35&lt;&gt;0,VLOOKUP($H35,'Allocation Factors - S'!$B$13:$U$214,11,FALSE)*$F35,0)</f>
        <v>0</v>
      </c>
      <c r="U35" s="76">
        <f ca="1">IF($J35&lt;&gt;0,VLOOKUP($L35,'Allocation Factors - S'!$B$13:$U$214,12,FALSE)*$J35,0)+IF($F35&lt;&gt;0,VLOOKUP($H35,'Allocation Factors - S'!$B$13:$U$214,12,FALSE)*$F35,0)</f>
        <v>0</v>
      </c>
      <c r="V35" s="76">
        <f ca="1">IF($J35&lt;&gt;0,VLOOKUP($L35,'Allocation Factors - S'!$B$13:$U$214,13,FALSE)*$J35,0)+IF($F35&lt;&gt;0,VLOOKUP($H35,'Allocation Factors - S'!$B$13:$U$214,13,FALSE)*$F35,0)</f>
        <v>0</v>
      </c>
      <c r="W35" s="76">
        <f ca="1">IF($J35&lt;&gt;0,VLOOKUP($L35,'Allocation Factors - S'!$B$13:$U$214,14,FALSE)*$J35,0)+IF($F35&lt;&gt;0,VLOOKUP($H35,'Allocation Factors - S'!$B$13:$U$214,14,FALSE)*$F35,0)</f>
        <v>0</v>
      </c>
      <c r="X35" s="76">
        <f ca="1">IF($J35&lt;&gt;0,VLOOKUP($L35,'Allocation Factors - S'!$B$13:$U$214,15,FALSE)*$J35,0)+IF($F35&lt;&gt;0,VLOOKUP($H35,'Allocation Factors - S'!$B$13:$U$214,15,FALSE)*$F35,0)</f>
        <v>0</v>
      </c>
      <c r="Y35" s="76">
        <f ca="1">IF($J35&lt;&gt;0,VLOOKUP($L35,'Allocation Factors - S'!$B$13:$U$214,16,FALSE)*$J35,0)+IF($F35&lt;&gt;0,VLOOKUP($H35,'Allocation Factors - S'!$B$13:$U$214,16,FALSE)*$F35,0)</f>
        <v>0</v>
      </c>
      <c r="Z35" s="76">
        <f ca="1">IF($J35&lt;&gt;0,VLOOKUP($L35,'Allocation Factors - S'!$B$13:$U$214,17,FALSE)*$J35,0)+IF($F35&lt;&gt;0,VLOOKUP($H35,'Allocation Factors - S'!$B$13:$U$214,17,FALSE)*$F35,0)</f>
        <v>0</v>
      </c>
      <c r="AA35" s="76">
        <f ca="1">IF($J35&lt;&gt;0,VLOOKUP($L35,'Allocation Factors - S'!$B$13:$U$214,18,FALSE)*$J35,0)+IF($F35&lt;&gt;0,VLOOKUP($H35,'Allocation Factors - S'!$B$13:$U$214,18,FALSE)*$F35,0)</f>
        <v>0</v>
      </c>
      <c r="AB35" s="76">
        <f ca="1">IF($J35&lt;&gt;0,VLOOKUP($L35,'Allocation Factors - S'!$B$13:$U$214,19,FALSE)*$J35,0)+IF($F35&lt;&gt;0,VLOOKUP($H35,'Allocation Factors - S'!$B$13:$U$214,19,FALSE)*$F35,0)</f>
        <v>0</v>
      </c>
      <c r="AC35" s="76">
        <f ca="1">IF($J35&lt;&gt;0,VLOOKUP($L35,'Allocation Factors - S'!$B$13:$U$214,20,FALSE)*$J35,0)+IF($F35&lt;&gt;0,VLOOKUP($H35,'Allocation Factors - S'!$B$13:$U$214,20,FALSE)*$F35,0)</f>
        <v>0</v>
      </c>
      <c r="AD35" s="48"/>
    </row>
    <row r="36" spans="1:30" x14ac:dyDescent="0.25">
      <c r="A36" s="2">
        <f t="shared" si="7"/>
        <v>18</v>
      </c>
      <c r="B36" s="31" t="s">
        <v>383</v>
      </c>
      <c r="D36" s="76">
        <f ca="1">'Rate Zone Allocation - Gas Cost'!R36</f>
        <v>0</v>
      </c>
      <c r="F36" s="76"/>
      <c r="J36" s="76">
        <f t="shared" ca="1" si="6"/>
        <v>0</v>
      </c>
      <c r="L36" s="2" t="s">
        <v>460</v>
      </c>
      <c r="N36" s="76">
        <f ca="1">IF($J36&lt;&gt;0,VLOOKUP($L36,'Allocation Factors - S'!$B$13:$U$214,5,FALSE)*$J36,0)+IF($F36&lt;&gt;0,VLOOKUP($H36,'Allocation Factors - S'!$B$13:$U$214,5,FALSE)*$F36,0)</f>
        <v>0</v>
      </c>
      <c r="O36" s="76">
        <f ca="1">IF($J36&lt;&gt;0,VLOOKUP($L36,'Allocation Factors - S'!$B$13:$U$214,6,FALSE)*$J36,0)+IF($F36&lt;&gt;0,VLOOKUP($H36,'Allocation Factors - S'!$B$13:$U$214,6,FALSE)*$F36,0)</f>
        <v>0</v>
      </c>
      <c r="P36" s="76">
        <f ca="1">IF($J36&lt;&gt;0,VLOOKUP($L36,'Allocation Factors - S'!$B$13:$U$214,7,FALSE)*$J36,0)+IF($F36&lt;&gt;0,VLOOKUP($H36,'Allocation Factors - S'!$B$13:$U$214,7,FALSE)*$F36,0)</f>
        <v>0</v>
      </c>
      <c r="Q36" s="76"/>
      <c r="R36" s="76"/>
      <c r="S36" s="76">
        <f ca="1">IF($J36&lt;&gt;0,VLOOKUP($L36,'Allocation Factors - S'!$B$13:$U$214,10,FALSE)*$J36,0)+IF($F36&lt;&gt;0,VLOOKUP($H36,'Allocation Factors - S'!$B$13:$U$214,10,FALSE)*$F36,0)</f>
        <v>0</v>
      </c>
      <c r="T36" s="76">
        <f ca="1">IF($J36&lt;&gt;0,VLOOKUP($L36,'Allocation Factors - S'!$B$13:$U$214,11,FALSE)*$J36,0)+IF($F36&lt;&gt;0,VLOOKUP($H36,'Allocation Factors - S'!$B$13:$U$214,11,FALSE)*$F36,0)</f>
        <v>0</v>
      </c>
      <c r="U36" s="76">
        <f ca="1">IF($J36&lt;&gt;0,VLOOKUP($L36,'Allocation Factors - S'!$B$13:$U$214,12,FALSE)*$J36,0)+IF($F36&lt;&gt;0,VLOOKUP($H36,'Allocation Factors - S'!$B$13:$U$214,12,FALSE)*$F36,0)</f>
        <v>0</v>
      </c>
      <c r="V36" s="76">
        <f ca="1">IF($J36&lt;&gt;0,VLOOKUP($L36,'Allocation Factors - S'!$B$13:$U$214,13,FALSE)*$J36,0)+IF($F36&lt;&gt;0,VLOOKUP($H36,'Allocation Factors - S'!$B$13:$U$214,13,FALSE)*$F36,0)</f>
        <v>0</v>
      </c>
      <c r="W36" s="76">
        <f ca="1">IF($J36&lt;&gt;0,VLOOKUP($L36,'Allocation Factors - S'!$B$13:$U$214,14,FALSE)*$J36,0)+IF($F36&lt;&gt;0,VLOOKUP($H36,'Allocation Factors - S'!$B$13:$U$214,14,FALSE)*$F36,0)</f>
        <v>0</v>
      </c>
      <c r="X36" s="76">
        <f ca="1">IF($J36&lt;&gt;0,VLOOKUP($L36,'Allocation Factors - S'!$B$13:$U$214,15,FALSE)*$J36,0)+IF($F36&lt;&gt;0,VLOOKUP($H36,'Allocation Factors - S'!$B$13:$U$214,15,FALSE)*$F36,0)</f>
        <v>0</v>
      </c>
      <c r="Y36" s="76">
        <f ca="1">IF($J36&lt;&gt;0,VLOOKUP($L36,'Allocation Factors - S'!$B$13:$U$214,16,FALSE)*$J36,0)+IF($F36&lt;&gt;0,VLOOKUP($H36,'Allocation Factors - S'!$B$13:$U$214,16,FALSE)*$F36,0)</f>
        <v>0</v>
      </c>
      <c r="Z36" s="76">
        <f ca="1">IF($J36&lt;&gt;0,VLOOKUP($L36,'Allocation Factors - S'!$B$13:$U$214,17,FALSE)*$J36,0)+IF($F36&lt;&gt;0,VLOOKUP($H36,'Allocation Factors - S'!$B$13:$U$214,17,FALSE)*$F36,0)</f>
        <v>0</v>
      </c>
      <c r="AA36" s="76">
        <f ca="1">IF($J36&lt;&gt;0,VLOOKUP($L36,'Allocation Factors - S'!$B$13:$U$214,18,FALSE)*$J36,0)+IF($F36&lt;&gt;0,VLOOKUP($H36,'Allocation Factors - S'!$B$13:$U$214,18,FALSE)*$F36,0)</f>
        <v>0</v>
      </c>
      <c r="AB36" s="76">
        <f ca="1">IF($J36&lt;&gt;0,VLOOKUP($L36,'Allocation Factors - S'!$B$13:$U$214,19,FALSE)*$J36,0)+IF($F36&lt;&gt;0,VLOOKUP($H36,'Allocation Factors - S'!$B$13:$U$214,19,FALSE)*$F36,0)</f>
        <v>0</v>
      </c>
      <c r="AC36" s="76">
        <f ca="1">IF($J36&lt;&gt;0,VLOOKUP($L36,'Allocation Factors - S'!$B$13:$U$214,20,FALSE)*$J36,0)+IF($F36&lt;&gt;0,VLOOKUP($H36,'Allocation Factors - S'!$B$13:$U$214,20,FALSE)*$F36,0)</f>
        <v>0</v>
      </c>
      <c r="AD36" s="48"/>
    </row>
    <row r="37" spans="1:30" x14ac:dyDescent="0.25">
      <c r="A37" s="2">
        <f t="shared" si="7"/>
        <v>19</v>
      </c>
      <c r="B37" s="31" t="s">
        <v>385</v>
      </c>
      <c r="D37" s="76">
        <f ca="1">'Rate Zone Allocation - Gas Cost'!R37</f>
        <v>1294.5219427863499</v>
      </c>
      <c r="F37" s="76"/>
      <c r="J37" s="76">
        <f t="shared" ca="1" si="6"/>
        <v>1294.5219427863499</v>
      </c>
      <c r="L37" s="2" t="s">
        <v>461</v>
      </c>
      <c r="N37" s="76">
        <f ca="1">IF($J37&lt;&gt;0,VLOOKUP($L37,'Allocation Factors - S'!$B$13:$U$214,5,FALSE)*$J37,0)+IF($F37&lt;&gt;0,VLOOKUP($H37,'Allocation Factors - S'!$B$13:$U$214,5,FALSE)*$F37,0)</f>
        <v>241.76338879238926</v>
      </c>
      <c r="O37" s="76">
        <f ca="1">IF($J37&lt;&gt;0,VLOOKUP($L37,'Allocation Factors - S'!$B$13:$U$214,6,FALSE)*$J37,0)+IF($F37&lt;&gt;0,VLOOKUP($H37,'Allocation Factors - S'!$B$13:$U$214,6,FALSE)*$F37,0)</f>
        <v>95.343461645806897</v>
      </c>
      <c r="P37" s="76">
        <f ca="1">IF($J37&lt;&gt;0,VLOOKUP($L37,'Allocation Factors - S'!$B$13:$U$214,7,FALSE)*$J37,0)+IF($F37&lt;&gt;0,VLOOKUP($H37,'Allocation Factors - S'!$B$13:$U$214,7,FALSE)*$F37,0)</f>
        <v>229.38979815415507</v>
      </c>
      <c r="Q37" s="76"/>
      <c r="R37" s="76"/>
      <c r="S37" s="76">
        <f ca="1">IF($J37&lt;&gt;0,VLOOKUP($L37,'Allocation Factors - S'!$B$13:$U$214,10,FALSE)*$J37,0)+IF($F37&lt;&gt;0,VLOOKUP($H37,'Allocation Factors - S'!$B$13:$U$214,10,FALSE)*$F37,0)</f>
        <v>489.28636208532748</v>
      </c>
      <c r="T37" s="76">
        <f ca="1">IF($J37&lt;&gt;0,VLOOKUP($L37,'Allocation Factors - S'!$B$13:$U$214,11,FALSE)*$J37,0)+IF($F37&lt;&gt;0,VLOOKUP($H37,'Allocation Factors - S'!$B$13:$U$214,11,FALSE)*$F37,0)</f>
        <v>0</v>
      </c>
      <c r="U37" s="76">
        <f ca="1">IF($J37&lt;&gt;0,VLOOKUP($L37,'Allocation Factors - S'!$B$13:$U$214,12,FALSE)*$J37,0)+IF($F37&lt;&gt;0,VLOOKUP($H37,'Allocation Factors - S'!$B$13:$U$214,12,FALSE)*$F37,0)</f>
        <v>0</v>
      </c>
      <c r="V37" s="76">
        <f ca="1">IF($J37&lt;&gt;0,VLOOKUP($L37,'Allocation Factors - S'!$B$13:$U$214,13,FALSE)*$J37,0)+IF($F37&lt;&gt;0,VLOOKUP($H37,'Allocation Factors - S'!$B$13:$U$214,13,FALSE)*$F37,0)</f>
        <v>0</v>
      </c>
      <c r="W37" s="76">
        <f ca="1">IF($J37&lt;&gt;0,VLOOKUP($L37,'Allocation Factors - S'!$B$13:$U$214,14,FALSE)*$J37,0)+IF($F37&lt;&gt;0,VLOOKUP($H37,'Allocation Factors - S'!$B$13:$U$214,14,FALSE)*$F37,0)</f>
        <v>238.71303245559525</v>
      </c>
      <c r="X37" s="76">
        <f ca="1">IF($J37&lt;&gt;0,VLOOKUP($L37,'Allocation Factors - S'!$B$13:$U$214,15,FALSE)*$J37,0)+IF($F37&lt;&gt;0,VLOOKUP($H37,'Allocation Factors - S'!$B$13:$U$214,15,FALSE)*$F37,0)</f>
        <v>0</v>
      </c>
      <c r="Y37" s="76">
        <f ca="1">IF($J37&lt;&gt;0,VLOOKUP($L37,'Allocation Factors - S'!$B$13:$U$214,16,FALSE)*$J37,0)+IF($F37&lt;&gt;0,VLOOKUP($H37,'Allocation Factors - S'!$B$13:$U$214,16,FALSE)*$F37,0)</f>
        <v>2.5899653075955147E-2</v>
      </c>
      <c r="Z37" s="76">
        <f ca="1">IF($J37&lt;&gt;0,VLOOKUP($L37,'Allocation Factors - S'!$B$13:$U$214,17,FALSE)*$J37,0)+IF($F37&lt;&gt;0,VLOOKUP($H37,'Allocation Factors - S'!$B$13:$U$214,17,FALSE)*$F37,0)</f>
        <v>0</v>
      </c>
      <c r="AA37" s="76">
        <f ca="1">IF($J37&lt;&gt;0,VLOOKUP($L37,'Allocation Factors - S'!$B$13:$U$214,18,FALSE)*$J37,0)+IF($F37&lt;&gt;0,VLOOKUP($H37,'Allocation Factors - S'!$B$13:$U$214,18,FALSE)*$F37,0)</f>
        <v>0</v>
      </c>
      <c r="AB37" s="76">
        <f ca="1">IF($J37&lt;&gt;0,VLOOKUP($L37,'Allocation Factors - S'!$B$13:$U$214,19,FALSE)*$J37,0)+IF($F37&lt;&gt;0,VLOOKUP($H37,'Allocation Factors - S'!$B$13:$U$214,19,FALSE)*$F37,0)</f>
        <v>0</v>
      </c>
      <c r="AC37" s="76">
        <f ca="1">IF($J37&lt;&gt;0,VLOOKUP($L37,'Allocation Factors - S'!$B$13:$U$214,20,FALSE)*$J37,0)+IF($F37&lt;&gt;0,VLOOKUP($H37,'Allocation Factors - S'!$B$13:$U$214,20,FALSE)*$F37,0)</f>
        <v>0</v>
      </c>
      <c r="AD37" s="48"/>
    </row>
    <row r="38" spans="1:30" x14ac:dyDescent="0.25">
      <c r="A38" s="2">
        <f t="shared" si="7"/>
        <v>20</v>
      </c>
      <c r="B38" s="31" t="s">
        <v>386</v>
      </c>
      <c r="D38" s="76">
        <f ca="1">'Rate Zone Allocation - Gas Cost'!R38</f>
        <v>4680.2587595675122</v>
      </c>
      <c r="F38" s="76">
        <f>'Total Allocation - S'!F38</f>
        <v>4472.5161039693839</v>
      </c>
      <c r="H38" s="2" t="s">
        <v>462</v>
      </c>
      <c r="J38" s="76">
        <f t="shared" ca="1" si="6"/>
        <v>207.74265559812829</v>
      </c>
      <c r="L38" s="2" t="s">
        <v>463</v>
      </c>
      <c r="N38" s="76">
        <f ca="1">IF($J38&lt;&gt;0,VLOOKUP($L38,'Allocation Factors - S'!$B$13:$U$214,5,FALSE)*$J38,0)+IF($F38&lt;&gt;0,VLOOKUP($H38,'Allocation Factors - S'!$B$13:$U$214,5,FALSE)*$F38,0)</f>
        <v>1284.3835424105955</v>
      </c>
      <c r="O38" s="76">
        <f ca="1">IF($J38&lt;&gt;0,VLOOKUP($L38,'Allocation Factors - S'!$B$13:$U$214,6,FALSE)*$J38,0)+IF($F38&lt;&gt;0,VLOOKUP($H38,'Allocation Factors - S'!$B$13:$U$214,6,FALSE)*$F38,0)</f>
        <v>532.69617373201288</v>
      </c>
      <c r="P38" s="76">
        <f ca="1">IF($J38&lt;&gt;0,VLOOKUP($L38,'Allocation Factors - S'!$B$13:$U$214,7,FALSE)*$J38,0)+IF($F38&lt;&gt;0,VLOOKUP($H38,'Allocation Factors - S'!$B$13:$U$214,7,FALSE)*$F38,0)</f>
        <v>520.17690471499122</v>
      </c>
      <c r="Q38" s="76"/>
      <c r="R38" s="76"/>
      <c r="S38" s="76">
        <f ca="1">IF($J38&lt;&gt;0,VLOOKUP($L38,'Allocation Factors - S'!$B$13:$U$214,10,FALSE)*$J38,0)+IF($F38&lt;&gt;0,VLOOKUP($H38,'Allocation Factors - S'!$B$13:$U$214,10,FALSE)*$F38,0)</f>
        <v>1558.7647582800062</v>
      </c>
      <c r="T38" s="76">
        <f ca="1">IF($J38&lt;&gt;0,VLOOKUP($L38,'Allocation Factors - S'!$B$13:$U$214,11,FALSE)*$J38,0)+IF($F38&lt;&gt;0,VLOOKUP($H38,'Allocation Factors - S'!$B$13:$U$214,11,FALSE)*$F38,0)</f>
        <v>31.449374457231599</v>
      </c>
      <c r="U38" s="76">
        <f ca="1">IF($J38&lt;&gt;0,VLOOKUP($L38,'Allocation Factors - S'!$B$13:$U$214,12,FALSE)*$J38,0)+IF($F38&lt;&gt;0,VLOOKUP($H38,'Allocation Factors - S'!$B$13:$U$214,12,FALSE)*$F38,0)</f>
        <v>0</v>
      </c>
      <c r="V38" s="76">
        <f ca="1">IF($J38&lt;&gt;0,VLOOKUP($L38,'Allocation Factors - S'!$B$13:$U$214,13,FALSE)*$J38,0)+IF($F38&lt;&gt;0,VLOOKUP($H38,'Allocation Factors - S'!$B$13:$U$214,13,FALSE)*$F38,0)</f>
        <v>0</v>
      </c>
      <c r="W38" s="76">
        <f ca="1">IF($J38&lt;&gt;0,VLOOKUP($L38,'Allocation Factors - S'!$B$13:$U$214,14,FALSE)*$J38,0)+IF($F38&lt;&gt;0,VLOOKUP($H38,'Allocation Factors - S'!$B$13:$U$214,14,FALSE)*$F38,0)</f>
        <v>566.06637608866606</v>
      </c>
      <c r="X38" s="76">
        <f ca="1">IF($J38&lt;&gt;0,VLOOKUP($L38,'Allocation Factors - S'!$B$13:$U$214,15,FALSE)*$J38,0)+IF($F38&lt;&gt;0,VLOOKUP($H38,'Allocation Factors - S'!$B$13:$U$214,15,FALSE)*$F38,0)</f>
        <v>0</v>
      </c>
      <c r="Y38" s="76">
        <f ca="1">IF($J38&lt;&gt;0,VLOOKUP($L38,'Allocation Factors - S'!$B$13:$U$214,16,FALSE)*$J38,0)+IF($F38&lt;&gt;0,VLOOKUP($H38,'Allocation Factors - S'!$B$13:$U$214,16,FALSE)*$F38,0)</f>
        <v>51.303958135561885</v>
      </c>
      <c r="Z38" s="76">
        <f ca="1">IF($J38&lt;&gt;0,VLOOKUP($L38,'Allocation Factors - S'!$B$13:$U$214,17,FALSE)*$J38,0)+IF($F38&lt;&gt;0,VLOOKUP($H38,'Allocation Factors - S'!$B$13:$U$214,17,FALSE)*$F38,0)</f>
        <v>0.86221307826281612</v>
      </c>
      <c r="AA38" s="76">
        <f ca="1">IF($J38&lt;&gt;0,VLOOKUP($L38,'Allocation Factors - S'!$B$13:$U$214,18,FALSE)*$J38,0)+IF($F38&lt;&gt;0,VLOOKUP($H38,'Allocation Factors - S'!$B$13:$U$214,18,FALSE)*$F38,0)</f>
        <v>0</v>
      </c>
      <c r="AB38" s="76">
        <f ca="1">IF($J38&lt;&gt;0,VLOOKUP($L38,'Allocation Factors - S'!$B$13:$U$214,19,FALSE)*$J38,0)+IF($F38&lt;&gt;0,VLOOKUP($H38,'Allocation Factors - S'!$B$13:$U$214,19,FALSE)*$F38,0)</f>
        <v>35.723003940961362</v>
      </c>
      <c r="AC38" s="76">
        <f ca="1">IF($J38&lt;&gt;0,VLOOKUP($L38,'Allocation Factors - S'!$B$13:$U$214,20,FALSE)*$J38,0)+IF($F38&lt;&gt;0,VLOOKUP($H38,'Allocation Factors - S'!$B$13:$U$214,20,FALSE)*$F38,0)</f>
        <v>98.832454729222178</v>
      </c>
      <c r="AD38" s="48"/>
    </row>
    <row r="39" spans="1:30" x14ac:dyDescent="0.25">
      <c r="A39" s="2">
        <f t="shared" si="7"/>
        <v>21</v>
      </c>
      <c r="B39" s="31" t="s">
        <v>389</v>
      </c>
      <c r="D39" s="40">
        <f ca="1">SUM(D31:D38)</f>
        <v>5974.7807023538626</v>
      </c>
      <c r="F39" s="40">
        <f>SUM(F31:F38)</f>
        <v>4472.5161039693839</v>
      </c>
      <c r="J39" s="40">
        <f ca="1">SUM(J31:J38)</f>
        <v>1502.2645983844782</v>
      </c>
      <c r="N39" s="40">
        <f t="shared" ref="N39:AA39" ca="1" si="8">SUM(N31:N38)</f>
        <v>1526.1469312029849</v>
      </c>
      <c r="O39" s="40">
        <f t="shared" ca="1" si="8"/>
        <v>628.03963537781976</v>
      </c>
      <c r="P39" s="40">
        <f t="shared" ca="1" si="8"/>
        <v>749.5667028691463</v>
      </c>
      <c r="Q39" s="40"/>
      <c r="R39" s="40"/>
      <c r="S39" s="40">
        <f t="shared" ca="1" si="8"/>
        <v>2048.0511203653336</v>
      </c>
      <c r="T39" s="40">
        <f t="shared" ca="1" si="8"/>
        <v>31.449374457231599</v>
      </c>
      <c r="U39" s="40">
        <f t="shared" ca="1" si="8"/>
        <v>0</v>
      </c>
      <c r="V39" s="40">
        <f t="shared" ca="1" si="8"/>
        <v>0</v>
      </c>
      <c r="W39" s="40">
        <f t="shared" ca="1" si="8"/>
        <v>804.77940854426129</v>
      </c>
      <c r="X39" s="40">
        <f t="shared" ca="1" si="8"/>
        <v>0</v>
      </c>
      <c r="Y39" s="40">
        <f t="shared" ca="1" si="8"/>
        <v>51.329857788637838</v>
      </c>
      <c r="Z39" s="40">
        <f t="shared" ca="1" si="8"/>
        <v>0.86221307826281612</v>
      </c>
      <c r="AA39" s="40">
        <f t="shared" ca="1" si="8"/>
        <v>0</v>
      </c>
      <c r="AB39" s="40">
        <f ca="1">SUM(AB31:AB38)</f>
        <v>35.723003940961362</v>
      </c>
      <c r="AC39" s="40">
        <f ca="1">SUM(AC31:AC38)</f>
        <v>98.832454729222178</v>
      </c>
      <c r="AD39" s="48"/>
    </row>
    <row r="40" spans="1:30" x14ac:dyDescent="0.25"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633940.04408276849</v>
      </c>
      <c r="F42" s="80">
        <f>F21+F28+F39</f>
        <v>4472.5161039693839</v>
      </c>
      <c r="J42" s="80">
        <f ca="1">J21+J28+J39</f>
        <v>629467.52797879907</v>
      </c>
      <c r="N42" s="80">
        <f t="shared" ref="N42:AC42" ca="1" si="9">N21+N28+N39</f>
        <v>488146.80097743694</v>
      </c>
      <c r="O42" s="80">
        <f t="shared" ca="1" si="9"/>
        <v>115538.8636530362</v>
      </c>
      <c r="P42" s="80">
        <f t="shared" ca="1" si="9"/>
        <v>18873.056472264288</v>
      </c>
      <c r="Q42" s="80"/>
      <c r="R42" s="80"/>
      <c r="S42" s="80">
        <f t="shared" ca="1" si="9"/>
        <v>5355.2259870768248</v>
      </c>
      <c r="T42" s="80">
        <f t="shared" ca="1" si="9"/>
        <v>39.952075663197668</v>
      </c>
      <c r="U42" s="80">
        <f t="shared" ca="1" si="9"/>
        <v>0</v>
      </c>
      <c r="V42" s="80">
        <f t="shared" ca="1" si="9"/>
        <v>0</v>
      </c>
      <c r="W42" s="80">
        <f t="shared" ca="1" si="9"/>
        <v>957.82198387363258</v>
      </c>
      <c r="X42" s="80">
        <f t="shared" ca="1" si="9"/>
        <v>0</v>
      </c>
      <c r="Y42" s="80">
        <f t="shared" ca="1" si="9"/>
        <v>445.17081301324311</v>
      </c>
      <c r="Z42" s="80">
        <f t="shared" ca="1" si="9"/>
        <v>340.30046091938357</v>
      </c>
      <c r="AA42" s="80">
        <f t="shared" ca="1" si="9"/>
        <v>688.18093599757367</v>
      </c>
      <c r="AB42" s="80">
        <f t="shared" ca="1" si="9"/>
        <v>2660.5257879471392</v>
      </c>
      <c r="AC42" s="80">
        <f t="shared" ca="1" si="9"/>
        <v>894.14493553997374</v>
      </c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</sheetData>
  <mergeCells count="2">
    <mergeCell ref="B6:L6"/>
    <mergeCell ref="B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E005-5758-493D-96E0-4B744E81584B}">
  <sheetPr>
    <pageSetUpPr fitToPage="1"/>
  </sheetPr>
  <dimension ref="A2:BN330"/>
  <sheetViews>
    <sheetView topLeftCell="A21" zoomScale="80" zoomScaleNormal="80" workbookViewId="0">
      <selection activeCell="B50" sqref="B50"/>
    </sheetView>
  </sheetViews>
  <sheetFormatPr defaultColWidth="9.1796875" defaultRowHeight="12.5" x14ac:dyDescent="0.25"/>
  <cols>
    <col min="1" max="1" width="9.1796875" style="18"/>
    <col min="2" max="2" width="29.1796875" style="1" customWidth="1"/>
    <col min="3" max="3" width="9" style="1" customWidth="1"/>
    <col min="4" max="4" width="15.26953125" style="1" bestFit="1" customWidth="1"/>
    <col min="5" max="5" width="2.81640625" style="1" customWidth="1"/>
    <col min="6" max="8" width="14.7265625" style="1" customWidth="1"/>
    <col min="9" max="9" width="11.453125" style="1" hidden="1" customWidth="1"/>
    <col min="10" max="10" width="14.7265625" style="1" hidden="1" customWidth="1"/>
    <col min="11" max="12" width="14.7265625" style="1" customWidth="1"/>
    <col min="13" max="13" width="16.81640625" style="1" customWidth="1"/>
    <col min="14" max="19" width="14.7265625" style="1" customWidth="1"/>
    <col min="20" max="20" width="14.81640625" style="1" customWidth="1"/>
    <col min="21" max="21" width="13.54296875" style="1" customWidth="1"/>
    <col min="22" max="23" width="9.1796875" style="1"/>
    <col min="24" max="24" width="11.7265625" style="1" customWidth="1"/>
    <col min="25" max="16384" width="9.1796875" style="1"/>
  </cols>
  <sheetData>
    <row r="2" spans="1:66" x14ac:dyDescent="0.25">
      <c r="D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66" x14ac:dyDescent="0.25"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66" x14ac:dyDescent="0.25">
      <c r="D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66" x14ac:dyDescent="0.25"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66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36"/>
      <c r="S6" s="36"/>
      <c r="T6" s="36"/>
      <c r="U6" s="36"/>
    </row>
    <row r="7" spans="1:66" ht="15" customHeight="1" x14ac:dyDescent="0.25">
      <c r="B7" s="155" t="s">
        <v>475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1:66" ht="14.5" x14ac:dyDescent="0.35">
      <c r="Q8"/>
      <c r="T8"/>
      <c r="U8"/>
    </row>
    <row r="9" spans="1:66" x14ac:dyDescent="0.25">
      <c r="A9" s="18" t="s">
        <v>6</v>
      </c>
      <c r="C9" s="18"/>
      <c r="D9" s="18"/>
      <c r="F9" s="2" t="s">
        <v>426</v>
      </c>
      <c r="G9" s="2" t="s">
        <v>426</v>
      </c>
      <c r="H9" s="2" t="s">
        <v>426</v>
      </c>
      <c r="I9" s="2"/>
      <c r="J9" s="2"/>
      <c r="K9" s="2" t="s">
        <v>426</v>
      </c>
      <c r="L9" s="2" t="s">
        <v>426</v>
      </c>
      <c r="M9" s="2" t="s">
        <v>426</v>
      </c>
      <c r="N9" s="2" t="s">
        <v>426</v>
      </c>
      <c r="O9" s="2" t="s">
        <v>426</v>
      </c>
      <c r="P9" s="2" t="s">
        <v>426</v>
      </c>
      <c r="Q9" s="2" t="s">
        <v>426</v>
      </c>
      <c r="R9" s="2" t="s">
        <v>426</v>
      </c>
      <c r="S9" s="2" t="s">
        <v>426</v>
      </c>
      <c r="T9" s="2" t="s">
        <v>426</v>
      </c>
      <c r="U9" s="2" t="s">
        <v>426</v>
      </c>
    </row>
    <row r="10" spans="1:66" x14ac:dyDescent="0.25">
      <c r="A10" s="4" t="s">
        <v>11</v>
      </c>
      <c r="B10" s="4" t="s">
        <v>423</v>
      </c>
      <c r="C10" s="18"/>
      <c r="D10" s="4" t="s">
        <v>2</v>
      </c>
      <c r="E10" s="18"/>
      <c r="F10" s="33" t="s">
        <v>427</v>
      </c>
      <c r="G10" s="33" t="s">
        <v>428</v>
      </c>
      <c r="H10" s="33" t="s">
        <v>429</v>
      </c>
      <c r="I10" s="33"/>
      <c r="J10" s="33"/>
      <c r="K10" s="33" t="s">
        <v>430</v>
      </c>
      <c r="L10" s="33" t="s">
        <v>431</v>
      </c>
      <c r="M10" s="33" t="s">
        <v>432</v>
      </c>
      <c r="N10" s="33" t="s">
        <v>433</v>
      </c>
      <c r="O10" s="33" t="s">
        <v>434</v>
      </c>
      <c r="P10" s="33" t="s">
        <v>435</v>
      </c>
      <c r="Q10" s="33" t="s">
        <v>436</v>
      </c>
      <c r="R10" s="33" t="s">
        <v>437</v>
      </c>
      <c r="S10" s="117" t="s">
        <v>438</v>
      </c>
      <c r="T10" s="33" t="s">
        <v>439</v>
      </c>
      <c r="U10" s="33" t="s">
        <v>440</v>
      </c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8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8"/>
      <c r="BC10" s="160"/>
      <c r="BD10" s="160"/>
      <c r="BE10" s="160"/>
      <c r="BF10" s="160"/>
      <c r="BG10" s="160"/>
      <c r="BH10" s="160"/>
      <c r="BI10" s="160"/>
      <c r="BJ10" s="160"/>
      <c r="BK10" s="160"/>
    </row>
    <row r="11" spans="1:66" x14ac:dyDescent="0.25">
      <c r="C11" s="18"/>
      <c r="D11" s="18" t="s">
        <v>22</v>
      </c>
      <c r="F11" s="81" t="s">
        <v>23</v>
      </c>
      <c r="G11" s="81" t="s">
        <v>24</v>
      </c>
      <c r="H11" s="81" t="s">
        <v>165</v>
      </c>
      <c r="K11" s="81" t="s">
        <v>26</v>
      </c>
      <c r="L11" s="81" t="s">
        <v>27</v>
      </c>
      <c r="M11" s="81" t="s">
        <v>28</v>
      </c>
      <c r="N11" s="81" t="s">
        <v>29</v>
      </c>
      <c r="O11" s="81" t="s">
        <v>30</v>
      </c>
      <c r="P11" s="81" t="s">
        <v>180</v>
      </c>
      <c r="Q11" s="81" t="s">
        <v>181</v>
      </c>
      <c r="R11" s="81" t="s">
        <v>241</v>
      </c>
      <c r="S11" s="81" t="s">
        <v>242</v>
      </c>
      <c r="T11" s="81" t="s">
        <v>285</v>
      </c>
      <c r="U11" s="81" t="s">
        <v>286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6" x14ac:dyDescent="0.25">
      <c r="V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x14ac:dyDescent="0.25">
      <c r="A13" s="18">
        <v>1</v>
      </c>
      <c r="B13" s="18"/>
      <c r="C13" s="18" t="s">
        <v>166</v>
      </c>
      <c r="D13" s="8">
        <f>SUM(F13:U13)</f>
        <v>99.999999999999972</v>
      </c>
      <c r="F13" s="62">
        <v>68.305549207396695</v>
      </c>
      <c r="G13" s="62">
        <v>20.545864907068687</v>
      </c>
      <c r="H13" s="62">
        <v>10.030755906807649</v>
      </c>
      <c r="I13" s="62"/>
      <c r="J13" s="62"/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0.53068684927100784</v>
      </c>
      <c r="R13" s="62">
        <v>0</v>
      </c>
      <c r="S13" s="62">
        <v>0</v>
      </c>
      <c r="T13" s="130">
        <v>0.58714312945593694</v>
      </c>
      <c r="U13" s="130">
        <v>0</v>
      </c>
      <c r="V13" s="18"/>
    </row>
    <row r="14" spans="1:66" x14ac:dyDescent="0.25">
      <c r="A14" s="18">
        <f>A13+1</f>
        <v>2</v>
      </c>
      <c r="B14" s="18" t="s">
        <v>451</v>
      </c>
      <c r="C14" s="18"/>
      <c r="D14" s="24">
        <f>SUM(F14:U14)</f>
        <v>1</v>
      </c>
      <c r="E14" s="17"/>
      <c r="F14" s="24">
        <f>IFERROR(F13/$D13,0)</f>
        <v>0.6830554920739671</v>
      </c>
      <c r="G14" s="24">
        <f>IFERROR(G13/$D13,0)</f>
        <v>0.20545864907068692</v>
      </c>
      <c r="H14" s="24">
        <f>IFERROR(H13/$D13,0)</f>
        <v>0.10030755906807652</v>
      </c>
      <c r="I14" s="24"/>
      <c r="J14" s="24"/>
      <c r="K14" s="24">
        <f t="shared" ref="K14:U14" si="0">IFERROR(K13/$D13,0)</f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0"/>
        <v>5.3068684927100795E-3</v>
      </c>
      <c r="R14" s="24">
        <f t="shared" si="0"/>
        <v>0</v>
      </c>
      <c r="S14" s="24">
        <f t="shared" si="0"/>
        <v>0</v>
      </c>
      <c r="T14" s="24">
        <f t="shared" si="0"/>
        <v>5.8714312945593707E-3</v>
      </c>
      <c r="U14" s="24">
        <f t="shared" si="0"/>
        <v>0</v>
      </c>
      <c r="V14" s="18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</row>
    <row r="15" spans="1:66" x14ac:dyDescent="0.25">
      <c r="C15" s="18"/>
      <c r="V15" s="18"/>
      <c r="X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</row>
    <row r="16" spans="1:66" x14ac:dyDescent="0.25">
      <c r="A16" s="18">
        <f>A14+1</f>
        <v>3</v>
      </c>
      <c r="B16" s="18"/>
      <c r="C16" s="18" t="s">
        <v>166</v>
      </c>
      <c r="D16" s="8">
        <f>SUM(F16:U16)</f>
        <v>31361.031863783192</v>
      </c>
      <c r="F16" s="62">
        <v>8606.2248234398503</v>
      </c>
      <c r="G16" s="62">
        <v>3569.4190110217787</v>
      </c>
      <c r="H16" s="62">
        <v>3485.5646850822118</v>
      </c>
      <c r="I16" s="62"/>
      <c r="J16" s="62"/>
      <c r="K16" s="62">
        <v>10444.860862837992</v>
      </c>
      <c r="L16" s="62">
        <v>210.73374839325288</v>
      </c>
      <c r="M16" s="62">
        <v>0</v>
      </c>
      <c r="N16" s="62">
        <v>0</v>
      </c>
      <c r="O16" s="62">
        <v>3793.0576156534275</v>
      </c>
      <c r="P16" s="62">
        <v>0</v>
      </c>
      <c r="Q16" s="62">
        <v>343.77394125682804</v>
      </c>
      <c r="R16" s="62">
        <v>5.7774565334058448</v>
      </c>
      <c r="S16" s="62">
        <v>0</v>
      </c>
      <c r="T16" s="130">
        <v>239.37018320054929</v>
      </c>
      <c r="U16" s="130">
        <v>662.24953636389193</v>
      </c>
      <c r="V16" s="18"/>
    </row>
    <row r="17" spans="1:66" x14ac:dyDescent="0.25">
      <c r="A17" s="18">
        <f>A16+1</f>
        <v>4</v>
      </c>
      <c r="B17" s="18" t="s">
        <v>462</v>
      </c>
      <c r="C17" s="18"/>
      <c r="D17" s="24">
        <f>SUM(F17:U17)</f>
        <v>0.99999999999999978</v>
      </c>
      <c r="E17" s="17"/>
      <c r="F17" s="24">
        <f>IFERROR(F16/$D16,0)</f>
        <v>0.27442415991989783</v>
      </c>
      <c r="G17" s="24">
        <f>IFERROR(G16/$D16,0)</f>
        <v>0.11381701426552446</v>
      </c>
      <c r="H17" s="24">
        <f>IFERROR(H16/$D16,0)</f>
        <v>0.11114317603520765</v>
      </c>
      <c r="I17" s="24"/>
      <c r="J17" s="24"/>
      <c r="K17" s="24">
        <f t="shared" ref="K17:U17" si="1">IFERROR(K16/$D16,0)</f>
        <v>0.33305220657934026</v>
      </c>
      <c r="L17" s="24">
        <f t="shared" si="1"/>
        <v>6.7196050598263488E-3</v>
      </c>
      <c r="M17" s="24">
        <f t="shared" si="1"/>
        <v>0</v>
      </c>
      <c r="N17" s="24">
        <f t="shared" si="1"/>
        <v>0</v>
      </c>
      <c r="O17" s="24">
        <f t="shared" si="1"/>
        <v>0.12094811268100468</v>
      </c>
      <c r="P17" s="24">
        <f t="shared" si="1"/>
        <v>0</v>
      </c>
      <c r="Q17" s="24">
        <f t="shared" si="1"/>
        <v>1.0961818563560408E-2</v>
      </c>
      <c r="R17" s="24">
        <f t="shared" si="1"/>
        <v>1.842240573747783E-4</v>
      </c>
      <c r="S17" s="24">
        <f t="shared" si="1"/>
        <v>0</v>
      </c>
      <c r="T17" s="24">
        <f t="shared" si="1"/>
        <v>7.632726634769384E-3</v>
      </c>
      <c r="U17" s="24">
        <f t="shared" si="1"/>
        <v>2.1116956203494078E-2</v>
      </c>
      <c r="V17" s="18"/>
      <c r="X17" s="8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x14ac:dyDescent="0.25">
      <c r="C18" s="18"/>
      <c r="V18" s="18"/>
      <c r="X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</row>
    <row r="19" spans="1:66" x14ac:dyDescent="0.25">
      <c r="A19" s="18">
        <f>A17+1</f>
        <v>5</v>
      </c>
      <c r="B19" s="18"/>
      <c r="C19" s="18" t="s">
        <v>166</v>
      </c>
      <c r="D19" s="8">
        <f>SUM(F19:U19)</f>
        <v>1143.6410668050291</v>
      </c>
      <c r="F19" s="62">
        <v>313.86637493216097</v>
      </c>
      <c r="G19" s="62">
        <v>130.17561457981529</v>
      </c>
      <c r="H19" s="62">
        <v>127.10182529547711</v>
      </c>
      <c r="I19" s="62"/>
      <c r="J19" s="62"/>
      <c r="K19" s="62">
        <v>380.87397611807296</v>
      </c>
      <c r="L19" s="62">
        <v>7.6844490038515829</v>
      </c>
      <c r="M19" s="62">
        <v>0</v>
      </c>
      <c r="N19" s="62">
        <v>0</v>
      </c>
      <c r="O19" s="62">
        <v>138.31461756076686</v>
      </c>
      <c r="P19" s="62">
        <v>0</v>
      </c>
      <c r="Q19" s="62">
        <v>12.535786700435995</v>
      </c>
      <c r="R19" s="62">
        <v>0.21067612777464276</v>
      </c>
      <c r="S19" s="62">
        <v>0</v>
      </c>
      <c r="T19" s="130">
        <v>8.7286824244907013</v>
      </c>
      <c r="U19" s="130">
        <v>24.149064062183303</v>
      </c>
      <c r="V19" s="18"/>
    </row>
    <row r="20" spans="1:66" x14ac:dyDescent="0.25">
      <c r="A20" s="18">
        <f>A19+1</f>
        <v>6</v>
      </c>
      <c r="B20" s="18" t="s">
        <v>448</v>
      </c>
      <c r="C20" s="18"/>
      <c r="D20" s="24">
        <f>SUM(F20:U20)</f>
        <v>1</v>
      </c>
      <c r="E20" s="17"/>
      <c r="F20" s="24">
        <f>IFERROR(F19/$D19,0)</f>
        <v>0.27444482717729279</v>
      </c>
      <c r="G20" s="24">
        <f>IFERROR(G19/$D19,0)</f>
        <v>0.11382558597994799</v>
      </c>
      <c r="H20" s="24">
        <f>IFERROR(H19/$D19,0)</f>
        <v>0.1111378639546054</v>
      </c>
      <c r="I20" s="24"/>
      <c r="J20" s="24"/>
      <c r="K20" s="24">
        <f t="shared" ref="K20:U20" si="2">IFERROR(K19/$D19,0)</f>
        <v>0.33303628837159038</v>
      </c>
      <c r="L20" s="24">
        <f t="shared" si="2"/>
        <v>6.719283896755736E-3</v>
      </c>
      <c r="M20" s="24">
        <f t="shared" si="2"/>
        <v>0</v>
      </c>
      <c r="N20" s="24">
        <f t="shared" si="2"/>
        <v>0</v>
      </c>
      <c r="O20" s="24">
        <f t="shared" si="2"/>
        <v>0.12094233197411675</v>
      </c>
      <c r="P20" s="24">
        <f t="shared" si="2"/>
        <v>0</v>
      </c>
      <c r="Q20" s="24">
        <f t="shared" si="2"/>
        <v>1.096129464418151E-2</v>
      </c>
      <c r="R20" s="24">
        <f t="shared" si="2"/>
        <v>1.8421525239838154E-4</v>
      </c>
      <c r="S20" s="24">
        <f t="shared" si="2"/>
        <v>0</v>
      </c>
      <c r="T20" s="24">
        <f t="shared" si="2"/>
        <v>7.6323618291146847E-3</v>
      </c>
      <c r="U20" s="24">
        <f t="shared" si="2"/>
        <v>2.1115946919996621E-2</v>
      </c>
      <c r="V20" s="18"/>
      <c r="X20" s="8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</row>
    <row r="21" spans="1:66" x14ac:dyDescent="0.25">
      <c r="C21" s="18"/>
      <c r="V21" s="18"/>
      <c r="X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</row>
    <row r="22" spans="1:66" x14ac:dyDescent="0.25">
      <c r="A22" s="18">
        <f>A20+1</f>
        <v>7</v>
      </c>
      <c r="B22" s="18"/>
      <c r="C22" s="18" t="s">
        <v>166</v>
      </c>
      <c r="D22" s="8">
        <f>SUM(F22:U22)</f>
        <v>0</v>
      </c>
      <c r="F22" s="62">
        <v>0</v>
      </c>
      <c r="G22" s="62">
        <v>0</v>
      </c>
      <c r="H22" s="62">
        <v>0</v>
      </c>
      <c r="I22" s="62"/>
      <c r="J22" s="62"/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130">
        <v>0</v>
      </c>
      <c r="U22" s="130">
        <v>0</v>
      </c>
      <c r="V22" s="18"/>
      <c r="X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</row>
    <row r="23" spans="1:66" x14ac:dyDescent="0.25">
      <c r="A23" s="18">
        <f>A22+1</f>
        <v>8</v>
      </c>
      <c r="B23" s="18" t="s">
        <v>459</v>
      </c>
      <c r="C23" s="18"/>
      <c r="D23" s="24">
        <f>SUM(F23:U23)</f>
        <v>0</v>
      </c>
      <c r="E23" s="17"/>
      <c r="F23" s="24">
        <f>IFERROR(F22/$D22,0)</f>
        <v>0</v>
      </c>
      <c r="G23" s="24">
        <f>IFERROR(G22/$D22,0)</f>
        <v>0</v>
      </c>
      <c r="H23" s="24">
        <f>IFERROR(H22/$D22,0)</f>
        <v>0</v>
      </c>
      <c r="I23" s="24"/>
      <c r="J23" s="24"/>
      <c r="K23" s="24">
        <f t="shared" ref="K23:U23" si="3">IFERROR(K22/$D22,0)</f>
        <v>0</v>
      </c>
      <c r="L23" s="24">
        <f t="shared" si="3"/>
        <v>0</v>
      </c>
      <c r="M23" s="24">
        <f t="shared" si="3"/>
        <v>0</v>
      </c>
      <c r="N23" s="24">
        <f t="shared" si="3"/>
        <v>0</v>
      </c>
      <c r="O23" s="24">
        <f t="shared" si="3"/>
        <v>0</v>
      </c>
      <c r="P23" s="24">
        <f t="shared" si="3"/>
        <v>0</v>
      </c>
      <c r="Q23" s="24">
        <f t="shared" si="3"/>
        <v>0</v>
      </c>
      <c r="R23" s="24">
        <f t="shared" si="3"/>
        <v>0</v>
      </c>
      <c r="S23" s="24">
        <f t="shared" si="3"/>
        <v>0</v>
      </c>
      <c r="T23" s="24">
        <f t="shared" si="3"/>
        <v>0</v>
      </c>
      <c r="U23" s="24">
        <f t="shared" si="3"/>
        <v>0</v>
      </c>
      <c r="V23" s="18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</row>
    <row r="24" spans="1:66" x14ac:dyDescent="0.25">
      <c r="C24" s="18"/>
      <c r="V24" s="18"/>
      <c r="X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</row>
    <row r="25" spans="1:66" x14ac:dyDescent="0.25">
      <c r="A25" s="18">
        <f>A23+1</f>
        <v>9</v>
      </c>
      <c r="B25" s="18"/>
      <c r="C25" s="18" t="s">
        <v>166</v>
      </c>
      <c r="D25" s="8">
        <f>SUM(F25:U25)</f>
        <v>48171.186661874694</v>
      </c>
      <c r="F25" s="62">
        <v>23902.460244830952</v>
      </c>
      <c r="G25" s="62">
        <v>8698.7760397580169</v>
      </c>
      <c r="H25" s="62">
        <v>3579.9699381532864</v>
      </c>
      <c r="I25" s="62"/>
      <c r="J25" s="62"/>
      <c r="K25" s="62">
        <v>5512.4194524573959</v>
      </c>
      <c r="L25" s="62">
        <v>0</v>
      </c>
      <c r="M25" s="62">
        <v>0</v>
      </c>
      <c r="N25" s="62">
        <v>0</v>
      </c>
      <c r="O25" s="62">
        <v>3416.9672401662774</v>
      </c>
      <c r="P25" s="62">
        <v>0</v>
      </c>
      <c r="Q25" s="62">
        <v>20.627323012523977</v>
      </c>
      <c r="R25" s="62">
        <v>0</v>
      </c>
      <c r="S25" s="62">
        <v>0</v>
      </c>
      <c r="T25" s="130">
        <v>485.78629573888537</v>
      </c>
      <c r="U25" s="130">
        <v>2554.180127757355</v>
      </c>
      <c r="V25" s="18"/>
    </row>
    <row r="26" spans="1:66" x14ac:dyDescent="0.25">
      <c r="A26" s="18">
        <f>A25+1</f>
        <v>10</v>
      </c>
      <c r="B26" s="18" t="s">
        <v>455</v>
      </c>
      <c r="C26" s="18"/>
      <c r="D26" s="24">
        <f>SUM(F26:U26)</f>
        <v>0.99999999999999989</v>
      </c>
      <c r="E26" s="17"/>
      <c r="F26" s="24">
        <f>IFERROR(F25/$D25,0)</f>
        <v>0.49619828576381458</v>
      </c>
      <c r="G26" s="24">
        <f>IFERROR(G25/$D25,0)</f>
        <v>0.18058048062666271</v>
      </c>
      <c r="H26" s="24">
        <f>IFERROR(H25/$D25,0)</f>
        <v>7.4317661370519442E-2</v>
      </c>
      <c r="I26" s="24"/>
      <c r="J26" s="24"/>
      <c r="K26" s="24">
        <f t="shared" ref="K26:U26" si="4">IFERROR(K25/$D25,0)</f>
        <v>0.11443395594861328</v>
      </c>
      <c r="L26" s="24">
        <f t="shared" si="4"/>
        <v>0</v>
      </c>
      <c r="M26" s="24">
        <f t="shared" si="4"/>
        <v>0</v>
      </c>
      <c r="N26" s="24">
        <f t="shared" si="4"/>
        <v>0</v>
      </c>
      <c r="O26" s="24">
        <f t="shared" si="4"/>
        <v>7.0933839852250338E-2</v>
      </c>
      <c r="P26" s="24">
        <f t="shared" si="4"/>
        <v>0</v>
      </c>
      <c r="Q26" s="24">
        <f t="shared" si="4"/>
        <v>4.2820873725432981E-4</v>
      </c>
      <c r="R26" s="24">
        <f t="shared" si="4"/>
        <v>0</v>
      </c>
      <c r="S26" s="24">
        <f t="shared" si="4"/>
        <v>0</v>
      </c>
      <c r="T26" s="24">
        <f t="shared" si="4"/>
        <v>1.0084582286683902E-2</v>
      </c>
      <c r="U26" s="24">
        <f t="shared" si="4"/>
        <v>5.3022985414201404E-2</v>
      </c>
      <c r="V26" s="18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6" x14ac:dyDescent="0.25">
      <c r="C27" s="18"/>
      <c r="V27" s="18"/>
      <c r="X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</row>
    <row r="28" spans="1:66" x14ac:dyDescent="0.25">
      <c r="A28" s="18">
        <f>A26+1</f>
        <v>11</v>
      </c>
      <c r="B28" s="18"/>
      <c r="C28" s="18" t="s">
        <v>166</v>
      </c>
      <c r="D28" s="8">
        <f>SUM(F28:U28)</f>
        <v>8126.6974780333858</v>
      </c>
      <c r="F28" s="62">
        <v>4032.4533575212818</v>
      </c>
      <c r="G28" s="62">
        <v>1467.5229364907568</v>
      </c>
      <c r="H28" s="62">
        <v>603.9571512331396</v>
      </c>
      <c r="I28" s="62"/>
      <c r="J28" s="62"/>
      <c r="K28" s="62">
        <v>929.97014120897916</v>
      </c>
      <c r="L28" s="62">
        <v>0</v>
      </c>
      <c r="M28" s="62">
        <v>0</v>
      </c>
      <c r="N28" s="62">
        <v>0</v>
      </c>
      <c r="O28" s="62">
        <v>576.45785743450699</v>
      </c>
      <c r="P28" s="62">
        <v>0</v>
      </c>
      <c r="Q28" s="62">
        <v>3.4799228651166225</v>
      </c>
      <c r="R28" s="62">
        <v>0</v>
      </c>
      <c r="S28" s="62">
        <v>0</v>
      </c>
      <c r="T28" s="130">
        <v>81.954349436214216</v>
      </c>
      <c r="U28" s="130">
        <v>430.90176184339157</v>
      </c>
      <c r="V28" s="18"/>
    </row>
    <row r="29" spans="1:66" x14ac:dyDescent="0.25">
      <c r="A29" s="18">
        <f>A28+1</f>
        <v>12</v>
      </c>
      <c r="B29" s="18" t="s">
        <v>458</v>
      </c>
      <c r="C29" s="18"/>
      <c r="D29" s="24">
        <f>SUM(F29:U29)</f>
        <v>1</v>
      </c>
      <c r="E29" s="17"/>
      <c r="F29" s="24">
        <f>IFERROR(F28/$D28,0)</f>
        <v>0.49619828576381464</v>
      </c>
      <c r="G29" s="24">
        <f>IFERROR(G28/$D28,0)</f>
        <v>0.18058048062666274</v>
      </c>
      <c r="H29" s="24">
        <f>IFERROR(H28/$D28,0)</f>
        <v>7.4317661370519456E-2</v>
      </c>
      <c r="I29" s="24"/>
      <c r="J29" s="24"/>
      <c r="K29" s="24">
        <f t="shared" ref="K29:U29" si="5">IFERROR(K28/$D28,0)</f>
        <v>0.11443395594861329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7.0933839852250352E-2</v>
      </c>
      <c r="P29" s="24">
        <f t="shared" si="5"/>
        <v>0</v>
      </c>
      <c r="Q29" s="24">
        <f t="shared" si="5"/>
        <v>4.2820873725432976E-4</v>
      </c>
      <c r="R29" s="24">
        <f t="shared" si="5"/>
        <v>0</v>
      </c>
      <c r="S29" s="24">
        <f t="shared" si="5"/>
        <v>0</v>
      </c>
      <c r="T29" s="24">
        <f t="shared" si="5"/>
        <v>1.00845822866839E-2</v>
      </c>
      <c r="U29" s="24">
        <f t="shared" si="5"/>
        <v>5.3022985414201404E-2</v>
      </c>
      <c r="V29" s="18"/>
      <c r="X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22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</row>
    <row r="30" spans="1:66" x14ac:dyDescent="0.25">
      <c r="C30" s="18"/>
      <c r="V30" s="18"/>
      <c r="X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</row>
    <row r="31" spans="1:66" x14ac:dyDescent="0.25">
      <c r="A31" s="18">
        <f>A29+1</f>
        <v>13</v>
      </c>
      <c r="B31" s="18"/>
      <c r="C31" s="18" t="s">
        <v>166</v>
      </c>
      <c r="D31" s="8">
        <f>SUM(F31:U31)</f>
        <v>3822.5599531127073</v>
      </c>
      <c r="F31" s="62">
        <v>1896.747695963933</v>
      </c>
      <c r="G31" s="62">
        <v>690.27971355732609</v>
      </c>
      <c r="H31" s="62">
        <v>284.08371616393885</v>
      </c>
      <c r="I31" s="62"/>
      <c r="J31" s="62"/>
      <c r="K31" s="62">
        <v>437.43065728543274</v>
      </c>
      <c r="L31" s="62">
        <v>0</v>
      </c>
      <c r="M31" s="62">
        <v>0</v>
      </c>
      <c r="N31" s="62">
        <v>0</v>
      </c>
      <c r="O31" s="62">
        <v>271.14885553972238</v>
      </c>
      <c r="P31" s="62">
        <v>0</v>
      </c>
      <c r="Q31" s="62">
        <v>1.6368535706013625</v>
      </c>
      <c r="R31" s="62">
        <v>0</v>
      </c>
      <c r="S31" s="62">
        <v>0</v>
      </c>
      <c r="T31" s="130">
        <v>38.54892039294765</v>
      </c>
      <c r="U31" s="130">
        <v>202.68354063880548</v>
      </c>
      <c r="V31" s="18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</row>
    <row r="32" spans="1:66" x14ac:dyDescent="0.25">
      <c r="A32" s="18">
        <f>A31+1</f>
        <v>14</v>
      </c>
      <c r="B32" s="18" t="s">
        <v>456</v>
      </c>
      <c r="C32" s="18"/>
      <c r="D32" s="24">
        <f>SUM(F32:U32)</f>
        <v>1</v>
      </c>
      <c r="E32" s="17"/>
      <c r="F32" s="24">
        <f>IFERROR(F31/$D31,0)</f>
        <v>0.49619828576381464</v>
      </c>
      <c r="G32" s="24">
        <f>IFERROR(G31/$D31,0)</f>
        <v>0.18058048062666274</v>
      </c>
      <c r="H32" s="24">
        <f>IFERROR(H31/$D31,0)</f>
        <v>7.4317661370519442E-2</v>
      </c>
      <c r="I32" s="24"/>
      <c r="J32" s="24"/>
      <c r="K32" s="24">
        <f t="shared" ref="K32:U32" si="6">IFERROR(K31/$D31,0)</f>
        <v>0.11443395594861328</v>
      </c>
      <c r="L32" s="24">
        <f t="shared" si="6"/>
        <v>0</v>
      </c>
      <c r="M32" s="24">
        <f t="shared" si="6"/>
        <v>0</v>
      </c>
      <c r="N32" s="24">
        <f t="shared" si="6"/>
        <v>0</v>
      </c>
      <c r="O32" s="24">
        <f t="shared" si="6"/>
        <v>7.0933839852250352E-2</v>
      </c>
      <c r="P32" s="24">
        <f t="shared" si="6"/>
        <v>0</v>
      </c>
      <c r="Q32" s="24">
        <f t="shared" si="6"/>
        <v>4.2820873725432981E-4</v>
      </c>
      <c r="R32" s="24">
        <f t="shared" si="6"/>
        <v>0</v>
      </c>
      <c r="S32" s="24">
        <f t="shared" si="6"/>
        <v>0</v>
      </c>
      <c r="T32" s="24">
        <f t="shared" si="6"/>
        <v>1.00845822866839E-2</v>
      </c>
      <c r="U32" s="24">
        <f t="shared" si="6"/>
        <v>5.3022985414201404E-2</v>
      </c>
      <c r="V32" s="18"/>
      <c r="X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</row>
    <row r="33" spans="1:66" x14ac:dyDescent="0.25">
      <c r="C33" s="18"/>
      <c r="V33" s="18"/>
      <c r="X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</row>
    <row r="34" spans="1:66" x14ac:dyDescent="0.25">
      <c r="A34" s="18">
        <f>A32+1</f>
        <v>15</v>
      </c>
      <c r="B34" s="18"/>
      <c r="C34" s="18" t="s">
        <v>166</v>
      </c>
      <c r="D34" s="8">
        <f>SUM(F34:U34)</f>
        <v>0</v>
      </c>
      <c r="F34" s="62">
        <v>0</v>
      </c>
      <c r="G34" s="62">
        <v>0</v>
      </c>
      <c r="H34" s="62">
        <v>0</v>
      </c>
      <c r="I34" s="62"/>
      <c r="J34" s="62"/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130">
        <v>0</v>
      </c>
      <c r="U34" s="130">
        <v>0</v>
      </c>
      <c r="V34" s="18"/>
    </row>
    <row r="35" spans="1:66" x14ac:dyDescent="0.25">
      <c r="A35" s="18">
        <f>A34+1</f>
        <v>16</v>
      </c>
      <c r="B35" s="18" t="s">
        <v>446</v>
      </c>
      <c r="C35" s="18"/>
      <c r="D35" s="24">
        <f>SUM(F35:U35)</f>
        <v>0</v>
      </c>
      <c r="E35" s="17"/>
      <c r="F35" s="24">
        <f>IFERROR(F34/$D34,0)</f>
        <v>0</v>
      </c>
      <c r="G35" s="24">
        <f>IFERROR(G34/$D34,0)</f>
        <v>0</v>
      </c>
      <c r="H35" s="24">
        <f>IFERROR(H34/$D34,0)</f>
        <v>0</v>
      </c>
      <c r="I35" s="24"/>
      <c r="J35" s="24"/>
      <c r="K35" s="24">
        <f t="shared" ref="K35:U35" si="7">IFERROR(K34/$D34,0)</f>
        <v>0</v>
      </c>
      <c r="L35" s="24">
        <f t="shared" si="7"/>
        <v>0</v>
      </c>
      <c r="M35" s="24">
        <f t="shared" si="7"/>
        <v>0</v>
      </c>
      <c r="N35" s="24">
        <f t="shared" si="7"/>
        <v>0</v>
      </c>
      <c r="O35" s="24">
        <f t="shared" si="7"/>
        <v>0</v>
      </c>
      <c r="P35" s="24">
        <f t="shared" si="7"/>
        <v>0</v>
      </c>
      <c r="Q35" s="24">
        <f t="shared" si="7"/>
        <v>0</v>
      </c>
      <c r="R35" s="24">
        <f t="shared" si="7"/>
        <v>0</v>
      </c>
      <c r="S35" s="24">
        <f t="shared" si="7"/>
        <v>0</v>
      </c>
      <c r="T35" s="24">
        <f t="shared" si="7"/>
        <v>0</v>
      </c>
      <c r="U35" s="24">
        <f t="shared" si="7"/>
        <v>0</v>
      </c>
      <c r="V35" s="18"/>
      <c r="X35" s="8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x14ac:dyDescent="0.25">
      <c r="C36" s="18"/>
      <c r="V36" s="18"/>
      <c r="X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</row>
    <row r="37" spans="1:66" x14ac:dyDescent="0.25">
      <c r="A37" s="18">
        <f>A35+1</f>
        <v>17</v>
      </c>
      <c r="B37" s="127"/>
      <c r="C37" s="18" t="s">
        <v>166</v>
      </c>
      <c r="D37" s="8">
        <f>SUM(F37:U37)</f>
        <v>1741.390150439727</v>
      </c>
      <c r="F37" s="62">
        <v>868.30458577324157</v>
      </c>
      <c r="G37" s="62">
        <v>306.18173543306341</v>
      </c>
      <c r="H37" s="62">
        <v>258.25831516849883</v>
      </c>
      <c r="I37" s="62"/>
      <c r="J37" s="62"/>
      <c r="K37" s="62">
        <v>212.9107424005467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5.4711999999999997E-2</v>
      </c>
      <c r="R37" s="62">
        <v>0</v>
      </c>
      <c r="S37" s="62">
        <v>31.824000000000005</v>
      </c>
      <c r="T37" s="130">
        <v>9.7170596643762064</v>
      </c>
      <c r="U37" s="130">
        <v>54.139000000000003</v>
      </c>
      <c r="V37" s="18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</row>
    <row r="38" spans="1:66" x14ac:dyDescent="0.25">
      <c r="A38" s="18">
        <f>A37+1</f>
        <v>18</v>
      </c>
      <c r="B38" s="18" t="s">
        <v>447</v>
      </c>
      <c r="C38" s="18"/>
      <c r="D38" s="24">
        <f>SUM(F38:U38)</f>
        <v>0.99999999999999989</v>
      </c>
      <c r="E38" s="17"/>
      <c r="F38" s="24">
        <f>IFERROR(F37/$D37,0)</f>
        <v>0.49862725222947984</v>
      </c>
      <c r="G38" s="24">
        <f>IFERROR(G37/$D37,0)</f>
        <v>0.175826040681204</v>
      </c>
      <c r="H38" s="24">
        <f>IFERROR(H37/$D37,0)</f>
        <v>0.14830583204073181</v>
      </c>
      <c r="I38" s="24"/>
      <c r="J38" s="24"/>
      <c r="K38" s="24">
        <f t="shared" ref="K38:U38" si="8">IFERROR(K37/$D37,0)</f>
        <v>0.12226481374480243</v>
      </c>
      <c r="L38" s="24">
        <f t="shared" si="8"/>
        <v>0</v>
      </c>
      <c r="M38" s="24">
        <f t="shared" si="8"/>
        <v>0</v>
      </c>
      <c r="N38" s="24">
        <f t="shared" si="8"/>
        <v>0</v>
      </c>
      <c r="O38" s="24">
        <f t="shared" si="8"/>
        <v>0</v>
      </c>
      <c r="P38" s="24">
        <f t="shared" si="8"/>
        <v>0</v>
      </c>
      <c r="Q38" s="24">
        <f t="shared" si="8"/>
        <v>3.1418576696430955E-5</v>
      </c>
      <c r="R38" s="24">
        <f t="shared" si="8"/>
        <v>0</v>
      </c>
      <c r="S38" s="24">
        <f t="shared" si="8"/>
        <v>1.8275054554525862E-2</v>
      </c>
      <c r="T38" s="24">
        <f t="shared" si="8"/>
        <v>5.5800589327569721E-3</v>
      </c>
      <c r="U38" s="24">
        <f t="shared" si="8"/>
        <v>3.1089529239802519E-2</v>
      </c>
      <c r="V38" s="18"/>
      <c r="X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</row>
    <row r="39" spans="1:66" x14ac:dyDescent="0.25">
      <c r="C39" s="18"/>
      <c r="V39" s="18"/>
      <c r="X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</row>
    <row r="40" spans="1:66" x14ac:dyDescent="0.25">
      <c r="A40" s="18">
        <f>A38+1</f>
        <v>19</v>
      </c>
      <c r="B40" s="18"/>
      <c r="C40" s="18" t="s">
        <v>166</v>
      </c>
      <c r="D40" s="8">
        <f>SUM(F40:U40)</f>
        <v>107440.39918524907</v>
      </c>
      <c r="F40" s="62">
        <v>67787.460193888881</v>
      </c>
      <c r="G40" s="62">
        <v>24091.946470442515</v>
      </c>
      <c r="H40" s="62">
        <v>3521.6106252123441</v>
      </c>
      <c r="I40" s="62"/>
      <c r="J40" s="62"/>
      <c r="K40" s="62">
        <v>7238.7434360095722</v>
      </c>
      <c r="L40" s="62">
        <v>83.981539397015325</v>
      </c>
      <c r="M40" s="62">
        <v>0</v>
      </c>
      <c r="N40" s="62">
        <v>0</v>
      </c>
      <c r="O40" s="62">
        <v>2093.1097619010852</v>
      </c>
      <c r="P40" s="62">
        <v>0</v>
      </c>
      <c r="Q40" s="62">
        <v>234.19517875016714</v>
      </c>
      <c r="R40" s="62">
        <v>2.3024299485686992</v>
      </c>
      <c r="S40" s="62">
        <v>611.82226461191749</v>
      </c>
      <c r="T40" s="130">
        <v>267.23060695548827</v>
      </c>
      <c r="U40" s="130">
        <v>1507.9966781315211</v>
      </c>
      <c r="V40" s="18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</row>
    <row r="41" spans="1:66" x14ac:dyDescent="0.25">
      <c r="A41" s="18">
        <f>A40+1</f>
        <v>20</v>
      </c>
      <c r="B41" s="18" t="s">
        <v>453</v>
      </c>
      <c r="C41" s="18"/>
      <c r="D41" s="24">
        <f>SUM(F41:U41)</f>
        <v>1</v>
      </c>
      <c r="E41" s="17"/>
      <c r="F41" s="24">
        <f>IFERROR(F40/$D40,0)</f>
        <v>0.63093082963150138</v>
      </c>
      <c r="G41" s="24">
        <f>IFERROR(G40/$D40,0)</f>
        <v>0.22423545196349379</v>
      </c>
      <c r="H41" s="24">
        <f>IFERROR(H40/$D40,0)</f>
        <v>3.2777341222833434E-2</v>
      </c>
      <c r="I41" s="24"/>
      <c r="J41" s="24"/>
      <c r="K41" s="24">
        <f t="shared" ref="K41:U41" si="9">IFERROR(K40/$D40,0)</f>
        <v>6.7374502430212563E-2</v>
      </c>
      <c r="L41" s="24">
        <f t="shared" si="9"/>
        <v>7.8165699340165416E-4</v>
      </c>
      <c r="M41" s="24">
        <f t="shared" si="9"/>
        <v>0</v>
      </c>
      <c r="N41" s="24">
        <f t="shared" si="9"/>
        <v>0</v>
      </c>
      <c r="O41" s="24">
        <f t="shared" si="9"/>
        <v>1.9481589586168038E-2</v>
      </c>
      <c r="P41" s="24">
        <f t="shared" si="9"/>
        <v>0</v>
      </c>
      <c r="Q41" s="24">
        <f t="shared" si="9"/>
        <v>2.1797683229598493E-3</v>
      </c>
      <c r="R41" s="24">
        <f t="shared" si="9"/>
        <v>2.1429834271174311E-5</v>
      </c>
      <c r="S41" s="24">
        <f t="shared" si="9"/>
        <v>5.6945270982939264E-3</v>
      </c>
      <c r="T41" s="24">
        <f t="shared" si="9"/>
        <v>2.4872451050254236E-3</v>
      </c>
      <c r="U41" s="24">
        <f t="shared" si="9"/>
        <v>1.4035657811838808E-2</v>
      </c>
      <c r="V41" s="18"/>
      <c r="X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</row>
    <row r="42" spans="1:66" x14ac:dyDescent="0.25">
      <c r="C42" s="18"/>
      <c r="V42" s="18"/>
      <c r="X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</row>
    <row r="43" spans="1:66" x14ac:dyDescent="0.25">
      <c r="A43" s="18">
        <f>A41+1</f>
        <v>21</v>
      </c>
      <c r="B43" s="18"/>
      <c r="C43" s="18" t="s">
        <v>166</v>
      </c>
      <c r="D43" s="14">
        <f>SUM(F43:U43)</f>
        <v>100</v>
      </c>
      <c r="E43" s="152"/>
      <c r="F43" s="153">
        <v>24.160212594504877</v>
      </c>
      <c r="G43" s="153">
        <v>9.6076453262627144</v>
      </c>
      <c r="H43" s="153">
        <v>25.028709772977432</v>
      </c>
      <c r="I43" s="153"/>
      <c r="J43" s="153"/>
      <c r="K43" s="153">
        <v>28.721275349221976</v>
      </c>
      <c r="L43" s="153">
        <v>0</v>
      </c>
      <c r="M43" s="153">
        <v>0</v>
      </c>
      <c r="N43" s="153">
        <v>0</v>
      </c>
      <c r="O43" s="153">
        <v>12.481156601140221</v>
      </c>
      <c r="P43" s="153">
        <v>0</v>
      </c>
      <c r="Q43" s="153">
        <v>1.0003558927787781E-3</v>
      </c>
      <c r="R43" s="153">
        <v>0</v>
      </c>
      <c r="S43" s="153">
        <v>0</v>
      </c>
      <c r="T43" s="152">
        <v>0</v>
      </c>
      <c r="U43" s="152">
        <v>0</v>
      </c>
      <c r="V43" s="18"/>
    </row>
    <row r="44" spans="1:66" x14ac:dyDescent="0.25">
      <c r="A44" s="18">
        <f>A43+1</f>
        <v>22</v>
      </c>
      <c r="B44" s="18" t="s">
        <v>460</v>
      </c>
      <c r="C44" s="18"/>
      <c r="D44" s="24">
        <f>SUM(F44:U44)</f>
        <v>0.99999999999999989</v>
      </c>
      <c r="E44" s="17"/>
      <c r="F44" s="24">
        <f>IFERROR(F43/$D43,0)</f>
        <v>0.24160212594504876</v>
      </c>
      <c r="G44" s="24">
        <f>IFERROR(G43/$D43,0)</f>
        <v>9.6076453262627148E-2</v>
      </c>
      <c r="H44" s="24">
        <f>IFERROR(H43/$D43,0)</f>
        <v>0.25028709772977431</v>
      </c>
      <c r="I44" s="24"/>
      <c r="J44" s="24"/>
      <c r="K44" s="24">
        <f t="shared" ref="K44:U44" si="10">IFERROR(K43/$D43,0)</f>
        <v>0.28721275349221975</v>
      </c>
      <c r="L44" s="24">
        <f t="shared" si="10"/>
        <v>0</v>
      </c>
      <c r="M44" s="24">
        <f t="shared" si="10"/>
        <v>0</v>
      </c>
      <c r="N44" s="24">
        <f t="shared" si="10"/>
        <v>0</v>
      </c>
      <c r="O44" s="24">
        <f t="shared" si="10"/>
        <v>0.12481156601140221</v>
      </c>
      <c r="P44" s="24">
        <f t="shared" si="10"/>
        <v>0</v>
      </c>
      <c r="Q44" s="24">
        <f t="shared" si="10"/>
        <v>1.0003558927787781E-5</v>
      </c>
      <c r="R44" s="24">
        <f t="shared" si="10"/>
        <v>0</v>
      </c>
      <c r="S44" s="24">
        <f t="shared" si="10"/>
        <v>0</v>
      </c>
      <c r="T44" s="24">
        <f t="shared" si="10"/>
        <v>0</v>
      </c>
      <c r="U44" s="24">
        <f t="shared" si="10"/>
        <v>0</v>
      </c>
      <c r="V44" s="18"/>
      <c r="X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22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x14ac:dyDescent="0.25">
      <c r="C45" s="18"/>
      <c r="V45" s="18"/>
      <c r="X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</row>
    <row r="46" spans="1:66" x14ac:dyDescent="0.25">
      <c r="A46" s="18">
        <f>A44+1</f>
        <v>23</v>
      </c>
      <c r="B46" s="18"/>
      <c r="C46" s="18" t="s">
        <v>166</v>
      </c>
      <c r="D46" s="8">
        <f>SUM(F46:U46)</f>
        <v>0</v>
      </c>
      <c r="F46" s="62">
        <v>0</v>
      </c>
      <c r="G46" s="62">
        <v>0</v>
      </c>
      <c r="H46" s="62">
        <v>0</v>
      </c>
      <c r="I46" s="62"/>
      <c r="J46" s="62"/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130">
        <v>0</v>
      </c>
      <c r="U46" s="130">
        <v>0</v>
      </c>
      <c r="V46" s="18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</row>
    <row r="47" spans="1:66" x14ac:dyDescent="0.25">
      <c r="A47" s="18">
        <f>A46+1</f>
        <v>24</v>
      </c>
      <c r="B47" s="18" t="s">
        <v>457</v>
      </c>
      <c r="C47" s="18"/>
      <c r="D47" s="24">
        <f>SUM(F47:U47)</f>
        <v>0</v>
      </c>
      <c r="E47" s="17"/>
      <c r="F47" s="24">
        <f>IFERROR(F46/$D46,0)</f>
        <v>0</v>
      </c>
      <c r="G47" s="24">
        <f>IFERROR(G46/$D46,0)</f>
        <v>0</v>
      </c>
      <c r="H47" s="24">
        <f>IFERROR(H46/$D46,0)</f>
        <v>0</v>
      </c>
      <c r="I47" s="24"/>
      <c r="J47" s="24"/>
      <c r="K47" s="24">
        <f t="shared" ref="K47:U47" si="11">IFERROR(K46/$D46,0)</f>
        <v>0</v>
      </c>
      <c r="L47" s="24">
        <f t="shared" si="11"/>
        <v>0</v>
      </c>
      <c r="M47" s="24">
        <f t="shared" si="11"/>
        <v>0</v>
      </c>
      <c r="N47" s="24">
        <f t="shared" si="11"/>
        <v>0</v>
      </c>
      <c r="O47" s="24">
        <f t="shared" si="11"/>
        <v>0</v>
      </c>
      <c r="P47" s="24">
        <f t="shared" si="11"/>
        <v>0</v>
      </c>
      <c r="Q47" s="24">
        <f t="shared" si="11"/>
        <v>0</v>
      </c>
      <c r="R47" s="24">
        <f t="shared" si="11"/>
        <v>0</v>
      </c>
      <c r="S47" s="24">
        <f t="shared" si="11"/>
        <v>0</v>
      </c>
      <c r="T47" s="24">
        <f t="shared" si="11"/>
        <v>0</v>
      </c>
      <c r="U47" s="24">
        <f t="shared" si="11"/>
        <v>0</v>
      </c>
      <c r="V47" s="18"/>
      <c r="X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</row>
    <row r="48" spans="1:66" x14ac:dyDescent="0.25">
      <c r="C48" s="18"/>
      <c r="V48" s="18"/>
      <c r="X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</row>
    <row r="49" spans="1:66" x14ac:dyDescent="0.25">
      <c r="A49" s="18">
        <f>A47+1</f>
        <v>25</v>
      </c>
      <c r="B49" s="18"/>
      <c r="C49" s="18" t="s">
        <v>166</v>
      </c>
      <c r="D49" s="8">
        <f>SUM(F49:U49)</f>
        <v>34987.548184254068</v>
      </c>
      <c r="F49" s="62">
        <v>6534.2331674622756</v>
      </c>
      <c r="G49" s="62">
        <v>2576.8848314816091</v>
      </c>
      <c r="H49" s="62">
        <v>6199.8073193104656</v>
      </c>
      <c r="I49" s="62"/>
      <c r="J49" s="62"/>
      <c r="K49" s="62">
        <v>13224.13286599972</v>
      </c>
      <c r="L49" s="62">
        <v>0</v>
      </c>
      <c r="M49" s="62">
        <v>0</v>
      </c>
      <c r="N49" s="62">
        <v>0</v>
      </c>
      <c r="O49" s="62">
        <v>6451.79</v>
      </c>
      <c r="P49" s="62">
        <v>0</v>
      </c>
      <c r="Q49" s="62">
        <v>0.7</v>
      </c>
      <c r="R49" s="62">
        <v>0</v>
      </c>
      <c r="S49" s="62">
        <v>0</v>
      </c>
      <c r="T49" s="130">
        <v>0</v>
      </c>
      <c r="U49" s="130">
        <v>0</v>
      </c>
      <c r="V49" s="18"/>
      <c r="X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</row>
    <row r="50" spans="1:66" x14ac:dyDescent="0.25">
      <c r="A50" s="18">
        <f>A49+1</f>
        <v>26</v>
      </c>
      <c r="B50" s="18" t="s">
        <v>461</v>
      </c>
      <c r="C50" s="18"/>
      <c r="D50" s="24">
        <f>SUM(F50:U50)</f>
        <v>0.99999999999999989</v>
      </c>
      <c r="F50" s="24">
        <f>IFERROR(F49/$D49,0)</f>
        <v>0.18675881868175509</v>
      </c>
      <c r="G50" s="24">
        <f>IFERROR(G49/$D49,0)</f>
        <v>7.3651483605282189E-2</v>
      </c>
      <c r="H50" s="24">
        <f>IFERROR(H49/$D49,0)</f>
        <v>0.1772003938847207</v>
      </c>
      <c r="I50" s="24"/>
      <c r="J50" s="24"/>
      <c r="K50" s="24">
        <f t="shared" ref="K50:U50" si="12">IFERROR(K49/$D49,0)</f>
        <v>0.37796683541120951</v>
      </c>
      <c r="L50" s="24">
        <f t="shared" si="12"/>
        <v>0</v>
      </c>
      <c r="M50" s="24">
        <f t="shared" si="12"/>
        <v>0</v>
      </c>
      <c r="N50" s="24">
        <f t="shared" si="12"/>
        <v>0</v>
      </c>
      <c r="O50" s="24">
        <f t="shared" si="12"/>
        <v>0.18440246129917695</v>
      </c>
      <c r="P50" s="24">
        <f t="shared" si="12"/>
        <v>0</v>
      </c>
      <c r="Q50" s="24">
        <f t="shared" si="12"/>
        <v>2.0007117855575563E-5</v>
      </c>
      <c r="R50" s="24">
        <f t="shared" si="12"/>
        <v>0</v>
      </c>
      <c r="S50" s="24">
        <f t="shared" si="12"/>
        <v>0</v>
      </c>
      <c r="T50" s="24">
        <f t="shared" si="12"/>
        <v>0</v>
      </c>
      <c r="U50" s="24">
        <f t="shared" si="12"/>
        <v>0</v>
      </c>
      <c r="V50" s="18"/>
      <c r="X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</row>
    <row r="51" spans="1:66" x14ac:dyDescent="0.25">
      <c r="C51" s="18"/>
      <c r="V51" s="18"/>
      <c r="X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</row>
    <row r="52" spans="1:66" x14ac:dyDescent="0.25">
      <c r="A52" s="18">
        <f>A50+1</f>
        <v>27</v>
      </c>
      <c r="B52" s="18"/>
      <c r="C52" s="18" t="s">
        <v>166</v>
      </c>
      <c r="D52" s="8">
        <f>SUM(F52:U52)</f>
        <v>74296.060660261355</v>
      </c>
      <c r="F52" s="62">
        <v>41121.435599264623</v>
      </c>
      <c r="G52" s="62">
        <v>12369.060353235927</v>
      </c>
      <c r="H52" s="62">
        <v>6038.7345950666531</v>
      </c>
      <c r="I52" s="62"/>
      <c r="J52" s="62"/>
      <c r="K52" s="62">
        <v>8469.1411265547304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319.48509819332912</v>
      </c>
      <c r="R52" s="62">
        <v>0</v>
      </c>
      <c r="S52" s="62">
        <v>2418.7098734452688</v>
      </c>
      <c r="T52" s="130">
        <v>353.47301450082591</v>
      </c>
      <c r="U52" s="130">
        <v>3206.0210000000002</v>
      </c>
      <c r="V52" s="18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</row>
    <row r="53" spans="1:66" x14ac:dyDescent="0.25">
      <c r="A53" s="18">
        <f>A52+1</f>
        <v>28</v>
      </c>
      <c r="B53" s="18" t="s">
        <v>452</v>
      </c>
      <c r="C53" s="18"/>
      <c r="D53" s="24">
        <f>SUM(F53:U53)</f>
        <v>1.0000000000000002</v>
      </c>
      <c r="E53" s="17"/>
      <c r="F53" s="24">
        <f>IFERROR(F52/$D52,0)</f>
        <v>0.55348069916254927</v>
      </c>
      <c r="G53" s="24">
        <f>IFERROR(G52/$D52,0)</f>
        <v>0.16648339418420541</v>
      </c>
      <c r="H53" s="24">
        <f>IFERROR(H52/$D52,0)</f>
        <v>8.1279337577269212E-2</v>
      </c>
      <c r="I53" s="24"/>
      <c r="J53" s="24"/>
      <c r="K53" s="24">
        <f t="shared" ref="K53:U53" si="13">IFERROR(K52/$D52,0)</f>
        <v>0.11399179244889103</v>
      </c>
      <c r="L53" s="24">
        <f t="shared" si="13"/>
        <v>0</v>
      </c>
      <c r="M53" s="24">
        <f t="shared" si="13"/>
        <v>0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4">
        <f t="shared" si="13"/>
        <v>4.3001620187409443E-3</v>
      </c>
      <c r="R53" s="24">
        <f t="shared" si="13"/>
        <v>0</v>
      </c>
      <c r="S53" s="24">
        <f t="shared" si="13"/>
        <v>3.2555021786491049E-2</v>
      </c>
      <c r="T53" s="24">
        <f t="shared" si="13"/>
        <v>4.7576279463480029E-3</v>
      </c>
      <c r="U53" s="24">
        <f t="shared" si="13"/>
        <v>4.3151964875505183E-2</v>
      </c>
      <c r="V53" s="18"/>
      <c r="X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</row>
    <row r="54" spans="1:66" x14ac:dyDescent="0.25">
      <c r="B54" s="18"/>
      <c r="C54" s="18"/>
      <c r="V54" s="18"/>
      <c r="X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</row>
    <row r="55" spans="1:66" x14ac:dyDescent="0.25">
      <c r="A55" s="18">
        <f>A53+1</f>
        <v>29</v>
      </c>
      <c r="B55" s="18"/>
      <c r="C55" s="18" t="s">
        <v>166</v>
      </c>
      <c r="D55" s="8">
        <f>SUM(F55:U55)</f>
        <v>2791.079804372167</v>
      </c>
      <c r="F55" s="62">
        <v>1144.8065897720057</v>
      </c>
      <c r="G55" s="62">
        <v>474.80683915505051</v>
      </c>
      <c r="H55" s="62">
        <v>463.68574024181163</v>
      </c>
      <c r="I55" s="62"/>
      <c r="J55" s="62"/>
      <c r="K55" s="62">
        <v>349.48414003695706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45.7088292719558</v>
      </c>
      <c r="R55" s="62">
        <v>0.76852167440007557</v>
      </c>
      <c r="S55" s="62">
        <v>180.2888137984184</v>
      </c>
      <c r="T55" s="130">
        <v>31.841204331189093</v>
      </c>
      <c r="U55" s="130">
        <v>99.689126090378352</v>
      </c>
      <c r="V55" s="18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</row>
    <row r="56" spans="1:66" x14ac:dyDescent="0.25">
      <c r="A56" s="18">
        <f>A55+1</f>
        <v>30</v>
      </c>
      <c r="B56" s="18" t="s">
        <v>454</v>
      </c>
      <c r="C56" s="18"/>
      <c r="D56" s="24">
        <f>SUM(F56:U56)</f>
        <v>0.99999999999999989</v>
      </c>
      <c r="E56" s="17"/>
      <c r="F56" s="24">
        <f>IFERROR(F55/$D55,0)</f>
        <v>0.41016619731857562</v>
      </c>
      <c r="G56" s="24">
        <f>IFERROR(G55/$D55,0)</f>
        <v>0.1701158234211991</v>
      </c>
      <c r="H56" s="24">
        <f>IFERROR(H55/$D55,0)</f>
        <v>0.16613130857650785</v>
      </c>
      <c r="I56" s="24"/>
      <c r="J56" s="24"/>
      <c r="K56" s="24">
        <f t="shared" ref="K56:U56" si="14">IFERROR(K55/$D55,0)</f>
        <v>0.12521467121416507</v>
      </c>
      <c r="L56" s="24">
        <f t="shared" si="14"/>
        <v>0</v>
      </c>
      <c r="M56" s="24">
        <f t="shared" si="14"/>
        <v>0</v>
      </c>
      <c r="N56" s="24">
        <f t="shared" si="14"/>
        <v>0</v>
      </c>
      <c r="O56" s="24">
        <f t="shared" si="14"/>
        <v>0</v>
      </c>
      <c r="P56" s="24">
        <f t="shared" si="14"/>
        <v>0</v>
      </c>
      <c r="Q56" s="24">
        <f t="shared" si="14"/>
        <v>1.6376754688401919E-2</v>
      </c>
      <c r="R56" s="24">
        <f t="shared" si="14"/>
        <v>2.7534922978418699E-4</v>
      </c>
      <c r="S56" s="24">
        <f t="shared" si="14"/>
        <v>6.4594646672588796E-2</v>
      </c>
      <c r="T56" s="24">
        <f t="shared" si="14"/>
        <v>1.1408202761279174E-2</v>
      </c>
      <c r="U56" s="24">
        <f t="shared" si="14"/>
        <v>3.5717046117498132E-2</v>
      </c>
      <c r="V56" s="18"/>
      <c r="X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66" x14ac:dyDescent="0.25">
      <c r="C57" s="18"/>
      <c r="V57" s="18"/>
      <c r="X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</row>
    <row r="58" spans="1:66" x14ac:dyDescent="0.25">
      <c r="A58" s="18">
        <f>A56+1</f>
        <v>31</v>
      </c>
      <c r="B58" s="18"/>
      <c r="C58" s="18" t="s">
        <v>166</v>
      </c>
      <c r="D58" s="8">
        <f>SUM(F58:U58)</f>
        <v>3882273.46879812</v>
      </c>
      <c r="E58" s="127"/>
      <c r="F58" s="62">
        <v>3057016.7994898367</v>
      </c>
      <c r="G58" s="62">
        <v>712317.1393682831</v>
      </c>
      <c r="H58" s="62">
        <v>93109.967639999988</v>
      </c>
      <c r="I58" s="62"/>
      <c r="J58" s="62"/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1860.2217000000003</v>
      </c>
      <c r="R58" s="62">
        <v>2174.0189</v>
      </c>
      <c r="S58" s="62">
        <v>0</v>
      </c>
      <c r="T58" s="130">
        <v>15795.3217</v>
      </c>
      <c r="U58" s="130">
        <v>0</v>
      </c>
      <c r="V58" s="18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</row>
    <row r="59" spans="1:66" x14ac:dyDescent="0.25">
      <c r="A59" s="18">
        <f>A58+1</f>
        <v>32</v>
      </c>
      <c r="B59" s="18" t="s">
        <v>445</v>
      </c>
      <c r="C59" s="18"/>
      <c r="D59" s="24">
        <f>SUM(F59:U59)</f>
        <v>0.99999999999999989</v>
      </c>
      <c r="E59" s="17"/>
      <c r="F59" s="24">
        <f>IFERROR(F58/$D58,0)</f>
        <v>0.78742953685749306</v>
      </c>
      <c r="G59" s="24">
        <f>IFERROR(G58/$D58,0)</f>
        <v>0.18347938265894578</v>
      </c>
      <c r="H59" s="24">
        <f>IFERROR(H58/$D58,0)</f>
        <v>2.3983361395925853E-2</v>
      </c>
      <c r="I59" s="24"/>
      <c r="J59" s="24"/>
      <c r="K59" s="24">
        <f t="shared" ref="K59:U59" si="15">IFERROR(K58/$D58,0)</f>
        <v>0</v>
      </c>
      <c r="L59" s="24">
        <f t="shared" si="15"/>
        <v>0</v>
      </c>
      <c r="M59" s="24">
        <f t="shared" si="15"/>
        <v>0</v>
      </c>
      <c r="N59" s="24">
        <f t="shared" si="15"/>
        <v>0</v>
      </c>
      <c r="O59" s="24">
        <f t="shared" si="15"/>
        <v>0</v>
      </c>
      <c r="P59" s="24">
        <f t="shared" si="15"/>
        <v>0</v>
      </c>
      <c r="Q59" s="24">
        <f t="shared" si="15"/>
        <v>4.7915782207271721E-4</v>
      </c>
      <c r="R59" s="24">
        <f t="shared" si="15"/>
        <v>5.599860281540229E-4</v>
      </c>
      <c r="S59" s="24">
        <f t="shared" si="15"/>
        <v>0</v>
      </c>
      <c r="T59" s="24">
        <f t="shared" si="15"/>
        <v>4.0685752374084918E-3</v>
      </c>
      <c r="U59" s="24">
        <f t="shared" si="15"/>
        <v>0</v>
      </c>
      <c r="V59" s="18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</row>
    <row r="60" spans="1:66" x14ac:dyDescent="0.25">
      <c r="C60" s="18"/>
      <c r="V60" s="18"/>
      <c r="X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</row>
    <row r="61" spans="1:66" x14ac:dyDescent="0.25">
      <c r="A61" s="18">
        <f>A59+1</f>
        <v>33</v>
      </c>
      <c r="B61" s="18"/>
      <c r="C61" s="18" t="s">
        <v>166</v>
      </c>
      <c r="D61" s="8">
        <f>SUM(F61:U61)</f>
        <v>1143.6410668050291</v>
      </c>
      <c r="F61" s="62">
        <v>313.86637493216097</v>
      </c>
      <c r="G61" s="62">
        <v>130.17561457981529</v>
      </c>
      <c r="H61" s="62">
        <v>127.10182529547711</v>
      </c>
      <c r="I61" s="62"/>
      <c r="J61" s="62"/>
      <c r="K61" s="62">
        <v>380.87397611807296</v>
      </c>
      <c r="L61" s="62">
        <v>7.6844490038515829</v>
      </c>
      <c r="M61" s="62">
        <v>0</v>
      </c>
      <c r="N61" s="62">
        <v>0</v>
      </c>
      <c r="O61" s="62">
        <v>138.31461756076686</v>
      </c>
      <c r="P61" s="62">
        <v>0</v>
      </c>
      <c r="Q61" s="62">
        <v>12.535786700435995</v>
      </c>
      <c r="R61" s="62">
        <v>0.21067612777464276</v>
      </c>
      <c r="S61" s="62">
        <v>0</v>
      </c>
      <c r="T61" s="130">
        <v>8.7286824244907013</v>
      </c>
      <c r="U61" s="130">
        <v>24.149064062183303</v>
      </c>
      <c r="V61" s="18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</row>
    <row r="62" spans="1:66" x14ac:dyDescent="0.25">
      <c r="A62" s="18">
        <f>A61+1</f>
        <v>34</v>
      </c>
      <c r="B62" s="18" t="s">
        <v>449</v>
      </c>
      <c r="C62" s="18"/>
      <c r="D62" s="24">
        <f>SUM(F62:U62)</f>
        <v>1</v>
      </c>
      <c r="E62" s="17"/>
      <c r="F62" s="24">
        <f>IFERROR(F61/$D61,0)</f>
        <v>0.27444482717729279</v>
      </c>
      <c r="G62" s="24">
        <f>IFERROR(G61/$D61,0)</f>
        <v>0.11382558597994799</v>
      </c>
      <c r="H62" s="24">
        <f>IFERROR(H61/$D61,0)</f>
        <v>0.1111378639546054</v>
      </c>
      <c r="I62" s="24"/>
      <c r="J62" s="24"/>
      <c r="K62" s="24">
        <f t="shared" ref="K62:U62" si="16">IFERROR(K61/$D61,0)</f>
        <v>0.33303628837159038</v>
      </c>
      <c r="L62" s="24">
        <f t="shared" si="16"/>
        <v>6.719283896755736E-3</v>
      </c>
      <c r="M62" s="24">
        <f t="shared" si="16"/>
        <v>0</v>
      </c>
      <c r="N62" s="24">
        <f t="shared" si="16"/>
        <v>0</v>
      </c>
      <c r="O62" s="24">
        <f t="shared" si="16"/>
        <v>0.12094233197411675</v>
      </c>
      <c r="P62" s="24">
        <f t="shared" si="16"/>
        <v>0</v>
      </c>
      <c r="Q62" s="24">
        <f t="shared" si="16"/>
        <v>1.096129464418151E-2</v>
      </c>
      <c r="R62" s="24">
        <f t="shared" si="16"/>
        <v>1.8421525239838154E-4</v>
      </c>
      <c r="S62" s="24">
        <f t="shared" si="16"/>
        <v>0</v>
      </c>
      <c r="T62" s="24">
        <f t="shared" si="16"/>
        <v>7.6323618291146847E-3</v>
      </c>
      <c r="U62" s="24">
        <f t="shared" si="16"/>
        <v>2.1115946919996621E-2</v>
      </c>
      <c r="V62" s="18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</row>
    <row r="63" spans="1:66" x14ac:dyDescent="0.25">
      <c r="B63" s="18"/>
      <c r="C63" s="18"/>
      <c r="V63" s="18"/>
      <c r="X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</row>
    <row r="64" spans="1:66" x14ac:dyDescent="0.25">
      <c r="A64" s="18">
        <f>A62+1</f>
        <v>35</v>
      </c>
      <c r="B64" s="18"/>
      <c r="C64" s="18" t="s">
        <v>166</v>
      </c>
      <c r="D64" s="8">
        <f>SUM(F64:U64)</f>
        <v>121.83718088835882</v>
      </c>
      <c r="F64" s="62">
        <v>33.437584052674183</v>
      </c>
      <c r="G64" s="62">
        <v>13.868188508762358</v>
      </c>
      <c r="H64" s="62">
        <v>13.540724034183066</v>
      </c>
      <c r="I64" s="62"/>
      <c r="J64" s="62"/>
      <c r="K64" s="62">
        <v>40.576202508717074</v>
      </c>
      <c r="L64" s="62">
        <v>0.8186586075692649</v>
      </c>
      <c r="M64" s="62">
        <v>0</v>
      </c>
      <c r="N64" s="62">
        <v>0</v>
      </c>
      <c r="O64" s="62">
        <v>14.735272777790401</v>
      </c>
      <c r="P64" s="62">
        <v>0</v>
      </c>
      <c r="Q64" s="62">
        <v>1.335493238333741</v>
      </c>
      <c r="R64" s="62">
        <v>2.2444267028856279E-2</v>
      </c>
      <c r="S64" s="62">
        <v>0</v>
      </c>
      <c r="T64" s="130">
        <v>0.92990544877925074</v>
      </c>
      <c r="U64" s="130">
        <v>2.5727074445206108</v>
      </c>
      <c r="V64" s="18"/>
    </row>
    <row r="65" spans="1:66" x14ac:dyDescent="0.25">
      <c r="A65" s="18">
        <f>A64+1</f>
        <v>36</v>
      </c>
      <c r="B65" s="18" t="s">
        <v>450</v>
      </c>
      <c r="C65" s="18"/>
      <c r="D65" s="24">
        <f>SUM(F65:U65)</f>
        <v>0.99999999999999989</v>
      </c>
      <c r="E65" s="17"/>
      <c r="F65" s="24">
        <f>IFERROR(F64/$D64,0)</f>
        <v>0.27444482717729268</v>
      </c>
      <c r="G65" s="24">
        <f>IFERROR(G64/$D64,0)</f>
        <v>0.11382558597994796</v>
      </c>
      <c r="H65" s="24">
        <f>IFERROR(H64/$D64,0)</f>
        <v>0.11113786395460536</v>
      </c>
      <c r="I65" s="24"/>
      <c r="J65" s="24"/>
      <c r="K65" s="24">
        <f t="shared" ref="K65:U65" si="17">IFERROR(K64/$D64,0)</f>
        <v>0.33303628837159027</v>
      </c>
      <c r="L65" s="24">
        <f t="shared" si="17"/>
        <v>6.7192838967557343E-3</v>
      </c>
      <c r="M65" s="24">
        <f t="shared" si="17"/>
        <v>0</v>
      </c>
      <c r="N65" s="24">
        <f t="shared" si="17"/>
        <v>0</v>
      </c>
      <c r="O65" s="24">
        <f t="shared" si="17"/>
        <v>0.12094233197411672</v>
      </c>
      <c r="P65" s="24">
        <f t="shared" si="17"/>
        <v>0</v>
      </c>
      <c r="Q65" s="24">
        <f t="shared" si="17"/>
        <v>1.0961294644181507E-2</v>
      </c>
      <c r="R65" s="24">
        <f t="shared" si="17"/>
        <v>1.8421525239838146E-4</v>
      </c>
      <c r="S65" s="24">
        <f t="shared" si="17"/>
        <v>0</v>
      </c>
      <c r="T65" s="24">
        <f t="shared" si="17"/>
        <v>7.632361829114683E-3</v>
      </c>
      <c r="U65" s="24">
        <f t="shared" si="17"/>
        <v>2.1115946919996617E-2</v>
      </c>
      <c r="V65" s="18"/>
      <c r="X65" s="8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x14ac:dyDescent="0.25">
      <c r="C66" s="18"/>
      <c r="V66" s="18"/>
      <c r="X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</row>
    <row r="67" spans="1:66" x14ac:dyDescent="0.25">
      <c r="A67" s="18">
        <f>A65+1</f>
        <v>37</v>
      </c>
      <c r="C67" s="18" t="s">
        <v>166</v>
      </c>
      <c r="D67" s="8">
        <f>SUM(F67:U67)</f>
        <v>207.74093923547645</v>
      </c>
      <c r="F67" s="62">
        <v>57.01659677753586</v>
      </c>
      <c r="G67" s="62">
        <v>23.647549146892445</v>
      </c>
      <c r="H67" s="62">
        <v>23.08706930507504</v>
      </c>
      <c r="I67" s="62"/>
      <c r="J67" s="62"/>
      <c r="K67" s="62">
        <v>69.182829300498</v>
      </c>
      <c r="L67" s="62">
        <v>1.3958210825232042</v>
      </c>
      <c r="M67" s="62">
        <v>0</v>
      </c>
      <c r="N67" s="62">
        <v>0</v>
      </c>
      <c r="O67" s="62">
        <v>25.123786804594342</v>
      </c>
      <c r="P67" s="62">
        <v>0</v>
      </c>
      <c r="Q67" s="62">
        <v>2.2770292683547528</v>
      </c>
      <c r="R67" s="62">
        <v>3.8267698746521688E-2</v>
      </c>
      <c r="S67" s="62">
        <v>0</v>
      </c>
      <c r="T67" s="130">
        <v>1.5854980503208396</v>
      </c>
      <c r="U67" s="130">
        <v>4.3864918009354144</v>
      </c>
      <c r="V67" s="18"/>
    </row>
    <row r="68" spans="1:66" x14ac:dyDescent="0.25">
      <c r="A68" s="18">
        <f>A67+1</f>
        <v>38</v>
      </c>
      <c r="B68" s="18" t="s">
        <v>463</v>
      </c>
      <c r="C68" s="18"/>
      <c r="D68" s="24">
        <f>SUM(F68:U68)</f>
        <v>0.99999999999999989</v>
      </c>
      <c r="E68" s="17"/>
      <c r="F68" s="24">
        <f>IFERROR(F67/$D67,0)</f>
        <v>0.27446008951036355</v>
      </c>
      <c r="G68" s="24">
        <f>IFERROR(G67/$D67,0)</f>
        <v>0.11383191601000567</v>
      </c>
      <c r="H68" s="24">
        <f>IFERROR(H67/$D67,0)</f>
        <v>0.11113394110010071</v>
      </c>
      <c r="I68" s="24"/>
      <c r="J68" s="24"/>
      <c r="K68" s="24">
        <f t="shared" ref="K68:U68" si="18">IFERROR(K67/$D67,0)</f>
        <v>0.33302453312815039</v>
      </c>
      <c r="L68" s="24">
        <f t="shared" si="18"/>
        <v>6.7190467495722014E-3</v>
      </c>
      <c r="M68" s="24">
        <f t="shared" si="18"/>
        <v>0</v>
      </c>
      <c r="N68" s="24">
        <f t="shared" si="18"/>
        <v>0</v>
      </c>
      <c r="O68" s="24">
        <f t="shared" si="18"/>
        <v>0.12093806303684936</v>
      </c>
      <c r="P68" s="24">
        <f t="shared" si="18"/>
        <v>0</v>
      </c>
      <c r="Q68" s="24">
        <f t="shared" si="18"/>
        <v>1.0960907737948163E-2</v>
      </c>
      <c r="R68" s="24">
        <f t="shared" si="18"/>
        <v>1.8420875002950123E-4</v>
      </c>
      <c r="S68" s="24">
        <f t="shared" si="18"/>
        <v>0</v>
      </c>
      <c r="T68" s="24">
        <f t="shared" si="18"/>
        <v>7.6320924327951635E-3</v>
      </c>
      <c r="U68" s="24">
        <f t="shared" si="18"/>
        <v>2.111520154418519E-2</v>
      </c>
      <c r="V68" s="18"/>
      <c r="X68" s="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66" x14ac:dyDescent="0.25">
      <c r="V69" s="18"/>
      <c r="X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</row>
    <row r="70" spans="1:66" x14ac:dyDescent="0.25">
      <c r="V70" s="18"/>
      <c r="X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</row>
    <row r="71" spans="1:66" x14ac:dyDescent="0.25">
      <c r="V71" s="18"/>
      <c r="X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</row>
    <row r="72" spans="1:66" x14ac:dyDescent="0.25">
      <c r="V72" s="18"/>
      <c r="X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</row>
    <row r="73" spans="1:66" x14ac:dyDescent="0.25">
      <c r="V73" s="18"/>
      <c r="X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</row>
    <row r="74" spans="1:66" x14ac:dyDescent="0.25">
      <c r="V74" s="18"/>
      <c r="X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</row>
    <row r="75" spans="1:66" x14ac:dyDescent="0.25">
      <c r="V75" s="18"/>
      <c r="X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</row>
    <row r="76" spans="1:66" x14ac:dyDescent="0.25">
      <c r="V76" s="18"/>
      <c r="X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</row>
    <row r="77" spans="1:66" x14ac:dyDescent="0.25">
      <c r="V77" s="18"/>
      <c r="X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</row>
    <row r="78" spans="1:66" x14ac:dyDescent="0.25">
      <c r="V78" s="18"/>
      <c r="X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</row>
    <row r="79" spans="1:66" x14ac:dyDescent="0.25">
      <c r="V79" s="18"/>
      <c r="X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</row>
    <row r="80" spans="1:66" x14ac:dyDescent="0.25">
      <c r="V80" s="18"/>
      <c r="X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</row>
    <row r="81" spans="22:66" x14ac:dyDescent="0.25">
      <c r="V81" s="18"/>
      <c r="X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</row>
    <row r="82" spans="22:66" x14ac:dyDescent="0.25">
      <c r="V82" s="18"/>
      <c r="X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</row>
    <row r="83" spans="22:66" x14ac:dyDescent="0.25">
      <c r="V83" s="18"/>
      <c r="X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</row>
    <row r="84" spans="22:66" x14ac:dyDescent="0.25">
      <c r="V84" s="18"/>
      <c r="X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</row>
    <row r="85" spans="22:66" x14ac:dyDescent="0.25">
      <c r="V85" s="18"/>
      <c r="X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</row>
    <row r="86" spans="22:66" x14ac:dyDescent="0.25">
      <c r="V86" s="18"/>
      <c r="X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</row>
    <row r="87" spans="22:66" x14ac:dyDescent="0.25">
      <c r="V87" s="18"/>
      <c r="X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</row>
    <row r="88" spans="22:66" x14ac:dyDescent="0.25">
      <c r="V88" s="18"/>
      <c r="X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</row>
    <row r="89" spans="22:66" x14ac:dyDescent="0.25">
      <c r="V89" s="18"/>
      <c r="X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</row>
    <row r="90" spans="22:66" x14ac:dyDescent="0.25">
      <c r="V90" s="18"/>
      <c r="X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</row>
    <row r="91" spans="22:66" x14ac:dyDescent="0.25">
      <c r="V91" s="18"/>
      <c r="X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</row>
    <row r="92" spans="22:66" x14ac:dyDescent="0.25">
      <c r="V92" s="18"/>
      <c r="X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</row>
    <row r="93" spans="22:66" x14ac:dyDescent="0.25">
      <c r="V93" s="18"/>
      <c r="X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</row>
    <row r="94" spans="22:66" x14ac:dyDescent="0.25">
      <c r="V94" s="18"/>
      <c r="X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</row>
    <row r="95" spans="22:66" x14ac:dyDescent="0.25">
      <c r="V95" s="18"/>
      <c r="X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</row>
    <row r="96" spans="22:66" x14ac:dyDescent="0.25">
      <c r="V96" s="18"/>
      <c r="X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</row>
    <row r="97" spans="22:66" x14ac:dyDescent="0.25">
      <c r="V97" s="18"/>
      <c r="X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</row>
    <row r="98" spans="22:66" x14ac:dyDescent="0.25">
      <c r="V98" s="18"/>
      <c r="X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</row>
    <row r="99" spans="22:66" x14ac:dyDescent="0.25">
      <c r="V99" s="18"/>
      <c r="X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</row>
    <row r="100" spans="22:66" x14ac:dyDescent="0.25">
      <c r="V100" s="18"/>
      <c r="X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</row>
    <row r="101" spans="22:66" x14ac:dyDescent="0.25">
      <c r="V101" s="18"/>
      <c r="X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</row>
    <row r="102" spans="22:66" x14ac:dyDescent="0.25">
      <c r="V102" s="18"/>
      <c r="X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</row>
    <row r="103" spans="22:66" x14ac:dyDescent="0.25">
      <c r="V103" s="18"/>
      <c r="X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</row>
    <row r="104" spans="22:66" x14ac:dyDescent="0.25">
      <c r="V104" s="18"/>
      <c r="X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</row>
    <row r="105" spans="22:66" x14ac:dyDescent="0.25">
      <c r="V105" s="18"/>
      <c r="X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</row>
    <row r="106" spans="22:66" x14ac:dyDescent="0.25">
      <c r="V106" s="18"/>
      <c r="X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</row>
    <row r="107" spans="22:66" x14ac:dyDescent="0.25">
      <c r="V107" s="18"/>
      <c r="X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</row>
    <row r="108" spans="22:66" x14ac:dyDescent="0.25">
      <c r="V108" s="18"/>
      <c r="X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</row>
    <row r="109" spans="22:66" x14ac:dyDescent="0.25">
      <c r="V109" s="18"/>
      <c r="X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</row>
    <row r="110" spans="22:66" x14ac:dyDescent="0.25">
      <c r="V110" s="18"/>
      <c r="X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</row>
    <row r="111" spans="22:66" x14ac:dyDescent="0.25">
      <c r="V111" s="18"/>
      <c r="X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</row>
    <row r="112" spans="22:66" x14ac:dyDescent="0.25">
      <c r="V112" s="18"/>
      <c r="X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</row>
    <row r="113" spans="2:66" x14ac:dyDescent="0.25">
      <c r="V113" s="18"/>
      <c r="X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</row>
    <row r="114" spans="2:66" x14ac:dyDescent="0.25">
      <c r="V114" s="18"/>
      <c r="X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</row>
    <row r="115" spans="2:66" x14ac:dyDescent="0.25">
      <c r="V115" s="18"/>
      <c r="X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</row>
    <row r="116" spans="2:66" x14ac:dyDescent="0.25">
      <c r="V116" s="18"/>
      <c r="X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</row>
    <row r="117" spans="2:66" x14ac:dyDescent="0.25">
      <c r="B117" s="18"/>
      <c r="C117" s="18"/>
      <c r="D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V117" s="18"/>
    </row>
    <row r="118" spans="2:66" x14ac:dyDescent="0.25">
      <c r="B118" s="18"/>
      <c r="D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V118" s="18"/>
      <c r="X118" s="8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</row>
    <row r="119" spans="2:66" x14ac:dyDescent="0.25">
      <c r="C119" s="18"/>
      <c r="V119" s="18"/>
      <c r="X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</row>
    <row r="120" spans="2:66" x14ac:dyDescent="0.25">
      <c r="B120" s="18"/>
      <c r="D120" s="8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53"/>
      <c r="U120" s="128"/>
      <c r="V120" s="18"/>
    </row>
    <row r="121" spans="2:66" x14ac:dyDescent="0.25">
      <c r="B121" s="18"/>
      <c r="D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18"/>
      <c r="X121" s="8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</row>
    <row r="122" spans="2:66" x14ac:dyDescent="0.25">
      <c r="V122" s="18"/>
      <c r="X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</row>
    <row r="123" spans="2:66" x14ac:dyDescent="0.25">
      <c r="B123" s="18"/>
      <c r="C123" s="18"/>
      <c r="D123" s="8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128"/>
      <c r="U123" s="128"/>
      <c r="V123" s="18"/>
    </row>
    <row r="124" spans="2:66" x14ac:dyDescent="0.25">
      <c r="B124" s="18"/>
      <c r="D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18"/>
      <c r="X124" s="8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</row>
    <row r="125" spans="2:66" x14ac:dyDescent="0.25">
      <c r="B125" s="18"/>
      <c r="V125" s="18"/>
      <c r="X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</row>
    <row r="126" spans="2:66" x14ac:dyDescent="0.25">
      <c r="B126" s="18"/>
      <c r="C126" s="18"/>
      <c r="D126" s="8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V126" s="18"/>
      <c r="X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</row>
    <row r="127" spans="2:66" x14ac:dyDescent="0.25">
      <c r="B127" s="18"/>
      <c r="D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18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</row>
    <row r="128" spans="2:66" x14ac:dyDescent="0.25">
      <c r="V128" s="18"/>
      <c r="X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</row>
    <row r="129" spans="2:66" x14ac:dyDescent="0.25">
      <c r="B129" s="18"/>
      <c r="C129" s="18"/>
      <c r="D129" s="8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V129" s="18"/>
    </row>
    <row r="130" spans="2:66" x14ac:dyDescent="0.25">
      <c r="B130" s="18"/>
      <c r="D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V130" s="18"/>
      <c r="X130" s="8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</row>
    <row r="131" spans="2:66" x14ac:dyDescent="0.25">
      <c r="C131" s="18"/>
      <c r="V131" s="18"/>
      <c r="X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</row>
    <row r="132" spans="2:66" x14ac:dyDescent="0.25">
      <c r="B132" s="18"/>
      <c r="C132" s="18"/>
      <c r="D132" s="8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V132" s="18"/>
    </row>
    <row r="133" spans="2:66" x14ac:dyDescent="0.25">
      <c r="B133" s="18"/>
      <c r="C133" s="18"/>
      <c r="D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V133" s="18"/>
      <c r="X133" s="8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</row>
    <row r="134" spans="2:66" x14ac:dyDescent="0.25">
      <c r="V134" s="18"/>
      <c r="X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</row>
    <row r="135" spans="2:66" x14ac:dyDescent="0.25">
      <c r="B135" s="18"/>
      <c r="D135" s="8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18"/>
    </row>
    <row r="136" spans="2:66" x14ac:dyDescent="0.25">
      <c r="B136" s="18"/>
      <c r="D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18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</row>
    <row r="137" spans="2:66" x14ac:dyDescent="0.25">
      <c r="V137" s="18"/>
      <c r="X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</row>
    <row r="138" spans="2:66" x14ac:dyDescent="0.25">
      <c r="B138" s="18"/>
      <c r="C138" s="18"/>
      <c r="D138" s="8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V138" s="18"/>
    </row>
    <row r="139" spans="2:66" x14ac:dyDescent="0.25">
      <c r="B139" s="18"/>
      <c r="D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V139" s="18"/>
      <c r="X139" s="8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22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BL139" s="119"/>
      <c r="BM139" s="119"/>
      <c r="BN139" s="119"/>
    </row>
    <row r="140" spans="2:66" x14ac:dyDescent="0.25">
      <c r="V140" s="18"/>
      <c r="X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</row>
    <row r="141" spans="2:66" x14ac:dyDescent="0.25">
      <c r="B141" s="18"/>
      <c r="C141" s="18"/>
      <c r="D141" s="8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128"/>
      <c r="U141" s="128"/>
      <c r="V141" s="18"/>
    </row>
    <row r="142" spans="2:66" x14ac:dyDescent="0.25">
      <c r="B142" s="18"/>
      <c r="D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18"/>
      <c r="X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22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</row>
    <row r="143" spans="2:66" x14ac:dyDescent="0.25">
      <c r="V143" s="18"/>
      <c r="X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</row>
    <row r="144" spans="2:66" x14ac:dyDescent="0.25">
      <c r="B144" s="18"/>
      <c r="C144" s="18"/>
      <c r="D144" s="8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V144" s="18"/>
    </row>
    <row r="145" spans="2:66" x14ac:dyDescent="0.25">
      <c r="B145" s="18"/>
      <c r="D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V145" s="18"/>
      <c r="X145" s="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</row>
    <row r="146" spans="2:66" x14ac:dyDescent="0.25">
      <c r="V146" s="18"/>
      <c r="X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</row>
    <row r="147" spans="2:66" x14ac:dyDescent="0.25">
      <c r="B147" s="18"/>
      <c r="C147" s="18"/>
      <c r="D147" s="8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V147" s="18"/>
    </row>
    <row r="148" spans="2:66" x14ac:dyDescent="0.25">
      <c r="B148" s="18"/>
      <c r="D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V148" s="18"/>
      <c r="X148" s="8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</row>
    <row r="149" spans="2:66" x14ac:dyDescent="0.25">
      <c r="B149" s="18"/>
      <c r="V149" s="18"/>
      <c r="X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</row>
    <row r="150" spans="2:66" x14ac:dyDescent="0.25">
      <c r="B150" s="18"/>
      <c r="C150" s="18"/>
      <c r="D150" s="8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V150" s="18"/>
    </row>
    <row r="151" spans="2:66" x14ac:dyDescent="0.25">
      <c r="B151" s="18"/>
      <c r="D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V151" s="18"/>
      <c r="X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22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</row>
    <row r="152" spans="2:66" x14ac:dyDescent="0.25">
      <c r="B152" s="18"/>
      <c r="V152" s="18"/>
      <c r="X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</row>
    <row r="153" spans="2:66" x14ac:dyDescent="0.25">
      <c r="B153" s="18"/>
      <c r="C153" s="18"/>
      <c r="D153" s="8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V153" s="18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</row>
    <row r="154" spans="2:66" x14ac:dyDescent="0.25">
      <c r="B154" s="18"/>
      <c r="D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V154" s="18"/>
      <c r="X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22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</row>
    <row r="155" spans="2:66" x14ac:dyDescent="0.25">
      <c r="B155" s="18"/>
      <c r="V155" s="18"/>
      <c r="X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</row>
    <row r="156" spans="2:66" x14ac:dyDescent="0.25">
      <c r="B156" s="18"/>
      <c r="C156" s="18"/>
      <c r="D156" s="8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128"/>
      <c r="U156" s="128"/>
      <c r="V156" s="18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</row>
    <row r="157" spans="2:66" x14ac:dyDescent="0.25">
      <c r="B157" s="18"/>
      <c r="D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18"/>
      <c r="X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</row>
    <row r="158" spans="2:66" x14ac:dyDescent="0.25">
      <c r="B158" s="18"/>
      <c r="V158" s="18"/>
      <c r="X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</row>
    <row r="159" spans="2:66" x14ac:dyDescent="0.25">
      <c r="B159" s="18"/>
      <c r="C159" s="18"/>
      <c r="D159" s="8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V159" s="18"/>
    </row>
    <row r="160" spans="2:66" x14ac:dyDescent="0.25">
      <c r="B160" s="18"/>
      <c r="C160" s="18"/>
      <c r="D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V160" s="18"/>
      <c r="X160" s="8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</row>
    <row r="161" spans="2:66" x14ac:dyDescent="0.25">
      <c r="B161" s="18"/>
      <c r="V161" s="18"/>
      <c r="X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</row>
    <row r="162" spans="2:66" x14ac:dyDescent="0.25">
      <c r="B162" s="18"/>
      <c r="C162" s="18"/>
      <c r="D162" s="8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V162" s="18"/>
    </row>
    <row r="163" spans="2:66" x14ac:dyDescent="0.25">
      <c r="B163" s="18"/>
      <c r="D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V163" s="18"/>
      <c r="X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22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</row>
    <row r="164" spans="2:66" x14ac:dyDescent="0.25">
      <c r="B164" s="18"/>
      <c r="V164" s="18"/>
      <c r="X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</row>
    <row r="165" spans="2:66" x14ac:dyDescent="0.25">
      <c r="B165" s="18"/>
      <c r="C165" s="18"/>
      <c r="D165" s="8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V165" s="18"/>
    </row>
    <row r="166" spans="2:66" x14ac:dyDescent="0.25">
      <c r="B166" s="18"/>
      <c r="D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V166" s="18"/>
      <c r="X166" s="8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22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</row>
    <row r="167" spans="2:66" x14ac:dyDescent="0.25">
      <c r="B167" s="18"/>
      <c r="V167" s="18"/>
      <c r="X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</row>
    <row r="168" spans="2:66" x14ac:dyDescent="0.25">
      <c r="B168" s="18"/>
      <c r="C168" s="18"/>
      <c r="D168" s="8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128"/>
      <c r="U168" s="128"/>
      <c r="V168" s="18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</row>
    <row r="169" spans="2:66" x14ac:dyDescent="0.25">
      <c r="B169" s="18"/>
      <c r="D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18"/>
      <c r="X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</row>
    <row r="170" spans="2:66" x14ac:dyDescent="0.25">
      <c r="B170" s="18"/>
    </row>
    <row r="171" spans="2:66" x14ac:dyDescent="0.25">
      <c r="B171" s="18"/>
      <c r="C171" s="18"/>
      <c r="D171" s="8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2:66" x14ac:dyDescent="0.25">
      <c r="B172" s="18"/>
      <c r="D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</row>
    <row r="173" spans="2:66" x14ac:dyDescent="0.25">
      <c r="B173" s="18"/>
      <c r="V173" s="18"/>
      <c r="X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</row>
    <row r="174" spans="2:66" x14ac:dyDescent="0.25">
      <c r="B174" s="18"/>
      <c r="C174" s="18"/>
      <c r="D174" s="8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128"/>
      <c r="U174" s="128"/>
      <c r="V174" s="18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</row>
    <row r="175" spans="2:66" x14ac:dyDescent="0.25">
      <c r="B175" s="18"/>
      <c r="D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18"/>
      <c r="X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</row>
    <row r="176" spans="2:66" x14ac:dyDescent="0.25">
      <c r="B176" s="18"/>
      <c r="V176" s="18"/>
      <c r="X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</row>
    <row r="177" spans="2:66" x14ac:dyDescent="0.25">
      <c r="B177" s="18"/>
      <c r="C177" s="18"/>
      <c r="D177" s="130"/>
      <c r="E177" s="127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18"/>
    </row>
    <row r="178" spans="2:66" x14ac:dyDescent="0.25">
      <c r="B178" s="18"/>
      <c r="C178" s="18"/>
      <c r="D178" s="129"/>
      <c r="E178" s="127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8"/>
      <c r="X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22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</row>
    <row r="179" spans="2:66" x14ac:dyDescent="0.25">
      <c r="B179" s="18"/>
      <c r="V179" s="18"/>
      <c r="X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</row>
    <row r="180" spans="2:66" x14ac:dyDescent="0.25">
      <c r="B180" s="18"/>
      <c r="C180" s="18"/>
      <c r="D180" s="8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V180" s="18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</row>
    <row r="181" spans="2:66" x14ac:dyDescent="0.25">
      <c r="B181" s="18"/>
      <c r="D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V181" s="18"/>
      <c r="X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</row>
    <row r="182" spans="2:66" x14ac:dyDescent="0.25">
      <c r="B182" s="18"/>
      <c r="V182" s="18"/>
      <c r="X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</row>
    <row r="183" spans="2:66" x14ac:dyDescent="0.25">
      <c r="B183" s="18"/>
      <c r="C183" s="18"/>
      <c r="D183" s="8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V183" s="18"/>
    </row>
    <row r="184" spans="2:66" x14ac:dyDescent="0.25">
      <c r="B184" s="18"/>
      <c r="D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V184" s="18"/>
      <c r="X184" s="8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22"/>
      <c r="AN184" s="119"/>
      <c r="AO184" s="119"/>
      <c r="AP184" s="119"/>
      <c r="AQ184" s="119"/>
      <c r="AR184" s="37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119"/>
      <c r="BL184" s="119"/>
      <c r="BM184" s="119"/>
      <c r="BN184" s="119"/>
    </row>
    <row r="185" spans="2:66" x14ac:dyDescent="0.25">
      <c r="B185" s="18"/>
      <c r="V185" s="18"/>
      <c r="X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  <c r="BM185" s="66"/>
      <c r="BN185" s="66"/>
    </row>
    <row r="186" spans="2:66" x14ac:dyDescent="0.25">
      <c r="B186" s="18"/>
      <c r="C186" s="18"/>
      <c r="D186" s="8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128"/>
      <c r="U186" s="128"/>
      <c r="V186" s="18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  <c r="BJ186" s="66"/>
      <c r="BK186" s="66"/>
      <c r="BL186" s="66"/>
      <c r="BM186" s="66"/>
      <c r="BN186" s="66"/>
    </row>
    <row r="187" spans="2:66" x14ac:dyDescent="0.25">
      <c r="B187" s="18"/>
      <c r="D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18"/>
      <c r="X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</row>
    <row r="188" spans="2:66" x14ac:dyDescent="0.25">
      <c r="B188" s="18"/>
      <c r="V188" s="18"/>
      <c r="X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</row>
    <row r="189" spans="2:66" x14ac:dyDescent="0.25">
      <c r="B189" s="18"/>
      <c r="C189" s="18"/>
      <c r="D189" s="8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18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  <c r="BJ189" s="66"/>
      <c r="BK189" s="66"/>
      <c r="BL189" s="66"/>
      <c r="BM189" s="66"/>
      <c r="BN189" s="66"/>
    </row>
    <row r="190" spans="2:66" x14ac:dyDescent="0.25">
      <c r="B190" s="18"/>
      <c r="D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18"/>
      <c r="X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</row>
    <row r="191" spans="2:66" x14ac:dyDescent="0.25">
      <c r="B191" s="18"/>
      <c r="V191" s="18"/>
      <c r="X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N191" s="66"/>
    </row>
    <row r="192" spans="2:66" x14ac:dyDescent="0.25">
      <c r="B192" s="18"/>
      <c r="C192" s="18"/>
      <c r="D192" s="8"/>
      <c r="E192" s="127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131"/>
      <c r="U192" s="131"/>
      <c r="V192" s="18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</row>
    <row r="193" spans="2:66" x14ac:dyDescent="0.25">
      <c r="B193" s="18"/>
      <c r="C193" s="127"/>
      <c r="D193" s="36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8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</row>
    <row r="194" spans="2:66" x14ac:dyDescent="0.25">
      <c r="B194" s="18"/>
      <c r="V194" s="18"/>
      <c r="X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  <c r="BJ194" s="66"/>
      <c r="BK194" s="66"/>
      <c r="BL194" s="66"/>
      <c r="BM194" s="66"/>
      <c r="BN194" s="66"/>
    </row>
    <row r="195" spans="2:66" x14ac:dyDescent="0.25">
      <c r="B195" s="18"/>
      <c r="C195" s="18"/>
      <c r="D195" s="8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V195" s="18"/>
    </row>
    <row r="196" spans="2:66" x14ac:dyDescent="0.25">
      <c r="B196" s="18"/>
      <c r="D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V196" s="18"/>
      <c r="X196" s="8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22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BL196" s="119"/>
      <c r="BM196" s="119"/>
      <c r="BN196" s="119"/>
    </row>
    <row r="197" spans="2:66" x14ac:dyDescent="0.25">
      <c r="B197" s="18"/>
    </row>
    <row r="198" spans="2:66" x14ac:dyDescent="0.25">
      <c r="B198" s="18"/>
      <c r="C198" s="18"/>
      <c r="D198" s="8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2:66" x14ac:dyDescent="0.25">
      <c r="B199" s="18"/>
      <c r="D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2:66" x14ac:dyDescent="0.25">
      <c r="B200" s="18"/>
      <c r="V200" s="18"/>
      <c r="X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</row>
    <row r="201" spans="2:66" x14ac:dyDescent="0.25">
      <c r="B201" s="18"/>
      <c r="C201" s="18"/>
      <c r="D201" s="8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18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  <c r="BJ201" s="66"/>
      <c r="BK201" s="66"/>
      <c r="BL201" s="66"/>
      <c r="BM201" s="66"/>
      <c r="BN201" s="66"/>
    </row>
    <row r="202" spans="2:66" x14ac:dyDescent="0.25">
      <c r="B202" s="18"/>
      <c r="C202" s="18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18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  <c r="BM202" s="66"/>
      <c r="BN202" s="66"/>
    </row>
    <row r="203" spans="2:66" x14ac:dyDescent="0.25">
      <c r="B203" s="18"/>
      <c r="V203" s="18"/>
      <c r="X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  <c r="BG203" s="66"/>
      <c r="BH203" s="66"/>
      <c r="BI203" s="66"/>
      <c r="BJ203" s="66"/>
      <c r="BK203" s="66"/>
      <c r="BL203" s="66"/>
      <c r="BM203" s="66"/>
      <c r="BN203" s="66"/>
    </row>
    <row r="204" spans="2:66" x14ac:dyDescent="0.25">
      <c r="B204" s="18"/>
      <c r="C204" s="18"/>
      <c r="D204" s="8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128"/>
      <c r="U204" s="128"/>
      <c r="V204" s="18"/>
    </row>
    <row r="205" spans="2:66" x14ac:dyDescent="0.25">
      <c r="B205" s="18"/>
      <c r="D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18"/>
      <c r="X205" s="8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</row>
    <row r="206" spans="2:66" x14ac:dyDescent="0.25">
      <c r="B206" s="18"/>
      <c r="V206" s="18"/>
      <c r="X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  <c r="BJ206" s="66"/>
      <c r="BK206" s="66"/>
      <c r="BL206" s="66"/>
      <c r="BM206" s="66"/>
      <c r="BN206" s="66"/>
    </row>
    <row r="207" spans="2:66" x14ac:dyDescent="0.25">
      <c r="B207" s="18"/>
      <c r="C207" s="18"/>
      <c r="D207" s="8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130"/>
      <c r="U207" s="130"/>
      <c r="V207" s="18"/>
    </row>
    <row r="208" spans="2:66" x14ac:dyDescent="0.25">
      <c r="B208" s="18"/>
      <c r="D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18"/>
      <c r="X208" s="8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</row>
    <row r="209" spans="1:66" x14ac:dyDescent="0.25">
      <c r="B209" s="18"/>
      <c r="V209" s="18"/>
      <c r="X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  <c r="BM209" s="66"/>
      <c r="BN209" s="66"/>
    </row>
    <row r="210" spans="1:66" x14ac:dyDescent="0.25">
      <c r="B210" s="18"/>
      <c r="C210" s="18"/>
      <c r="D210" s="8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132"/>
      <c r="U210" s="132"/>
      <c r="V210" s="133"/>
      <c r="W210" s="132"/>
      <c r="X210" s="132"/>
      <c r="Y210" s="132"/>
    </row>
    <row r="211" spans="1:66" x14ac:dyDescent="0.25">
      <c r="B211" s="18"/>
      <c r="D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spans="1:66" x14ac:dyDescent="0.25">
      <c r="B212" s="18"/>
    </row>
    <row r="213" spans="1:66" x14ac:dyDescent="0.25">
      <c r="B213" s="18"/>
      <c r="C213" s="18"/>
      <c r="D213" s="8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</row>
    <row r="214" spans="1:66" x14ac:dyDescent="0.25">
      <c r="B214" s="18"/>
      <c r="D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</row>
    <row r="215" spans="1:66" x14ac:dyDescent="0.25">
      <c r="B215" s="18"/>
    </row>
    <row r="216" spans="1:66" x14ac:dyDescent="0.25">
      <c r="B216" s="18"/>
      <c r="C216" s="18"/>
      <c r="D216" s="8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</row>
    <row r="217" spans="1:66" x14ac:dyDescent="0.25">
      <c r="B217" s="18"/>
      <c r="C217" s="18"/>
      <c r="D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</row>
    <row r="221" spans="1:66" x14ac:dyDescent="0.25">
      <c r="A221" s="54"/>
    </row>
    <row r="222" spans="1:66" x14ac:dyDescent="0.25">
      <c r="A222" s="54"/>
    </row>
    <row r="224" spans="1:66" x14ac:dyDescent="0.25">
      <c r="A224" s="54"/>
    </row>
    <row r="225" spans="1:19" x14ac:dyDescent="0.25">
      <c r="A225" s="54"/>
    </row>
    <row r="227" spans="1:19" x14ac:dyDescent="0.25">
      <c r="A227" s="54"/>
    </row>
    <row r="228" spans="1:19" x14ac:dyDescent="0.25">
      <c r="A228" s="54"/>
    </row>
    <row r="230" spans="1:19" x14ac:dyDescent="0.25">
      <c r="A230" s="54"/>
    </row>
    <row r="231" spans="1:19" x14ac:dyDescent="0.25">
      <c r="A231" s="54"/>
    </row>
    <row r="232" spans="1:19" x14ac:dyDescent="0.25">
      <c r="B232" s="18"/>
      <c r="D232" s="17"/>
      <c r="F232" s="24"/>
      <c r="H232" s="24"/>
      <c r="J232" s="24"/>
      <c r="L232" s="24"/>
      <c r="N232" s="24"/>
      <c r="P232" s="24"/>
      <c r="R232" s="24"/>
    </row>
    <row r="233" spans="1:19" x14ac:dyDescent="0.25">
      <c r="A233" s="54"/>
    </row>
    <row r="234" spans="1:19" x14ac:dyDescent="0.25">
      <c r="A234" s="54"/>
    </row>
    <row r="235" spans="1:19" x14ac:dyDescent="0.25">
      <c r="B235" s="120"/>
      <c r="D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</row>
    <row r="236" spans="1:19" x14ac:dyDescent="0.25">
      <c r="A236" s="54"/>
    </row>
    <row r="237" spans="1:19" x14ac:dyDescent="0.25">
      <c r="A237" s="54"/>
    </row>
    <row r="238" spans="1:19" x14ac:dyDescent="0.25">
      <c r="B238" s="120"/>
      <c r="D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</row>
    <row r="239" spans="1:19" x14ac:dyDescent="0.25">
      <c r="A239" s="54"/>
    </row>
    <row r="240" spans="1:19" x14ac:dyDescent="0.25">
      <c r="A240" s="54"/>
    </row>
    <row r="241" spans="1:19" x14ac:dyDescent="0.25">
      <c r="B241" s="120"/>
      <c r="D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</row>
    <row r="242" spans="1:19" x14ac:dyDescent="0.25">
      <c r="A242" s="54"/>
    </row>
    <row r="243" spans="1:19" x14ac:dyDescent="0.25">
      <c r="A243" s="54"/>
    </row>
    <row r="245" spans="1:19" x14ac:dyDescent="0.25">
      <c r="A245" s="54"/>
    </row>
    <row r="246" spans="1:19" x14ac:dyDescent="0.25">
      <c r="A246" s="54"/>
    </row>
    <row r="248" spans="1:19" x14ac:dyDescent="0.25">
      <c r="A248" s="54"/>
    </row>
    <row r="249" spans="1:19" x14ac:dyDescent="0.25">
      <c r="A249" s="54"/>
    </row>
    <row r="251" spans="1:19" x14ac:dyDescent="0.25">
      <c r="A251" s="54"/>
    </row>
    <row r="252" spans="1:19" x14ac:dyDescent="0.25">
      <c r="A252" s="54"/>
    </row>
    <row r="254" spans="1:19" x14ac:dyDescent="0.25">
      <c r="A254" s="54"/>
    </row>
    <row r="255" spans="1:19" x14ac:dyDescent="0.25">
      <c r="A255" s="54"/>
    </row>
    <row r="257" spans="1:1" x14ac:dyDescent="0.25">
      <c r="A257" s="54"/>
    </row>
    <row r="258" spans="1:1" x14ac:dyDescent="0.25">
      <c r="A258" s="54"/>
    </row>
    <row r="260" spans="1:1" x14ac:dyDescent="0.25">
      <c r="A260" s="54"/>
    </row>
    <row r="261" spans="1:1" x14ac:dyDescent="0.25">
      <c r="A261" s="54"/>
    </row>
    <row r="263" spans="1:1" x14ac:dyDescent="0.25">
      <c r="A263" s="54"/>
    </row>
    <row r="264" spans="1:1" x14ac:dyDescent="0.25">
      <c r="A264" s="54"/>
    </row>
    <row r="266" spans="1:1" x14ac:dyDescent="0.25">
      <c r="A266" s="54"/>
    </row>
    <row r="267" spans="1:1" x14ac:dyDescent="0.25">
      <c r="A267" s="54"/>
    </row>
    <row r="269" spans="1:1" x14ac:dyDescent="0.25">
      <c r="A269" s="54"/>
    </row>
    <row r="270" spans="1:1" x14ac:dyDescent="0.25">
      <c r="A270" s="54"/>
    </row>
    <row r="272" spans="1:1" x14ac:dyDescent="0.25">
      <c r="A272" s="54"/>
    </row>
    <row r="273" spans="1:23" x14ac:dyDescent="0.25">
      <c r="A273" s="54"/>
    </row>
    <row r="275" spans="1:23" x14ac:dyDescent="0.25">
      <c r="A275" s="54"/>
      <c r="U275" s="39"/>
      <c r="V275" s="39"/>
      <c r="W275" s="39"/>
    </row>
    <row r="276" spans="1:23" x14ac:dyDescent="0.25">
      <c r="A276" s="54"/>
    </row>
    <row r="278" spans="1:23" x14ac:dyDescent="0.25">
      <c r="A278" s="54"/>
    </row>
    <row r="279" spans="1:23" x14ac:dyDescent="0.25">
      <c r="A279" s="54"/>
    </row>
    <row r="280" spans="1:23" x14ac:dyDescent="0.25"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</row>
    <row r="281" spans="1:23" x14ac:dyDescent="0.25">
      <c r="A281" s="54"/>
    </row>
    <row r="282" spans="1:23" x14ac:dyDescent="0.25">
      <c r="A282" s="54"/>
    </row>
    <row r="283" spans="1:23" x14ac:dyDescent="0.25"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</row>
    <row r="284" spans="1:23" x14ac:dyDescent="0.25">
      <c r="A284" s="54"/>
    </row>
    <row r="285" spans="1:23" x14ac:dyDescent="0.25">
      <c r="A285" s="54"/>
    </row>
    <row r="287" spans="1:23" x14ac:dyDescent="0.25">
      <c r="A287" s="54"/>
      <c r="T287" s="8"/>
    </row>
    <row r="288" spans="1:23" x14ac:dyDescent="0.25">
      <c r="A288" s="54"/>
      <c r="T288" s="36"/>
    </row>
    <row r="290" spans="1:1" x14ac:dyDescent="0.25">
      <c r="A290" s="54"/>
    </row>
    <row r="291" spans="1:1" x14ac:dyDescent="0.25">
      <c r="A291" s="54"/>
    </row>
    <row r="293" spans="1:1" x14ac:dyDescent="0.25">
      <c r="A293" s="54"/>
    </row>
    <row r="294" spans="1:1" x14ac:dyDescent="0.25">
      <c r="A294" s="54"/>
    </row>
    <row r="296" spans="1:1" x14ac:dyDescent="0.25">
      <c r="A296" s="54"/>
    </row>
    <row r="297" spans="1:1" x14ac:dyDescent="0.25">
      <c r="A297" s="54"/>
    </row>
    <row r="299" spans="1:1" x14ac:dyDescent="0.25">
      <c r="A299" s="54"/>
    </row>
    <row r="300" spans="1:1" x14ac:dyDescent="0.25">
      <c r="A300" s="54"/>
    </row>
    <row r="302" spans="1:1" x14ac:dyDescent="0.25">
      <c r="A302" s="54"/>
    </row>
    <row r="303" spans="1:1" x14ac:dyDescent="0.25">
      <c r="A303" s="54"/>
    </row>
    <row r="305" spans="1:1" x14ac:dyDescent="0.25">
      <c r="A305" s="54"/>
    </row>
    <row r="306" spans="1:1" x14ac:dyDescent="0.25">
      <c r="A306" s="54"/>
    </row>
    <row r="308" spans="1:1" x14ac:dyDescent="0.25">
      <c r="A308" s="54"/>
    </row>
    <row r="309" spans="1:1" x14ac:dyDescent="0.25">
      <c r="A309" s="54"/>
    </row>
    <row r="311" spans="1:1" x14ac:dyDescent="0.25">
      <c r="A311" s="54"/>
    </row>
    <row r="312" spans="1:1" x14ac:dyDescent="0.25">
      <c r="A312" s="54"/>
    </row>
    <row r="314" spans="1:1" x14ac:dyDescent="0.25">
      <c r="A314" s="54"/>
    </row>
    <row r="315" spans="1:1" x14ac:dyDescent="0.25">
      <c r="A315" s="54"/>
    </row>
    <row r="317" spans="1:1" x14ac:dyDescent="0.25">
      <c r="A317" s="3"/>
    </row>
    <row r="318" spans="1:1" x14ac:dyDescent="0.25">
      <c r="A318" s="3"/>
    </row>
    <row r="320" spans="1:1" x14ac:dyDescent="0.25">
      <c r="A320" s="2"/>
    </row>
    <row r="321" spans="1:1" x14ac:dyDescent="0.25">
      <c r="A321" s="2"/>
    </row>
    <row r="323" spans="1:1" x14ac:dyDescent="0.25">
      <c r="A323" s="1"/>
    </row>
    <row r="324" spans="1:1" x14ac:dyDescent="0.25">
      <c r="A324" s="1"/>
    </row>
    <row r="326" spans="1:1" x14ac:dyDescent="0.25">
      <c r="A326" s="1"/>
    </row>
    <row r="327" spans="1:1" x14ac:dyDescent="0.25">
      <c r="A327" s="1"/>
    </row>
    <row r="329" spans="1:1" x14ac:dyDescent="0.25">
      <c r="A329" s="1"/>
    </row>
    <row r="330" spans="1:1" x14ac:dyDescent="0.25">
      <c r="A330" s="1"/>
    </row>
  </sheetData>
  <mergeCells count="7">
    <mergeCell ref="AW10:BA10"/>
    <mergeCell ref="BC10:BK10"/>
    <mergeCell ref="B6:Q6"/>
    <mergeCell ref="B7:Q7"/>
    <mergeCell ref="W10:AG10"/>
    <mergeCell ref="AH10:AL10"/>
    <mergeCell ref="AN10:AV10"/>
  </mergeCells>
  <phoneticPr fontId="12" type="noConversion"/>
  <pageMargins left="0.7" right="0.7" top="0.75" bottom="0.75" header="0.3" footer="0.3"/>
  <pageSetup scale="1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E8B1-5E71-436A-BAB5-5541D73DC62E}">
  <sheetPr>
    <tabColor theme="0" tint="-0.249977111117893"/>
  </sheetPr>
  <dimension ref="A6:R43"/>
  <sheetViews>
    <sheetView zoomScale="80" zoomScaleNormal="80" workbookViewId="0"/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19.7265625" style="2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8" width="10.81640625" style="31" customWidth="1"/>
    <col min="19" max="16384" width="9.1796875" style="31"/>
  </cols>
  <sheetData>
    <row r="6" spans="1:18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18" x14ac:dyDescent="0.25">
      <c r="B7" s="158" t="s">
        <v>476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18" x14ac:dyDescent="0.25">
      <c r="D9" s="2" t="s">
        <v>337</v>
      </c>
    </row>
    <row r="10" spans="1:18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 t="s">
        <v>426</v>
      </c>
      <c r="R10" s="2" t="s">
        <v>426</v>
      </c>
    </row>
    <row r="11" spans="1:18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477</v>
      </c>
      <c r="O11" s="33" t="s">
        <v>478</v>
      </c>
      <c r="P11" s="33" t="s">
        <v>479</v>
      </c>
      <c r="Q11" s="33" t="s">
        <v>480</v>
      </c>
      <c r="R11" s="33" t="s">
        <v>481</v>
      </c>
    </row>
    <row r="12" spans="1:18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2" t="s">
        <v>27</v>
      </c>
      <c r="O12" s="81" t="s">
        <v>28</v>
      </c>
      <c r="P12" s="81" t="s">
        <v>29</v>
      </c>
      <c r="Q12" s="81" t="s">
        <v>30</v>
      </c>
      <c r="R12" s="81" t="s">
        <v>180</v>
      </c>
    </row>
    <row r="14" spans="1:18" x14ac:dyDescent="0.25">
      <c r="B14" s="74" t="s">
        <v>348</v>
      </c>
    </row>
    <row r="15" spans="1:18" x14ac:dyDescent="0.25">
      <c r="A15" s="2">
        <v>1</v>
      </c>
      <c r="B15" s="31" t="s">
        <v>349</v>
      </c>
      <c r="D15" s="76">
        <f ca="1">'Total Allocation by Rate Zone'!S15</f>
        <v>0</v>
      </c>
      <c r="J15" s="76">
        <f ca="1">D15-F15</f>
        <v>0</v>
      </c>
      <c r="L15" s="2" t="s">
        <v>445</v>
      </c>
      <c r="N15" s="76">
        <f ca="1">IF($J15&lt;&gt;0,VLOOKUP($L15,'Allocation Factors - Ex'!$B$13:$W$160,5,FALSE)*$J15,0)+IF($F15&lt;&gt;0,VLOOKUP($H15,'Allocation Factors - Ex'!$B$13:$W$160,5,FALSE)*$F15,0)</f>
        <v>0</v>
      </c>
      <c r="O15" s="76">
        <f ca="1">IF($J15&lt;&gt;0,VLOOKUP($L15,'Allocation Factors - Ex'!$B$13:$W$160,6,FALSE)*$J15,0)+IF($F15&lt;&gt;0,VLOOKUP($H15,'Allocation Factors - Ex'!$B$13:$W$160,6,FALSE)*$F15,0)</f>
        <v>0</v>
      </c>
      <c r="P15" s="76">
        <f ca="1">IF($J15&lt;&gt;0,VLOOKUP($L15,'Allocation Factors - Ex'!$B$13:$W$160,7,FALSE)*$J15,0)+IF($F15&lt;&gt;0,VLOOKUP($H15,'Allocation Factors - Ex'!$B$13:$W$160,7,FALSE)*$F15,0)</f>
        <v>0</v>
      </c>
      <c r="Q15" s="76">
        <f ca="1">IF($J15&lt;&gt;0,VLOOKUP($L15,'Allocation Factors - Ex'!$B$13:$W$160,8,FALSE)*$J15,0)+IF($F15&lt;&gt;0,VLOOKUP($H15,'Allocation Factors - Ex'!$B$13:$W$160,8,FALSE)*$F15,0)</f>
        <v>0</v>
      </c>
      <c r="R15" s="76">
        <f ca="1">IF($J15&lt;&gt;0,VLOOKUP($L15,'Allocation Factors - Ex'!$B$13:$W$160,9,FALSE)*$J15,0)+IF($F15&lt;&gt;0,VLOOKUP($H15,'Allocation Factors - Ex'!$B$13:$W$160,9,FALSE)*$F15,0)</f>
        <v>0</v>
      </c>
    </row>
    <row r="16" spans="1:18" x14ac:dyDescent="0.25">
      <c r="A16" s="2">
        <f>A15+1</f>
        <v>2</v>
      </c>
      <c r="B16" s="31" t="s">
        <v>351</v>
      </c>
      <c r="D16" s="76">
        <f ca="1">'Total Allocation by Rate Zone'!S16</f>
        <v>0</v>
      </c>
      <c r="J16" s="76">
        <f t="shared" ref="J16:J20" ca="1" si="0">D16-F16</f>
        <v>0</v>
      </c>
      <c r="L16" s="2" t="s">
        <v>446</v>
      </c>
      <c r="N16" s="76">
        <f ca="1">IF($J16&lt;&gt;0,VLOOKUP($L16,'Allocation Factors - Ex'!$B$13:$W$160,5,FALSE)*$J16,0)+IF($F16&lt;&gt;0,VLOOKUP($H16,'Allocation Factors - Ex'!$B$13:$W$160,5,FALSE)*$F16,0)</f>
        <v>0</v>
      </c>
      <c r="O16" s="76">
        <f ca="1">IF($J16&lt;&gt;0,VLOOKUP($L16,'Allocation Factors - Ex'!$B$14:$W$10679,6,FALSE)*$J16,0)+IF($F16&lt;&gt;0,VLOOKUP($H16,'Allocation Factors - Ex'!$B$14:$W$160,6,FALSE)*$F16,0)</f>
        <v>0</v>
      </c>
      <c r="P16" s="76">
        <f ca="1">IF($J16&lt;&gt;0,VLOOKUP($L16,'Allocation Factors - Ex'!$B$13:$W$160,7,FALSE)*$J16,0)+IF($F16&lt;&gt;0,VLOOKUP($H16,'Allocation Factors - Ex'!$B$13:$W$160,7,FALSE)*$F16,0)</f>
        <v>0</v>
      </c>
      <c r="Q16" s="76">
        <f ca="1">IF($J16&lt;&gt;0,VLOOKUP($L16,'Allocation Factors - Ex'!$B$13:$W$160,8,FALSE)*$J16,0)+IF($F16&lt;&gt;0,VLOOKUP($H16,'Allocation Factors - Ex'!$B$13:$W$160,8,FALSE)*$F16,0)</f>
        <v>0</v>
      </c>
      <c r="R16" s="76">
        <f ca="1">IF($J16&lt;&gt;0,VLOOKUP($L16,'Allocation Factors - Ex'!$B$13:$W$160,9,FALSE)*$J16,0)+IF($F16&lt;&gt;0,VLOOKUP($H16,'Allocation Factors - Ex'!$B$13:$W$160,9,FALSE)*$F16,0)</f>
        <v>0</v>
      </c>
    </row>
    <row r="17" spans="1:18" x14ac:dyDescent="0.25">
      <c r="A17" s="2">
        <f t="shared" ref="A17:A21" si="1">A16+1</f>
        <v>3</v>
      </c>
      <c r="B17" s="31" t="s">
        <v>353</v>
      </c>
      <c r="D17" s="76">
        <f ca="1">'Total Allocation by Rate Zone'!S17</f>
        <v>0</v>
      </c>
      <c r="J17" s="76">
        <f t="shared" ca="1" si="0"/>
        <v>0</v>
      </c>
      <c r="L17" s="2" t="s">
        <v>447</v>
      </c>
      <c r="N17" s="76">
        <f ca="1">IF($J17&lt;&gt;0,VLOOKUP($L17,'Allocation Factors - Ex'!$B$13:$W$160,5,FALSE)*$J17,0)+IF($F17&lt;&gt;0,VLOOKUP($H17,'Allocation Factors - Ex'!$B$13:$W$160,5,FALSE)*$F17,0)</f>
        <v>0</v>
      </c>
      <c r="O17" s="76">
        <f ca="1">IF($J17&lt;&gt;0,VLOOKUP($L17,'Allocation Factors - Ex'!$B$14:$W$10679,6,FALSE)*$J17,0)+IF($F17&lt;&gt;0,VLOOKUP($H17,'Allocation Factors - Ex'!$B$14:$W$160,6,FALSE)*$F17,0)</f>
        <v>0</v>
      </c>
      <c r="P17" s="76">
        <f ca="1">IF($J17&lt;&gt;0,VLOOKUP($L17,'Allocation Factors - Ex'!$B$13:$W$160,7,FALSE)*$J17,0)+IF($F17&lt;&gt;0,VLOOKUP($H17,'Allocation Factors - Ex'!$B$13:$W$160,7,FALSE)*$F17,0)</f>
        <v>0</v>
      </c>
      <c r="Q17" s="76">
        <f ca="1">IF($J17&lt;&gt;0,VLOOKUP($L17,'Allocation Factors - Ex'!$B$13:$W$160,8,FALSE)*$J17,0)+IF($F17&lt;&gt;0,VLOOKUP($H17,'Allocation Factors - Ex'!$B$13:$W$160,8,FALSE)*$F17,0)</f>
        <v>0</v>
      </c>
      <c r="R17" s="76">
        <f ca="1">IF($J17&lt;&gt;0,VLOOKUP($L17,'Allocation Factors - Ex'!$B$13:$W$160,9,FALSE)*$J17,0)+IF($F17&lt;&gt;0,VLOOKUP($H17,'Allocation Factors - Ex'!$B$13:$W$160,9,FALSE)*$F17,0)</f>
        <v>0</v>
      </c>
    </row>
    <row r="18" spans="1:18" x14ac:dyDescent="0.25">
      <c r="A18" s="2">
        <f t="shared" si="1"/>
        <v>4</v>
      </c>
      <c r="B18" s="31" t="s">
        <v>355</v>
      </c>
      <c r="D18" s="76">
        <f ca="1">'Total Allocation by Rate Zone'!S18</f>
        <v>0</v>
      </c>
      <c r="F18" s="48"/>
      <c r="H18" s="2" t="s">
        <v>448</v>
      </c>
      <c r="J18" s="76">
        <f t="shared" ca="1" si="0"/>
        <v>0</v>
      </c>
      <c r="L18" s="2" t="s">
        <v>449</v>
      </c>
      <c r="N18" s="76">
        <f ca="1">IF($J18&lt;&gt;0,VLOOKUP($L18,'Allocation Factors - Ex'!$B$13:$W$160,5,FALSE)*$J18,0)+IF($F18&lt;&gt;0,VLOOKUP($H18,'Allocation Factors - Ex'!$B$13:$W$160,5,FALSE)*$F18,0)</f>
        <v>0</v>
      </c>
      <c r="O18" s="76">
        <f ca="1">IF($J18&lt;&gt;0,VLOOKUP($L18,'Allocation Factors - Ex'!$B$14:$W$10679,6,FALSE)*$J18,0)+IF($F18&lt;&gt;0,VLOOKUP($H18,'Allocation Factors - Ex'!$B$14:$W$160,6,FALSE)*$F18,0)</f>
        <v>0</v>
      </c>
      <c r="P18" s="76">
        <f ca="1">IF($J18&lt;&gt;0,VLOOKUP($L18,'Allocation Factors - Ex'!$B$13:$W$160,7,FALSE)*$J18,0)+IF($F18&lt;&gt;0,VLOOKUP($H18,'Allocation Factors - Ex'!$B$13:$W$160,7,FALSE)*$F18,0)</f>
        <v>0</v>
      </c>
      <c r="Q18" s="76">
        <f ca="1">IF($J18&lt;&gt;0,VLOOKUP($L18,'Allocation Factors - Ex'!$B$13:$W$160,8,FALSE)*$J18,0)+IF($F18&lt;&gt;0,VLOOKUP($H18,'Allocation Factors - Ex'!$B$13:$W$160,8,FALSE)*$F18,0)</f>
        <v>0</v>
      </c>
      <c r="R18" s="76">
        <f ca="1">IF($J18&lt;&gt;0,VLOOKUP($L18,'Allocation Factors - Ex'!$B$13:$W$160,9,FALSE)*$J18,0)+IF($F18&lt;&gt;0,VLOOKUP($H18,'Allocation Factors - Ex'!$B$13:$W$160,9,FALSE)*$F18,0)</f>
        <v>0</v>
      </c>
    </row>
    <row r="19" spans="1:18" x14ac:dyDescent="0.25">
      <c r="A19" s="2">
        <f t="shared" si="1"/>
        <v>5</v>
      </c>
      <c r="B19" s="31" t="s">
        <v>358</v>
      </c>
      <c r="D19" s="76">
        <f ca="1">'Total Allocation by Rate Zone'!S19</f>
        <v>0</v>
      </c>
      <c r="J19" s="76">
        <f t="shared" ca="1" si="0"/>
        <v>0</v>
      </c>
      <c r="L19" s="2" t="s">
        <v>450</v>
      </c>
      <c r="N19" s="76">
        <f ca="1">IF($J19&lt;&gt;0,VLOOKUP($L19,'Allocation Factors - Ex'!$B$13:$W$160,5,FALSE)*$J19,0)+IF($F19&lt;&gt;0,VLOOKUP($H19,'Allocation Factors - Ex'!$B$13:$W$160,5,FALSE)*$F19,0)</f>
        <v>0</v>
      </c>
      <c r="O19" s="76">
        <f ca="1">IF($J19&lt;&gt;0,VLOOKUP($L19,'Allocation Factors - Ex'!$B$14:$W$10679,6,FALSE)*$J19,0)+IF($F19&lt;&gt;0,VLOOKUP($H19,'Allocation Factors - Ex'!$B$14:$W$160,6,FALSE)*$F19,0)</f>
        <v>0</v>
      </c>
      <c r="P19" s="76">
        <f ca="1">IF($J19&lt;&gt;0,VLOOKUP($L19,'Allocation Factors - Ex'!$B$13:$W$160,7,FALSE)*$J19,0)+IF($F19&lt;&gt;0,VLOOKUP($H19,'Allocation Factors - Ex'!$B$13:$W$160,7,FALSE)*$F19,0)</f>
        <v>0</v>
      </c>
      <c r="Q19" s="76">
        <f ca="1">IF($J19&lt;&gt;0,VLOOKUP($L19,'Allocation Factors - Ex'!$B$13:$W$160,8,FALSE)*$J19,0)+IF($F19&lt;&gt;0,VLOOKUP($H19,'Allocation Factors - Ex'!$B$13:$W$160,8,FALSE)*$F19,0)</f>
        <v>0</v>
      </c>
      <c r="R19" s="76">
        <f ca="1">IF($J19&lt;&gt;0,VLOOKUP($L19,'Allocation Factors - Ex'!$B$13:$W$160,9,FALSE)*$J19,0)+IF($F19&lt;&gt;0,VLOOKUP($H19,'Allocation Factors - Ex'!$B$13:$W$160,9,FALSE)*$F19,0)</f>
        <v>0</v>
      </c>
    </row>
    <row r="20" spans="1:18" x14ac:dyDescent="0.25">
      <c r="A20" s="2">
        <f t="shared" si="1"/>
        <v>6</v>
      </c>
      <c r="B20" s="31" t="s">
        <v>178</v>
      </c>
      <c r="D20" s="76">
        <f ca="1">'Total Allocation by Rate Zone'!S20</f>
        <v>0</v>
      </c>
      <c r="J20" s="76">
        <f t="shared" ca="1" si="0"/>
        <v>0</v>
      </c>
      <c r="L20" s="2" t="s">
        <v>445</v>
      </c>
      <c r="N20" s="76">
        <f ca="1">IF($J20&lt;&gt;0,VLOOKUP($L20,'Allocation Factors - Ex'!$B$13:$W$160,5,FALSE)*$J20,0)+IF($F20&lt;&gt;0,VLOOKUP($H20,'Allocation Factors - Ex'!$B$13:$W$160,5,FALSE)*$F20,0)</f>
        <v>0</v>
      </c>
      <c r="O20" s="76">
        <f ca="1">IF($J20&lt;&gt;0,VLOOKUP($L20,'Allocation Factors - Ex'!$B$14:$W$10679,6,FALSE)*$J20,0)+IF($F20&lt;&gt;0,VLOOKUP($H20,'Allocation Factors - Ex'!$B$14:$W$160,6,FALSE)*$F20,0)</f>
        <v>0</v>
      </c>
      <c r="P20" s="76">
        <f ca="1">IF($J20&lt;&gt;0,VLOOKUP($L20,'Allocation Factors - Ex'!$B$13:$W$160,7,FALSE)*$J20,0)+IF($F20&lt;&gt;0,VLOOKUP($H20,'Allocation Factors - Ex'!$B$13:$W$160,7,FALSE)*$F20,0)</f>
        <v>0</v>
      </c>
      <c r="Q20" s="76">
        <f ca="1">IF($J20&lt;&gt;0,VLOOKUP($L20,'Allocation Factors - Ex'!$B$13:$W$160,8,FALSE)*$J20,0)+IF($F20&lt;&gt;0,VLOOKUP($H20,'Allocation Factors - Ex'!$B$13:$W$160,8,FALSE)*$F20,0)</f>
        <v>0</v>
      </c>
      <c r="R20" s="76">
        <f ca="1">IF($J20&lt;&gt;0,VLOOKUP($L20,'Allocation Factors - Ex'!$B$13:$W$160,9,FALSE)*$J20,0)+IF($F20&lt;&gt;0,VLOOKUP($H20,'Allocation Factors - Ex'!$B$13:$W$160,9,FALSE)*$F20,0)</f>
        <v>0</v>
      </c>
    </row>
    <row r="21" spans="1:18" x14ac:dyDescent="0.25">
      <c r="A21" s="2">
        <f t="shared" si="1"/>
        <v>7</v>
      </c>
      <c r="B21" s="31" t="s">
        <v>361</v>
      </c>
      <c r="D21" s="78">
        <f ca="1">SUM(D15:D20)</f>
        <v>0</v>
      </c>
      <c r="F21" s="78">
        <f>SUM(F15:F20)</f>
        <v>0</v>
      </c>
      <c r="J21" s="40">
        <f ca="1">SUM(J15:J20)</f>
        <v>0</v>
      </c>
      <c r="N21" s="40">
        <f t="shared" ref="N21:Q21" ca="1" si="2">SUM(N15:N20)</f>
        <v>0</v>
      </c>
      <c r="O21" s="40">
        <f t="shared" ca="1" si="2"/>
        <v>0</v>
      </c>
      <c r="P21" s="40">
        <f t="shared" ca="1" si="2"/>
        <v>0</v>
      </c>
      <c r="Q21" s="40">
        <f t="shared" ca="1" si="2"/>
        <v>0</v>
      </c>
      <c r="R21" s="40">
        <f t="shared" ref="R21" ca="1" si="3">SUM(R15:R20)</f>
        <v>0</v>
      </c>
    </row>
    <row r="22" spans="1:18" x14ac:dyDescent="0.25">
      <c r="D22" s="76"/>
      <c r="N22" s="76"/>
      <c r="O22" s="76"/>
    </row>
    <row r="23" spans="1:18" x14ac:dyDescent="0.25">
      <c r="B23" s="74" t="s">
        <v>362</v>
      </c>
      <c r="D23" s="76"/>
      <c r="N23" s="76"/>
      <c r="O23" s="76"/>
    </row>
    <row r="24" spans="1:18" x14ac:dyDescent="0.25">
      <c r="A24" s="2">
        <f>A21+1</f>
        <v>8</v>
      </c>
      <c r="B24" s="31" t="s">
        <v>363</v>
      </c>
      <c r="D24" s="76">
        <f ca="1">'Total Allocation by Rate Zone'!S24</f>
        <v>0</v>
      </c>
      <c r="J24" s="76">
        <f t="shared" ref="J24:J27" ca="1" si="4">D24-F24</f>
        <v>0</v>
      </c>
      <c r="L24" s="2" t="s">
        <v>447</v>
      </c>
      <c r="N24" s="76">
        <f ca="1">IF($J24&lt;&gt;0,VLOOKUP($L24,'Allocation Factors - Ex'!$B$13:$W$160,5,FALSE)*$J24,0)+IF($F24&lt;&gt;0,VLOOKUP($H24,'Allocation Factors - Ex'!$B$13:$W$160,5,FALSE)*$F24,0)</f>
        <v>0</v>
      </c>
      <c r="O24" s="76">
        <f ca="1">IF($J24&lt;&gt;0,VLOOKUP($L24,'Allocation Factors - Ex'!$B$14:$W$10679,6,FALSE)*$J24,0)+IF($F24&lt;&gt;0,VLOOKUP($H24,'Allocation Factors - Ex'!$B$14:$W$160,6,FALSE)*$F24,0)</f>
        <v>0</v>
      </c>
      <c r="P24" s="76">
        <f ca="1">IF($J24&lt;&gt;0,VLOOKUP($L24,'Allocation Factors - Ex'!$B$13:$W$160,7,FALSE)*$J24,0)+IF($F24&lt;&gt;0,VLOOKUP($H24,'Allocation Factors - Ex'!$B$13:$W$160,7,FALSE)*$F24,0)</f>
        <v>0</v>
      </c>
      <c r="Q24" s="76">
        <f ca="1">IF($J24&lt;&gt;0,VLOOKUP($L24,'Allocation Factors - Ex'!$B$13:$W$160,8,FALSE)*$J24,0)+IF($F24&lt;&gt;0,VLOOKUP($H24,'Allocation Factors - Ex'!$B$13:$W$160,8,FALSE)*$F24,0)</f>
        <v>0</v>
      </c>
      <c r="R24" s="76">
        <f ca="1">IF($J24&lt;&gt;0,VLOOKUP($L24,'Allocation Factors - Ex'!$B$13:$W$160,9,FALSE)*$J24,0)+IF($F24&lt;&gt;0,VLOOKUP($H24,'Allocation Factors - Ex'!$B$13:$W$160,9,FALSE)*$F24,0)</f>
        <v>0</v>
      </c>
    </row>
    <row r="25" spans="1:18" x14ac:dyDescent="0.25">
      <c r="A25" s="2">
        <f>A24+1</f>
        <v>9</v>
      </c>
      <c r="B25" s="31" t="s">
        <v>364</v>
      </c>
      <c r="D25" s="76">
        <f ca="1">'Total Allocation by Rate Zone'!S25</f>
        <v>0</v>
      </c>
      <c r="F25" s="76"/>
      <c r="H25" s="2" t="s">
        <v>451</v>
      </c>
      <c r="J25" s="76">
        <f t="shared" ca="1" si="4"/>
        <v>0</v>
      </c>
      <c r="L25" s="2" t="s">
        <v>452</v>
      </c>
      <c r="N25" s="76">
        <f ca="1">IF($J25&lt;&gt;0,VLOOKUP($L25,'Allocation Factors - Ex'!$B$13:$W$160,5,FALSE)*$J25,0)+IF($F25&lt;&gt;0,VLOOKUP($H25,'Allocation Factors - Ex'!$B$13:$W$160,5,FALSE)*$F25,0)</f>
        <v>0</v>
      </c>
      <c r="O25" s="76">
        <f ca="1">IF($J25&lt;&gt;0,VLOOKUP($L25,'Allocation Factors - Ex'!$B$14:$W$10679,6,FALSE)*$J25,0)+IF($F25&lt;&gt;0,VLOOKUP($H25,'Allocation Factors - Ex'!$B$14:$W$160,6,FALSE)*$F25,0)</f>
        <v>0</v>
      </c>
      <c r="P25" s="76">
        <f ca="1">IF($J25&lt;&gt;0,VLOOKUP($L25,'Allocation Factors - Ex'!$B$13:$W$160,7,FALSE)*$J25,0)+IF($F25&lt;&gt;0,VLOOKUP($H25,'Allocation Factors - Ex'!$B$13:$W$160,7,FALSE)*$F25,0)</f>
        <v>0</v>
      </c>
      <c r="Q25" s="76">
        <f ca="1">IF($J25&lt;&gt;0,VLOOKUP($L25,'Allocation Factors - Ex'!$B$13:$W$160,8,FALSE)*$J25,0)+IF($F25&lt;&gt;0,VLOOKUP($H25,'Allocation Factors - Ex'!$B$13:$W$160,8,FALSE)*$F25,0)</f>
        <v>0</v>
      </c>
      <c r="R25" s="76">
        <f ca="1">IF($J25&lt;&gt;0,VLOOKUP($L25,'Allocation Factors - Ex'!$B$13:$W$160,9,FALSE)*$J25,0)+IF($F25&lt;&gt;0,VLOOKUP($H25,'Allocation Factors - Ex'!$B$13:$W$160,9,FALSE)*$F25,0)</f>
        <v>0</v>
      </c>
    </row>
    <row r="26" spans="1:18" x14ac:dyDescent="0.25">
      <c r="A26" s="2">
        <f t="shared" ref="A26:A28" si="5">A25+1</f>
        <v>10</v>
      </c>
      <c r="B26" s="31" t="s">
        <v>367</v>
      </c>
      <c r="D26" s="76">
        <f ca="1">'Total Allocation by Rate Zone'!S26</f>
        <v>460.05784299084002</v>
      </c>
      <c r="J26" s="76">
        <f t="shared" ca="1" si="4"/>
        <v>460.05784299084002</v>
      </c>
      <c r="L26" s="2" t="s">
        <v>453</v>
      </c>
      <c r="N26" s="76">
        <f ca="1">IF($J26&lt;&gt;0,VLOOKUP($L26,'Allocation Factors - Ex'!$B$13:$W$160,5,FALSE)*$J26,0)+IF($F26&lt;&gt;0,VLOOKUP($H26,'Allocation Factors - Ex'!$B$13:$W$160,5,FALSE)*$F26,0)</f>
        <v>0</v>
      </c>
      <c r="O26" s="76">
        <f ca="1">IF($J26&lt;&gt;0,VLOOKUP($L26,'Allocation Factors - Ex'!$B$14:$W$10679,6,FALSE)*$J26,0)+IF($F26&lt;&gt;0,VLOOKUP($H26,'Allocation Factors - Ex'!$B$14:$W$160,6,FALSE)*$F26,0)</f>
        <v>454.26583321387227</v>
      </c>
      <c r="P26" s="76">
        <f ca="1">IF($J26&lt;&gt;0,VLOOKUP($L26,'Allocation Factors - Ex'!$B$13:$W$160,7,FALSE)*$J26,0)+IF($F26&lt;&gt;0,VLOOKUP($H26,'Allocation Factors - Ex'!$B$13:$W$160,7,FALSE)*$F26,0)</f>
        <v>4.0222614449731955</v>
      </c>
      <c r="Q26" s="76">
        <f ca="1">IF($J26&lt;&gt;0,VLOOKUP($L26,'Allocation Factors - Ex'!$B$13:$W$160,8,FALSE)*$J26,0)+IF($F26&lt;&gt;0,VLOOKUP($H26,'Allocation Factors - Ex'!$B$13:$W$160,8,FALSE)*$F26,0)</f>
        <v>1.7697483319945253</v>
      </c>
      <c r="R26" s="76">
        <f ca="1">IF($J26&lt;&gt;0,VLOOKUP($L26,'Allocation Factors - Ex'!$B$13:$W$160,9,FALSE)*$J26,0)+IF($F26&lt;&gt;0,VLOOKUP($H26,'Allocation Factors - Ex'!$B$13:$W$160,9,FALSE)*$F26,0)</f>
        <v>0</v>
      </c>
    </row>
    <row r="27" spans="1:18" x14ac:dyDescent="0.25">
      <c r="A27" s="2">
        <f t="shared" si="5"/>
        <v>11</v>
      </c>
      <c r="B27" s="31" t="s">
        <v>369</v>
      </c>
      <c r="D27" s="76">
        <f ca="1">'Total Allocation by Rate Zone'!S27</f>
        <v>0</v>
      </c>
      <c r="J27" s="76">
        <f t="shared" ca="1" si="4"/>
        <v>0</v>
      </c>
      <c r="L27" s="2" t="s">
        <v>454</v>
      </c>
      <c r="N27" s="76">
        <f ca="1">IF($J27&lt;&gt;0,VLOOKUP($L27,'Allocation Factors - Ex'!$B$13:$W$160,5,FALSE)*$J27,0)+IF($F27&lt;&gt;0,VLOOKUP($H27,'Allocation Factors - Ex'!$B$13:$W$160,5,FALSE)*$F27,0)</f>
        <v>0</v>
      </c>
      <c r="O27" s="76">
        <f ca="1">IF($J27&lt;&gt;0,VLOOKUP($L27,'Allocation Factors - Ex'!$B$14:$W$10679,6,FALSE)*$J27,0)+IF($F27&lt;&gt;0,VLOOKUP($H27,'Allocation Factors - Ex'!$B$14:$W$160,6,FALSE)*$F27,0)</f>
        <v>0</v>
      </c>
      <c r="P27" s="76">
        <f ca="1">IF($J27&lt;&gt;0,VLOOKUP($L27,'Allocation Factors - Ex'!$B$13:$W$160,7,FALSE)*$J27,0)+IF($F27&lt;&gt;0,VLOOKUP($H27,'Allocation Factors - Ex'!$B$13:$W$160,7,FALSE)*$F27,0)</f>
        <v>0</v>
      </c>
      <c r="Q27" s="76">
        <f ca="1">IF($J27&lt;&gt;0,VLOOKUP($L27,'Allocation Factors - Ex'!$B$13:$W$160,8,FALSE)*$J27,0)+IF($F27&lt;&gt;0,VLOOKUP($H27,'Allocation Factors - Ex'!$B$13:$W$160,8,FALSE)*$F27,0)</f>
        <v>0</v>
      </c>
      <c r="R27" s="76">
        <f ca="1">IF($J27&lt;&gt;0,VLOOKUP($L27,'Allocation Factors - Ex'!$B$13:$W$160,9,FALSE)*$J27,0)+IF($F27&lt;&gt;0,VLOOKUP($H27,'Allocation Factors - Ex'!$B$13:$W$160,9,FALSE)*$F27,0)</f>
        <v>0</v>
      </c>
    </row>
    <row r="28" spans="1:18" x14ac:dyDescent="0.25">
      <c r="A28" s="2">
        <f t="shared" si="5"/>
        <v>12</v>
      </c>
      <c r="B28" s="31" t="s">
        <v>371</v>
      </c>
      <c r="D28" s="40">
        <f ca="1">SUM(D24:D27)</f>
        <v>460.05784299084002</v>
      </c>
      <c r="F28" s="40">
        <f>SUM(F24:F27)</f>
        <v>0</v>
      </c>
      <c r="H28" s="115"/>
      <c r="J28" s="40">
        <f ca="1">SUM(J24:J27)</f>
        <v>460.05784299084002</v>
      </c>
      <c r="N28" s="40">
        <f t="shared" ref="N28:Q28" ca="1" si="6">SUM(N24:N27)</f>
        <v>0</v>
      </c>
      <c r="O28" s="40">
        <f t="shared" ca="1" si="6"/>
        <v>454.26583321387227</v>
      </c>
      <c r="P28" s="40">
        <f t="shared" ca="1" si="6"/>
        <v>4.0222614449731955</v>
      </c>
      <c r="Q28" s="40">
        <f t="shared" ca="1" si="6"/>
        <v>1.7697483319945253</v>
      </c>
      <c r="R28" s="40">
        <f t="shared" ref="R28" ca="1" si="7">SUM(R24:R27)</f>
        <v>0</v>
      </c>
    </row>
    <row r="29" spans="1:18" x14ac:dyDescent="0.25">
      <c r="N29" s="76"/>
      <c r="O29" s="76"/>
    </row>
    <row r="30" spans="1:18" x14ac:dyDescent="0.25">
      <c r="B30" s="74" t="s">
        <v>372</v>
      </c>
      <c r="N30" s="76"/>
      <c r="O30" s="76"/>
    </row>
    <row r="31" spans="1:18" x14ac:dyDescent="0.25">
      <c r="A31" s="2">
        <f>A28+1</f>
        <v>13</v>
      </c>
      <c r="B31" s="31" t="s">
        <v>373</v>
      </c>
      <c r="D31" s="76">
        <f ca="1">'Total Allocation by Rate Zone'!S31</f>
        <v>4683.1560768178124</v>
      </c>
      <c r="J31" s="76">
        <f ca="1">D31-F31</f>
        <v>4683.1560768178124</v>
      </c>
      <c r="L31" s="2" t="s">
        <v>455</v>
      </c>
      <c r="N31" s="76">
        <f ca="1">IF($J31&lt;&gt;0,VLOOKUP($L31,'Allocation Factors - Ex'!$B$13:$W$160,5,FALSE)*$J31,0)+IF($F31&lt;&gt;0,VLOOKUP($H31,'Allocation Factors - Ex'!$B$13:$W$160,5,FALSE)*$F31,0)</f>
        <v>0</v>
      </c>
      <c r="O31" s="76">
        <f ca="1">IF($J31&lt;&gt;0,VLOOKUP($L31,'Allocation Factors - Ex'!$B$14:$W$10679,6,FALSE)*$J31,0)+IF($F31&lt;&gt;0,VLOOKUP($H31,'Allocation Factors - Ex'!$B$14:$W$160,6,FALSE)*$F31,0)</f>
        <v>4683.1560768178124</v>
      </c>
      <c r="P31" s="76">
        <f ca="1">IF($J31&lt;&gt;0,VLOOKUP($L31,'Allocation Factors - Ex'!$B$14:$W$160,7,FALSE)*$J31,0)+IF($F31&lt;&gt;0,VLOOKUP($H31,'Allocation Factors - Ex'!$B$14:$W$160,7,FALSE)*$F31,0)</f>
        <v>0</v>
      </c>
      <c r="Q31" s="76">
        <f ca="1">IF($J31&lt;&gt;0,VLOOKUP($L31,'Allocation Factors - Ex'!$B$13:$W$160,8,FALSE)*$J31,0)+IF($F31&lt;&gt;0,VLOOKUP($H31,'Allocation Factors - Ex'!$B$13:$W$160,8,FALSE)*$F31,0)</f>
        <v>0</v>
      </c>
      <c r="R31" s="76">
        <f ca="1">IF($J31&lt;&gt;0,VLOOKUP($L31,'Allocation Factors - Ex'!$B$13:$W$160,9,FALSE)*$J31,0)+IF($F31&lt;&gt;0,VLOOKUP($H31,'Allocation Factors - Ex'!$B$13:$W$160,9,FALSE)*$F31,0)</f>
        <v>0</v>
      </c>
    </row>
    <row r="32" spans="1:18" x14ac:dyDescent="0.25">
      <c r="A32" s="2">
        <f>A31+1</f>
        <v>14</v>
      </c>
      <c r="B32" s="31" t="s">
        <v>375</v>
      </c>
      <c r="D32" s="76">
        <f ca="1">'Total Allocation by Rate Zone'!S32</f>
        <v>996.5653461040007</v>
      </c>
      <c r="J32" s="76">
        <f t="shared" ref="J32:J38" ca="1" si="8">D32-F32</f>
        <v>996.5653461040007</v>
      </c>
      <c r="L32" s="2" t="s">
        <v>456</v>
      </c>
      <c r="N32" s="76">
        <f ca="1">IF($J32&lt;&gt;0,VLOOKUP($L32,'Allocation Factors - Ex'!$B$13:$W$160,5,FALSE)*$J32,0)+IF($F32&lt;&gt;0,VLOOKUP($H32,'Allocation Factors - Ex'!$B$13:$W$160,5,FALSE)*$F32,0)</f>
        <v>0</v>
      </c>
      <c r="O32" s="76">
        <f ca="1">IF($J32&lt;&gt;0,VLOOKUP($L32,'Allocation Factors - Ex'!$B$14:$W$10679,6,FALSE)*$J32,0)+IF($F32&lt;&gt;0,VLOOKUP($H32,'Allocation Factors - Ex'!$B$14:$W$160,6,FALSE)*$F32,0)</f>
        <v>996.5653461040007</v>
      </c>
      <c r="P32" s="76">
        <f ca="1">IF($J32&lt;&gt;0,VLOOKUP($L32,'Allocation Factors - Ex'!$B$13:$W$160,7,FALSE)*$J32,0)+IF($F32&lt;&gt;0,VLOOKUP($H32,'Allocation Factors - Ex'!$B$13:$W$160,7,FALSE)*$F32,0)</f>
        <v>0</v>
      </c>
      <c r="Q32" s="76">
        <f ca="1">IF($J32&lt;&gt;0,VLOOKUP($L32,'Allocation Factors - Ex'!$B$13:$W$160,8,FALSE)*$J32,0)+IF($F32&lt;&gt;0,VLOOKUP($H32,'Allocation Factors - Ex'!$B$13:$W$160,8,FALSE)*$F32,0)</f>
        <v>0</v>
      </c>
      <c r="R32" s="76">
        <f ca="1">IF($J32&lt;&gt;0,VLOOKUP($L32,'Allocation Factors - Ex'!$B$13:$W$160,9,FALSE)*$J32,0)+IF($F32&lt;&gt;0,VLOOKUP($H32,'Allocation Factors - Ex'!$B$13:$W$160,9,FALSE)*$F32,0)</f>
        <v>0</v>
      </c>
    </row>
    <row r="33" spans="1:18" x14ac:dyDescent="0.25">
      <c r="A33" s="2">
        <f t="shared" ref="A33:A39" si="9">A32+1</f>
        <v>15</v>
      </c>
      <c r="B33" s="31" t="s">
        <v>377</v>
      </c>
      <c r="D33" s="76">
        <f ca="1">'Total Allocation by Rate Zone'!S33</f>
        <v>23651.555856816427</v>
      </c>
      <c r="J33" s="76">
        <f t="shared" ca="1" si="8"/>
        <v>23651.555856816427</v>
      </c>
      <c r="L33" s="2" t="s">
        <v>457</v>
      </c>
      <c r="N33" s="76">
        <f ca="1">IF($J33&lt;&gt;0,VLOOKUP($L33,'Allocation Factors - Ex'!$B$13:$W$160,5,FALSE)*$J33,0)+IF($F33&lt;&gt;0,VLOOKUP($H33,'Allocation Factors - Ex'!$B$13:$W$160,5,FALSE)*$F33,0)</f>
        <v>0</v>
      </c>
      <c r="O33" s="76">
        <f ca="1">IF($J33&lt;&gt;0,VLOOKUP($L33,'Allocation Factors - Ex'!$B$14:$W$10679,6,FALSE)*$J33,0)+IF($F33&lt;&gt;0,VLOOKUP($H33,'Allocation Factors - Ex'!$B$14:$W$160,6,FALSE)*$F33,0)</f>
        <v>23651.555856816427</v>
      </c>
      <c r="P33" s="76">
        <f ca="1">IF($J33&lt;&gt;0,VLOOKUP($L33,'Allocation Factors - Ex'!$B$13:$W$160,7,FALSE)*$J33,0)+IF($F33&lt;&gt;0,VLOOKUP($H33,'Allocation Factors - Ex'!$B$13:$W$160,7,FALSE)*$F33,0)</f>
        <v>0</v>
      </c>
      <c r="Q33" s="76">
        <f ca="1">IF($J33&lt;&gt;0,VLOOKUP($L33,'Allocation Factors - Ex'!$B$13:$W$160,8,FALSE)*$J33,0)+IF($F33&lt;&gt;0,VLOOKUP($H33,'Allocation Factors - Ex'!$B$13:$W$160,8,FALSE)*$F33,0)</f>
        <v>0</v>
      </c>
      <c r="R33" s="76">
        <f ca="1">IF($J33&lt;&gt;0,VLOOKUP($L33,'Allocation Factors - Ex'!$B$13:$W$160,9,FALSE)*$J33,0)+IF($F33&lt;&gt;0,VLOOKUP($H33,'Allocation Factors - Ex'!$B$13:$W$160,9,FALSE)*$F33,0)</f>
        <v>0</v>
      </c>
    </row>
    <row r="34" spans="1:18" x14ac:dyDescent="0.25">
      <c r="A34" s="2">
        <f t="shared" si="9"/>
        <v>16</v>
      </c>
      <c r="B34" s="31" t="s">
        <v>379</v>
      </c>
      <c r="D34" s="76">
        <f ca="1">'Total Allocation by Rate Zone'!S34</f>
        <v>66563.358443648132</v>
      </c>
      <c r="J34" s="76">
        <f t="shared" ca="1" si="8"/>
        <v>66563.358443648132</v>
      </c>
      <c r="L34" s="2" t="s">
        <v>458</v>
      </c>
      <c r="N34" s="76">
        <f ca="1">IF($J34&lt;&gt;0,VLOOKUP($L34,'Allocation Factors - Ex'!$B$13:$W$160,5,FALSE)*$J34,0)+IF($F34&lt;&gt;0,VLOOKUP($H34,'Allocation Factors - Ex'!$B$13:$W$160,5,FALSE)*$F34,0)</f>
        <v>0</v>
      </c>
      <c r="O34" s="76">
        <f ca="1">IF($J34&lt;&gt;0,VLOOKUP($L34,'Allocation Factors - Ex'!$B$14:$W$10679,6,FALSE)*$J34,0)+IF($F34&lt;&gt;0,VLOOKUP($H34,'Allocation Factors - Ex'!$B$14:$W$160,6,FALSE)*$F34,0)</f>
        <v>66563.358443648132</v>
      </c>
      <c r="P34" s="76">
        <f ca="1">IF($J34&lt;&gt;0,VLOOKUP($L34,'Allocation Factors - Ex'!$B$13:$W$160,7,FALSE)*$J34,0)+IF($F34&lt;&gt;0,VLOOKUP($H34,'Allocation Factors - Ex'!$B$13:$W$160,7,FALSE)*$F34,0)</f>
        <v>0</v>
      </c>
      <c r="Q34" s="76">
        <f ca="1">IF($J34&lt;&gt;0,VLOOKUP($L34,'Allocation Factors - Ex'!$B$13:$W$160,8,FALSE)*$J34,0)+IF($F34&lt;&gt;0,VLOOKUP($H34,'Allocation Factors - Ex'!$B$13:$W$160,8,FALSE)*$F34,0)</f>
        <v>0</v>
      </c>
      <c r="R34" s="76">
        <f ca="1">IF($J34&lt;&gt;0,VLOOKUP($L34,'Allocation Factors - Ex'!$B$13:$W$160,9,FALSE)*$J34,0)+IF($F34&lt;&gt;0,VLOOKUP($H34,'Allocation Factors - Ex'!$B$13:$W$160,9,FALSE)*$F34,0)</f>
        <v>0</v>
      </c>
    </row>
    <row r="35" spans="1:18" x14ac:dyDescent="0.25">
      <c r="A35" s="2">
        <f t="shared" si="9"/>
        <v>17</v>
      </c>
      <c r="B35" s="31" t="s">
        <v>381</v>
      </c>
      <c r="D35" s="76">
        <f ca="1">'Total Allocation by Rate Zone'!S35</f>
        <v>18341.833576983983</v>
      </c>
      <c r="J35" s="76">
        <f t="shared" ca="1" si="8"/>
        <v>18341.833576983983</v>
      </c>
      <c r="L35" s="2" t="s">
        <v>459</v>
      </c>
      <c r="N35" s="76">
        <f ca="1">IF($J35&lt;&gt;0,VLOOKUP($L35,'Allocation Factors - Ex'!$B$13:$W$160,5,FALSE)*$J35,0)+IF($F35&lt;&gt;0,VLOOKUP($H35,'Allocation Factors - Ex'!$B$13:$W$160,5,FALSE)*$F35,0)</f>
        <v>0</v>
      </c>
      <c r="O35" s="76">
        <f ca="1">IF($J35&lt;&gt;0,VLOOKUP($L35,'Allocation Factors - Ex'!$B$14:$W$10679,6,FALSE)*$J35,0)+IF($F35&lt;&gt;0,VLOOKUP($H35,'Allocation Factors - Ex'!$B$14:$W$160,6,FALSE)*$F35,0)</f>
        <v>18341.833576983983</v>
      </c>
      <c r="P35" s="76">
        <f ca="1">IF($J35&lt;&gt;0,VLOOKUP($L35,'Allocation Factors - Ex'!$B$13:$W$160,7,FALSE)*$J35,0)+IF($F35&lt;&gt;0,VLOOKUP($H35,'Allocation Factors - Ex'!$B$13:$W$160,7,FALSE)*$F35,0)</f>
        <v>0</v>
      </c>
      <c r="Q35" s="76">
        <f ca="1">IF($J35&lt;&gt;0,VLOOKUP($L35,'Allocation Factors - Ex'!$B$13:$W$160,8,FALSE)*$J35,0)+IF($F35&lt;&gt;0,VLOOKUP($H35,'Allocation Factors - Ex'!$B$13:$W$160,8,FALSE)*$F35,0)</f>
        <v>0</v>
      </c>
      <c r="R35" s="76">
        <f ca="1">IF($J35&lt;&gt;0,VLOOKUP($L35,'Allocation Factors - Ex'!$B$13:$W$160,9,FALSE)*$J35,0)+IF($F35&lt;&gt;0,VLOOKUP($H35,'Allocation Factors - Ex'!$B$13:$W$160,9,FALSE)*$F35,0)</f>
        <v>0</v>
      </c>
    </row>
    <row r="36" spans="1:18" x14ac:dyDescent="0.25">
      <c r="A36" s="2">
        <f t="shared" si="9"/>
        <v>18</v>
      </c>
      <c r="B36" s="31" t="s">
        <v>383</v>
      </c>
      <c r="D36" s="76">
        <f ca="1">'Total Allocation by Rate Zone'!S36</f>
        <v>0</v>
      </c>
      <c r="J36" s="76">
        <f t="shared" ca="1" si="8"/>
        <v>0</v>
      </c>
      <c r="L36" s="2" t="s">
        <v>460</v>
      </c>
      <c r="N36" s="76">
        <f ca="1">IF($J36&lt;&gt;0,VLOOKUP($L36,'Allocation Factors - Ex'!$B$13:$W$160,5,FALSE)*$J36,0)+IF($F36&lt;&gt;0,VLOOKUP($H36,'Allocation Factors - Ex'!$B$13:$W$160,5,FALSE)*$F36,0)</f>
        <v>0</v>
      </c>
      <c r="O36" s="76">
        <f ca="1">IF($J36&lt;&gt;0,VLOOKUP($L36,'Allocation Factors - Ex'!$B$14:$W$10679,6,FALSE)*$J36,0)+IF($F36&lt;&gt;0,VLOOKUP($H36,'Allocation Factors - Ex'!$B$14:$W$160,6,FALSE)*$F36,0)</f>
        <v>0</v>
      </c>
      <c r="P36" s="76">
        <f ca="1">IF($J36&lt;&gt;0,VLOOKUP($L36,'Allocation Factors - Ex'!$B$13:$W$160,7,FALSE)*$J36,0)+IF($F36&lt;&gt;0,VLOOKUP($H36,'Allocation Factors - Ex'!$B$13:$W$160,7,FALSE)*$F36,0)</f>
        <v>0</v>
      </c>
      <c r="Q36" s="76">
        <f ca="1">IF($J36&lt;&gt;0,VLOOKUP($L36,'Allocation Factors - Ex'!$B$13:$W$160,8,FALSE)*$J36,0)+IF($F36&lt;&gt;0,VLOOKUP($H36,'Allocation Factors - Ex'!$B$13:$W$160,8,FALSE)*$F36,0)</f>
        <v>0</v>
      </c>
      <c r="R36" s="76">
        <f ca="1">IF($J36&lt;&gt;0,VLOOKUP($L36,'Allocation Factors - Ex'!$B$13:$W$160,9,FALSE)*$J36,0)+IF($F36&lt;&gt;0,VLOOKUP($H36,'Allocation Factors - Ex'!$B$13:$W$160,9,FALSE)*$F36,0)</f>
        <v>0</v>
      </c>
    </row>
    <row r="37" spans="1:18" x14ac:dyDescent="0.25">
      <c r="A37" s="2">
        <f t="shared" si="9"/>
        <v>19</v>
      </c>
      <c r="B37" s="31" t="s">
        <v>385</v>
      </c>
      <c r="D37" s="76">
        <f ca="1">'Total Allocation by Rate Zone'!S37</f>
        <v>0</v>
      </c>
      <c r="J37" s="76">
        <f t="shared" ca="1" si="8"/>
        <v>0</v>
      </c>
      <c r="L37" s="2" t="s">
        <v>461</v>
      </c>
      <c r="N37" s="76">
        <f ca="1">IF($J37&lt;&gt;0,VLOOKUP($L37,'Allocation Factors - Ex'!$B$13:$W$160,5,FALSE)*$J37,0)+IF($F37&lt;&gt;0,VLOOKUP($H37,'Allocation Factors - Ex'!$B$13:$W$160,5,FALSE)*$F37,0)</f>
        <v>0</v>
      </c>
      <c r="O37" s="76">
        <f ca="1">IF($J37&lt;&gt;0,VLOOKUP($L37,'Allocation Factors - Ex'!$B$14:$W$10679,6,FALSE)*$J37,0)+IF($F37&lt;&gt;0,VLOOKUP($H37,'Allocation Factors - Ex'!$B$14:$W$160,6,FALSE)*$F37,0)</f>
        <v>0</v>
      </c>
      <c r="P37" s="76">
        <f ca="1">IF($J37&lt;&gt;0,VLOOKUP($L37,'Allocation Factors - Ex'!$B$13:$W$160,7,FALSE)*$J37,0)+IF($F37&lt;&gt;0,VLOOKUP($H37,'Allocation Factors - Ex'!$B$13:$W$160,7,FALSE)*$F37,0)</f>
        <v>0</v>
      </c>
      <c r="Q37" s="76">
        <f ca="1">IF($J37&lt;&gt;0,VLOOKUP($L37,'Allocation Factors - Ex'!$B$13:$W$160,8,FALSE)*$J37,0)+IF($F37&lt;&gt;0,VLOOKUP($H37,'Allocation Factors - Ex'!$B$13:$W$160,8,FALSE)*$F37,0)</f>
        <v>0</v>
      </c>
      <c r="R37" s="76">
        <f ca="1">IF($J37&lt;&gt;0,VLOOKUP($L37,'Allocation Factors - Ex'!$B$13:$W$160,9,FALSE)*$J37,0)+IF($F37&lt;&gt;0,VLOOKUP($H37,'Allocation Factors - Ex'!$B$13:$W$160,9,FALSE)*$F37,0)</f>
        <v>0</v>
      </c>
    </row>
    <row r="38" spans="1:18" x14ac:dyDescent="0.25">
      <c r="A38" s="2">
        <f t="shared" si="9"/>
        <v>20</v>
      </c>
      <c r="B38" s="31" t="s">
        <v>386</v>
      </c>
      <c r="D38" s="76">
        <f ca="1">'Total Allocation by Rate Zone'!S38</f>
        <v>20656.12506591517</v>
      </c>
      <c r="F38" s="76">
        <f>'Rate Zone Allocation Factors'!L16</f>
        <v>9718.9252285762832</v>
      </c>
      <c r="H38" s="2" t="s">
        <v>462</v>
      </c>
      <c r="J38" s="76">
        <f t="shared" ca="1" si="8"/>
        <v>10937.199837338887</v>
      </c>
      <c r="L38" s="2" t="s">
        <v>463</v>
      </c>
      <c r="N38" s="76">
        <f ca="1">IF($J38&lt;&gt;0,VLOOKUP($L38,'Allocation Factors - Ex'!$B$13:$W$160,5,FALSE)*$J38,0)+IF($F38&lt;&gt;0,VLOOKUP($H38,'Allocation Factors - Ex'!$B$13:$W$160,5,FALSE)*$F38,0)</f>
        <v>0</v>
      </c>
      <c r="O38" s="76">
        <f ca="1">IF($J38&lt;&gt;0,VLOOKUP($L38,'Allocation Factors - Ex'!$B$14:$W$10679,6,FALSE)*$J38,0)+IF($F38&lt;&gt;0,VLOOKUP($H38,'Allocation Factors - Ex'!$B$14:$W$160,6,FALSE)*$F38,0)</f>
        <v>20289.031301978397</v>
      </c>
      <c r="P38" s="76">
        <f ca="1">IF($J38&lt;&gt;0,VLOOKUP($L38,'Allocation Factors - Ex'!$B$13:$W$160,7,FALSE)*$J38,0)+IF($F38&lt;&gt;0,VLOOKUP($H38,'Allocation Factors - Ex'!$B$13:$W$160,7,FALSE)*$F38,0)</f>
        <v>290.69312524995598</v>
      </c>
      <c r="Q38" s="76">
        <f ca="1">IF($J38&lt;&gt;0,VLOOKUP($L38,'Allocation Factors - Ex'!$B$13:$W$160,8,FALSE)*$J38,0)+IF($F38&lt;&gt;0,VLOOKUP($H38,'Allocation Factors - Ex'!$B$13:$W$160,8,FALSE)*$F38,0)</f>
        <v>76.400638686818198</v>
      </c>
      <c r="R38" s="76">
        <f ca="1">IF($J38&lt;&gt;0,VLOOKUP($L38,'Allocation Factors - Ex'!$B$13:$W$160,9,FALSE)*$J38,0)+IF($F38&lt;&gt;0,VLOOKUP($H38,'Allocation Factors - Ex'!$B$13:$W$160,9,FALSE)*$F38,0)</f>
        <v>0</v>
      </c>
    </row>
    <row r="39" spans="1:18" x14ac:dyDescent="0.25">
      <c r="A39" s="2">
        <f t="shared" si="9"/>
        <v>21</v>
      </c>
      <c r="B39" s="31" t="s">
        <v>389</v>
      </c>
      <c r="D39" s="40">
        <f ca="1">SUM(D31:D38)</f>
        <v>134892.59436628551</v>
      </c>
      <c r="F39" s="40">
        <f>SUM(F31:F38)</f>
        <v>9718.9252285762832</v>
      </c>
      <c r="J39" s="40">
        <f ca="1">SUM(J31:J38)</f>
        <v>125173.66913770924</v>
      </c>
      <c r="N39" s="40">
        <f t="shared" ref="N39:Q39" ca="1" si="10">SUM(N31:N38)</f>
        <v>0</v>
      </c>
      <c r="O39" s="40">
        <f t="shared" ca="1" si="10"/>
        <v>134525.50060234874</v>
      </c>
      <c r="P39" s="40">
        <f t="shared" ca="1" si="10"/>
        <v>290.69312524995598</v>
      </c>
      <c r="Q39" s="40">
        <f t="shared" ca="1" si="10"/>
        <v>76.400638686818198</v>
      </c>
      <c r="R39" s="40">
        <f t="shared" ref="R39" ca="1" si="11">SUM(R31:R38)</f>
        <v>0</v>
      </c>
    </row>
    <row r="40" spans="1:18" x14ac:dyDescent="0.25">
      <c r="N40" s="76"/>
      <c r="O40" s="76"/>
    </row>
    <row r="41" spans="1:18" x14ac:dyDescent="0.25">
      <c r="D41" s="48"/>
    </row>
    <row r="42" spans="1:18" ht="13" thickBot="1" x14ac:dyDescent="0.3">
      <c r="A42" s="2">
        <f>A39+1</f>
        <v>22</v>
      </c>
      <c r="B42" s="31" t="s">
        <v>464</v>
      </c>
      <c r="D42" s="80">
        <f ca="1">D21+D28+D39</f>
        <v>135352.65220927636</v>
      </c>
      <c r="F42" s="80">
        <f>F21+F28+F39</f>
        <v>9718.9252285762832</v>
      </c>
      <c r="J42" s="80">
        <f ca="1">J21+J28+J39</f>
        <v>125633.72698070007</v>
      </c>
      <c r="N42" s="80">
        <f t="shared" ref="N42:Q42" ca="1" si="12">N21+N28+N39</f>
        <v>0</v>
      </c>
      <c r="O42" s="80">
        <f t="shared" ca="1" si="12"/>
        <v>134979.7664355626</v>
      </c>
      <c r="P42" s="80">
        <f t="shared" ca="1" si="12"/>
        <v>294.71538669492918</v>
      </c>
      <c r="Q42" s="80">
        <f t="shared" ca="1" si="12"/>
        <v>78.170387018812718</v>
      </c>
      <c r="R42" s="80">
        <f t="shared" ref="R42" ca="1" si="13">R21+R28+R39</f>
        <v>0</v>
      </c>
    </row>
    <row r="43" spans="1:18" ht="13" thickTop="1" x14ac:dyDescent="0.25">
      <c r="D43" s="48"/>
      <c r="N43" s="48"/>
      <c r="O43" s="48"/>
      <c r="R43" s="48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  <pageSetUpPr fitToPage="1"/>
  </sheetPr>
  <dimension ref="B5:AK184"/>
  <sheetViews>
    <sheetView topLeftCell="A4" zoomScale="80" zoomScaleNormal="80" workbookViewId="0">
      <pane xSplit="4" ySplit="10" topLeftCell="E119" activePane="bottomRight" state="frozen"/>
      <selection pane="topRight" activeCell="D173" sqref="D173"/>
      <selection pane="bottomLeft" activeCell="D173" sqref="D173"/>
      <selection pane="bottomRight" activeCell="V46" sqref="V46"/>
    </sheetView>
  </sheetViews>
  <sheetFormatPr defaultColWidth="9.1796875" defaultRowHeight="12.5" x14ac:dyDescent="0.25"/>
  <cols>
    <col min="1" max="1" width="1.7265625" style="1" customWidth="1"/>
    <col min="2" max="2" width="5.54296875" style="18" bestFit="1" customWidth="1"/>
    <col min="3" max="3" width="1.7265625" style="1" customWidth="1"/>
    <col min="4" max="4" width="46" style="1" bestFit="1" customWidth="1"/>
    <col min="5" max="5" width="1.7265625" style="1" customWidth="1"/>
    <col min="6" max="6" width="19.7265625" style="31" customWidth="1"/>
    <col min="7" max="7" width="1.7265625" style="31" customWidth="1"/>
    <col min="8" max="8" width="13.1796875" style="31" customWidth="1"/>
    <col min="9" max="9" width="1.7265625" style="31" customWidth="1"/>
    <col min="10" max="10" width="19.26953125" style="31" customWidth="1"/>
    <col min="11" max="11" width="1.7265625" style="31" customWidth="1"/>
    <col min="12" max="12" width="13.26953125" style="31" customWidth="1"/>
    <col min="13" max="13" width="1.7265625" style="31" customWidth="1"/>
    <col min="14" max="14" width="19.81640625" style="31" customWidth="1"/>
    <col min="15" max="15" width="1.7265625" style="71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customWidth="1"/>
    <col min="25" max="25" width="1.7265625" style="1" customWidth="1"/>
    <col min="26" max="26" width="15.453125" style="1" customWidth="1"/>
    <col min="27" max="27" width="1.7265625" style="1" customWidth="1"/>
    <col min="28" max="28" width="15.453125" style="1" hidden="1" customWidth="1"/>
    <col min="29" max="29" width="9.1796875" style="1"/>
    <col min="30" max="30" width="0" style="1" hidden="1" customWidth="1"/>
    <col min="31" max="16384" width="9.1796875" style="1"/>
  </cols>
  <sheetData>
    <row r="5" spans="2:31" ht="15" customHeight="1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</row>
    <row r="6" spans="2:31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</row>
    <row r="7" spans="2:31" ht="15" customHeight="1" x14ac:dyDescent="0.25">
      <c r="B7" s="155" t="s">
        <v>170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</row>
    <row r="10" spans="2:31" x14ac:dyDescent="0.25">
      <c r="H10" s="2" t="s">
        <v>2</v>
      </c>
      <c r="J10" s="2" t="s">
        <v>3</v>
      </c>
      <c r="L10" s="2" t="s">
        <v>4</v>
      </c>
      <c r="N10" s="2" t="s">
        <v>17</v>
      </c>
      <c r="W10" s="3"/>
    </row>
    <row r="11" spans="2:31" x14ac:dyDescent="0.25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171</v>
      </c>
      <c r="P11" s="18" t="s">
        <v>17</v>
      </c>
      <c r="Q11" s="18"/>
      <c r="R11" s="2" t="s">
        <v>172</v>
      </c>
      <c r="S11" s="2"/>
      <c r="T11" s="2" t="s">
        <v>172</v>
      </c>
      <c r="U11" s="3"/>
      <c r="V11" s="2" t="s">
        <v>173</v>
      </c>
      <c r="W11" s="3"/>
      <c r="X11" s="18" t="s">
        <v>173</v>
      </c>
      <c r="Y11" s="18"/>
      <c r="Z11" s="18"/>
    </row>
    <row r="12" spans="2:31" ht="13" x14ac:dyDescent="0.3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L12" s="33" t="s">
        <v>174</v>
      </c>
      <c r="N12" s="33" t="s">
        <v>14</v>
      </c>
      <c r="O12" s="70" t="s">
        <v>15</v>
      </c>
      <c r="P12" s="4" t="s">
        <v>175</v>
      </c>
      <c r="Q12" s="18"/>
      <c r="R12" s="4" t="s">
        <v>176</v>
      </c>
      <c r="S12" s="18"/>
      <c r="T12" s="4" t="s">
        <v>175</v>
      </c>
      <c r="U12" s="18"/>
      <c r="V12" s="4" t="s">
        <v>177</v>
      </c>
      <c r="W12" s="18"/>
      <c r="X12" s="4" t="s">
        <v>175</v>
      </c>
      <c r="Y12" s="18"/>
      <c r="Z12" s="4" t="s">
        <v>178</v>
      </c>
      <c r="AB12" s="4" t="s">
        <v>2</v>
      </c>
      <c r="AD12" s="26" t="s">
        <v>21</v>
      </c>
      <c r="AE12" s="19"/>
    </row>
    <row r="13" spans="2:31" x14ac:dyDescent="0.25">
      <c r="F13" s="2" t="s">
        <v>22</v>
      </c>
      <c r="H13" s="2" t="s">
        <v>23</v>
      </c>
      <c r="J13" s="2" t="s">
        <v>24</v>
      </c>
      <c r="L13" s="2" t="s">
        <v>179</v>
      </c>
      <c r="N13" s="2" t="s">
        <v>26</v>
      </c>
      <c r="O13" s="70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180</v>
      </c>
      <c r="Y13" s="18"/>
      <c r="Z13" s="18" t="s">
        <v>181</v>
      </c>
      <c r="AB13" s="18" t="s">
        <v>182</v>
      </c>
      <c r="AD13" s="27"/>
    </row>
    <row r="14" spans="2:31" s="71" customFormat="1" x14ac:dyDescent="0.25">
      <c r="B14" s="70"/>
      <c r="F14" s="31"/>
      <c r="G14" s="31"/>
      <c r="H14" s="31"/>
      <c r="I14" s="31"/>
      <c r="J14" s="31"/>
      <c r="K14" s="31"/>
      <c r="L14" s="31"/>
      <c r="M14" s="31"/>
      <c r="N14" s="31"/>
      <c r="P14" s="71">
        <v>4</v>
      </c>
      <c r="R14" s="71">
        <v>6</v>
      </c>
      <c r="T14" s="71">
        <v>8</v>
      </c>
      <c r="V14" s="71">
        <v>10</v>
      </c>
      <c r="X14" s="71">
        <v>12</v>
      </c>
      <c r="Y14" s="70"/>
      <c r="Z14" s="71">
        <v>14</v>
      </c>
      <c r="AD14" s="72"/>
    </row>
    <row r="15" spans="2:31" ht="13" x14ac:dyDescent="0.3">
      <c r="D15" s="6"/>
      <c r="E15" s="6"/>
      <c r="F15" s="74"/>
      <c r="Y15" s="18"/>
      <c r="AD15" s="25"/>
    </row>
    <row r="16" spans="2:31" ht="13" x14ac:dyDescent="0.3">
      <c r="D16" s="6" t="s">
        <v>183</v>
      </c>
      <c r="E16" s="7"/>
      <c r="F16" s="75"/>
      <c r="J16" s="2"/>
      <c r="Z16" s="49"/>
    </row>
    <row r="17" spans="2:37" ht="13" x14ac:dyDescent="0.3">
      <c r="J17" s="2"/>
      <c r="Z17" s="49"/>
    </row>
    <row r="18" spans="2:37" ht="13" x14ac:dyDescent="0.3">
      <c r="B18" s="18">
        <v>1</v>
      </c>
      <c r="D18" s="1" t="s">
        <v>33</v>
      </c>
      <c r="F18" s="48">
        <f ca="1">Function!P18</f>
        <v>0</v>
      </c>
      <c r="H18" s="48"/>
      <c r="J18" s="2"/>
      <c r="L18" s="48">
        <f ca="1">F18-H18</f>
        <v>0</v>
      </c>
      <c r="N18" s="2"/>
      <c r="O18" s="70">
        <f>_xlfn.IFNA(MATCH(N18,'Gas Supply Factors'!$B$14:$B$387,0),0)</f>
        <v>0</v>
      </c>
      <c r="P18" s="20">
        <f ca="1">OFFSET('Gas Supply Factors'!$B$14,$O18-1,P$14)*$L18+OFFSET('Gas Supply Factors'!$B$14,$K18-1,P$14)*$H18</f>
        <v>0</v>
      </c>
      <c r="R18" s="20">
        <f ca="1">OFFSET('Gas Supply Factors'!$B$14,$O18-1,R$14)*$L18+OFFSET('Gas Supply Factors'!$B$14,$K18-1,R$14)*$H18</f>
        <v>0</v>
      </c>
      <c r="S18" s="20"/>
      <c r="T18" s="20">
        <f ca="1">OFFSET('Gas Supply Factors'!$B$14,$O18-1,T$14)*$L18+OFFSET('Gas Supply Factors'!$B$14,$K18-1,T$14)*$H18</f>
        <v>0</v>
      </c>
      <c r="U18" s="20"/>
      <c r="V18" s="20">
        <f ca="1">OFFSET('Gas Supply Factors'!$B$14,$O18-1,V$14)*$L18+OFFSET('Gas Supply Factors'!$B$14,$K18-1,V$14)*$H18</f>
        <v>0</v>
      </c>
      <c r="W18" s="20"/>
      <c r="X18" s="20">
        <f ca="1">OFFSET('Gas Supply Factors'!$B$14,$O18-1,X$14)*$L18+OFFSET('Gas Supply Factors'!$B$14,$K18-1,X$14)*$H18</f>
        <v>0</v>
      </c>
      <c r="Z18" s="20">
        <f ca="1">OFFSET('Gas Supply Factors'!$B$14,$O18-1,Z$14)*$L18+OFFSET('Gas Supply Factors'!$B$14,$K18-1,Z$14)*$H18</f>
        <v>0</v>
      </c>
      <c r="AB18" s="20">
        <f ca="1">P18+R18+V18+X18+Z18+T18</f>
        <v>0</v>
      </c>
      <c r="AD18" s="25" t="str">
        <f ca="1">IF(ROUND(F18,4)=ROUND(AB18,4), "", "check")</f>
        <v/>
      </c>
    </row>
    <row r="19" spans="2:37" ht="13" x14ac:dyDescent="0.3">
      <c r="B19" s="18">
        <f>B18+1</f>
        <v>2</v>
      </c>
      <c r="D19" s="1" t="s">
        <v>35</v>
      </c>
      <c r="F19" s="48">
        <f ca="1">Function!P19</f>
        <v>0</v>
      </c>
      <c r="H19" s="48"/>
      <c r="J19" s="2"/>
      <c r="L19" s="48">
        <f t="shared" ref="L19:L30" ca="1" si="0">F19-H19</f>
        <v>0</v>
      </c>
      <c r="N19" s="2"/>
      <c r="O19" s="70">
        <f>_xlfn.IFNA(MATCH(N19,'Gas Supply Factors'!$B$14:$B$387,0),0)</f>
        <v>0</v>
      </c>
      <c r="P19" s="20">
        <f ca="1">OFFSET('Gas Supply Factors'!$B$14,$O19-1,P$14)*$L19+OFFSET('Gas Supply Factors'!$B$14,$K19-1,P$14)*$H19</f>
        <v>0</v>
      </c>
      <c r="R19" s="20">
        <f ca="1">OFFSET('Gas Supply Factors'!$B$14,$O19-1,R$14)*$L19+OFFSET('Gas Supply Factors'!$B$14,$K19-1,R$14)*$H19</f>
        <v>0</v>
      </c>
      <c r="S19" s="20"/>
      <c r="T19" s="20">
        <f ca="1">OFFSET('Gas Supply Factors'!$B$14,$O19-1,T$14)*$L19+OFFSET('Gas Supply Factors'!$B$14,$K19-1,T$14)*$H19</f>
        <v>0</v>
      </c>
      <c r="U19" s="20"/>
      <c r="V19" s="20">
        <f ca="1">OFFSET('Gas Supply Factors'!$B$14,$O19-1,V$14)*$L19+OFFSET('Gas Supply Factors'!$B$14,$K19-1,V$14)*$H19</f>
        <v>0</v>
      </c>
      <c r="W19" s="20"/>
      <c r="X19" s="20">
        <f ca="1">OFFSET('Gas Supply Factors'!$B$14,$O19-1,X$14)*$L19+OFFSET('Gas Supply Factors'!$B$14,$K19-1,X$14)*$H19</f>
        <v>0</v>
      </c>
      <c r="Z19" s="20">
        <f ca="1">OFFSET('Gas Supply Factors'!$B$14,$O19-1,Z$14)*$L19+OFFSET('Gas Supply Factors'!$B$14,$K19-1,Z$14)*$H19</f>
        <v>0</v>
      </c>
      <c r="AB19" s="20">
        <f t="shared" ref="AB19:AB30" ca="1" si="1">P19+R19+V19+X19+Z19+T19</f>
        <v>0</v>
      </c>
      <c r="AD19" s="25"/>
    </row>
    <row r="20" spans="2:37" ht="13" x14ac:dyDescent="0.3">
      <c r="B20" s="18">
        <f t="shared" ref="B20:B31" si="2">B19+1</f>
        <v>3</v>
      </c>
      <c r="D20" s="1" t="s">
        <v>37</v>
      </c>
      <c r="F20" s="48">
        <f ca="1">Function!P20</f>
        <v>0</v>
      </c>
      <c r="H20" s="48"/>
      <c r="J20" s="2"/>
      <c r="L20" s="48">
        <f t="shared" ca="1" si="0"/>
        <v>0</v>
      </c>
      <c r="N20" s="2"/>
      <c r="O20" s="70">
        <f>_xlfn.IFNA(MATCH(N20,'Gas Supply Factors'!$B$14:$B$387,0),0)</f>
        <v>0</v>
      </c>
      <c r="P20" s="20">
        <f ca="1">OFFSET('Gas Supply Factors'!$B$14,$O20-1,P$14)*$L20+OFFSET('Gas Supply Factors'!$B$14,$K20-1,P$14)*$H20</f>
        <v>0</v>
      </c>
      <c r="R20" s="20">
        <f ca="1">OFFSET('Gas Supply Factors'!$B$14,$O20-1,R$14)*$L20+OFFSET('Gas Supply Factors'!$B$14,$K20-1,R$14)*$H20</f>
        <v>0</v>
      </c>
      <c r="S20" s="20"/>
      <c r="T20" s="20">
        <f ca="1">OFFSET('Gas Supply Factors'!$B$14,$O20-1,T$14)*$L20+OFFSET('Gas Supply Factors'!$B$14,$K20-1,T$14)*$H20</f>
        <v>0</v>
      </c>
      <c r="U20" s="20"/>
      <c r="V20" s="20">
        <f ca="1">OFFSET('Gas Supply Factors'!$B$14,$O20-1,V$14)*$L20+OFFSET('Gas Supply Factors'!$B$14,$K20-1,V$14)*$H20</f>
        <v>0</v>
      </c>
      <c r="W20" s="20"/>
      <c r="X20" s="20">
        <f ca="1">OFFSET('Gas Supply Factors'!$B$14,$O20-1,X$14)*$L20+OFFSET('Gas Supply Factors'!$B$14,$K20-1,X$14)*$H20</f>
        <v>0</v>
      </c>
      <c r="Z20" s="20">
        <f ca="1">OFFSET('Gas Supply Factors'!$B$14,$O20-1,Z$14)*$L20+OFFSET('Gas Supply Factors'!$B$14,$K20-1,Z$14)*$H20</f>
        <v>0</v>
      </c>
      <c r="AB20" s="20">
        <f t="shared" ca="1" si="1"/>
        <v>0</v>
      </c>
      <c r="AD20" s="25" t="str">
        <f t="shared" ref="AD20:AD23" ca="1" si="3">IF(ROUND(F20,4)=ROUND(AB20,4), "", "check")</f>
        <v/>
      </c>
    </row>
    <row r="21" spans="2:37" ht="13" x14ac:dyDescent="0.3">
      <c r="B21" s="18">
        <f t="shared" si="2"/>
        <v>4</v>
      </c>
      <c r="D21" s="1" t="s">
        <v>39</v>
      </c>
      <c r="F21" s="48">
        <f ca="1">Function!P21</f>
        <v>0</v>
      </c>
      <c r="H21" s="48"/>
      <c r="J21" s="2"/>
      <c r="L21" s="48">
        <f t="shared" ca="1" si="0"/>
        <v>0</v>
      </c>
      <c r="N21" s="2"/>
      <c r="O21" s="70">
        <f>_xlfn.IFNA(MATCH(N21,'Gas Supply Factors'!$B$14:$B$387,0),0)</f>
        <v>0</v>
      </c>
      <c r="P21" s="20">
        <f ca="1">OFFSET('Gas Supply Factors'!$B$14,$O21-1,P$14)*$L21+OFFSET('Gas Supply Factors'!$B$14,$K21-1,P$14)*$H21</f>
        <v>0</v>
      </c>
      <c r="R21" s="20">
        <f ca="1">OFFSET('Gas Supply Factors'!$B$14,$O21-1,R$14)*$L21+OFFSET('Gas Supply Factors'!$B$14,$K21-1,R$14)*$H21</f>
        <v>0</v>
      </c>
      <c r="S21" s="20"/>
      <c r="T21" s="20">
        <f ca="1">OFFSET('Gas Supply Factors'!$B$14,$O21-1,T$14)*$L21+OFFSET('Gas Supply Factors'!$B$14,$K21-1,T$14)*$H21</f>
        <v>0</v>
      </c>
      <c r="U21" s="20"/>
      <c r="V21" s="20">
        <f ca="1">OFFSET('Gas Supply Factors'!$B$14,$O21-1,V$14)*$L21+OFFSET('Gas Supply Factors'!$B$14,$K21-1,V$14)*$H21</f>
        <v>0</v>
      </c>
      <c r="W21" s="20"/>
      <c r="X21" s="20">
        <f ca="1">OFFSET('Gas Supply Factors'!$B$14,$O21-1,X$14)*$L21+OFFSET('Gas Supply Factors'!$B$14,$K21-1,X$14)*$H21</f>
        <v>0</v>
      </c>
      <c r="Z21" s="20">
        <f ca="1">OFFSET('Gas Supply Factors'!$B$14,$O21-1,Z$14)*$L21+OFFSET('Gas Supply Factors'!$B$14,$K21-1,Z$14)*$H21</f>
        <v>0</v>
      </c>
      <c r="AB21" s="20">
        <f t="shared" ca="1" si="1"/>
        <v>0</v>
      </c>
      <c r="AD21" s="25" t="str">
        <f t="shared" ca="1" si="3"/>
        <v/>
      </c>
    </row>
    <row r="22" spans="2:37" ht="13" x14ac:dyDescent="0.3">
      <c r="B22" s="18">
        <f t="shared" si="2"/>
        <v>5</v>
      </c>
      <c r="D22" s="1" t="s">
        <v>41</v>
      </c>
      <c r="F22" s="48">
        <f ca="1">Function!P22</f>
        <v>0</v>
      </c>
      <c r="H22" s="48"/>
      <c r="J22" s="2"/>
      <c r="L22" s="48">
        <f t="shared" ca="1" si="0"/>
        <v>0</v>
      </c>
      <c r="N22" s="2"/>
      <c r="O22" s="70">
        <f>_xlfn.IFNA(MATCH(N22,'Gas Supply Factors'!$B$14:$B$387,0),0)</f>
        <v>0</v>
      </c>
      <c r="P22" s="20">
        <f ca="1">OFFSET('Gas Supply Factors'!$B$14,$O22-1,P$14)*$L22+OFFSET('Gas Supply Factors'!$B$14,$K22-1,P$14)*$H22</f>
        <v>0</v>
      </c>
      <c r="R22" s="20">
        <f ca="1">OFFSET('Gas Supply Factors'!$B$14,$O22-1,R$14)*$L22+OFFSET('Gas Supply Factors'!$B$14,$K22-1,R$14)*$H22</f>
        <v>0</v>
      </c>
      <c r="S22" s="20"/>
      <c r="T22" s="20">
        <f ca="1">OFFSET('Gas Supply Factors'!$B$14,$O22-1,T$14)*$L22+OFFSET('Gas Supply Factors'!$B$14,$K22-1,T$14)*$H22</f>
        <v>0</v>
      </c>
      <c r="U22" s="20"/>
      <c r="V22" s="20">
        <f ca="1">OFFSET('Gas Supply Factors'!$B$14,$O22-1,V$14)*$L22+OFFSET('Gas Supply Factors'!$B$14,$K22-1,V$14)*$H22</f>
        <v>0</v>
      </c>
      <c r="W22" s="20"/>
      <c r="X22" s="20">
        <f ca="1">OFFSET('Gas Supply Factors'!$B$14,$O22-1,X$14)*$L22+OFFSET('Gas Supply Factors'!$B$14,$K22-1,X$14)*$H22</f>
        <v>0</v>
      </c>
      <c r="Z22" s="20">
        <f ca="1">OFFSET('Gas Supply Factors'!$B$14,$O22-1,Z$14)*$L22+OFFSET('Gas Supply Factors'!$B$14,$K22-1,Z$14)*$H22</f>
        <v>0</v>
      </c>
      <c r="AB22" s="20">
        <f t="shared" ca="1" si="1"/>
        <v>0</v>
      </c>
      <c r="AD22" s="25" t="str">
        <f t="shared" ca="1" si="3"/>
        <v/>
      </c>
    </row>
    <row r="23" spans="2:37" ht="13" x14ac:dyDescent="0.3">
      <c r="B23" s="18">
        <f t="shared" si="2"/>
        <v>6</v>
      </c>
      <c r="D23" s="1" t="s">
        <v>43</v>
      </c>
      <c r="F23" s="48">
        <f ca="1">Function!P23</f>
        <v>0</v>
      </c>
      <c r="H23" s="48"/>
      <c r="L23" s="48">
        <f t="shared" ca="1" si="0"/>
        <v>0</v>
      </c>
      <c r="N23" s="2"/>
      <c r="O23" s="70">
        <f>_xlfn.IFNA(MATCH(N23,'Gas Supply Factors'!$B$14:$B$387,0),0)</f>
        <v>0</v>
      </c>
      <c r="P23" s="20">
        <f ca="1">OFFSET('Gas Supply Factors'!$B$14,$O23-1,P$14)*$L23+OFFSET('Gas Supply Factors'!$B$14,$K23-1,P$14)*$H23</f>
        <v>0</v>
      </c>
      <c r="R23" s="20">
        <f ca="1">OFFSET('Gas Supply Factors'!$B$14,$O23-1,R$14)*$L23+OFFSET('Gas Supply Factors'!$B$14,$K23-1,R$14)*$H23</f>
        <v>0</v>
      </c>
      <c r="S23" s="20"/>
      <c r="T23" s="20">
        <f ca="1">OFFSET('Gas Supply Factors'!$B$14,$O23-1,T$14)*$L23+OFFSET('Gas Supply Factors'!$B$14,$K23-1,T$14)*$H23</f>
        <v>0</v>
      </c>
      <c r="U23" s="20"/>
      <c r="V23" s="20">
        <f ca="1">OFFSET('Gas Supply Factors'!$B$14,$O23-1,V$14)*$L23+OFFSET('Gas Supply Factors'!$B$14,$K23-1,V$14)*$H23</f>
        <v>0</v>
      </c>
      <c r="W23" s="20"/>
      <c r="X23" s="20">
        <f ca="1">OFFSET('Gas Supply Factors'!$B$14,$O23-1,X$14)*$L23+OFFSET('Gas Supply Factors'!$B$14,$K23-1,X$14)*$H23</f>
        <v>0</v>
      </c>
      <c r="Z23" s="20">
        <f ca="1">OFFSET('Gas Supply Factors'!$B$14,$O23-1,Z$14)*$L23+OFFSET('Gas Supply Factors'!$B$14,$K23-1,Z$14)*$H23</f>
        <v>0</v>
      </c>
      <c r="AB23" s="20">
        <f t="shared" ca="1" si="1"/>
        <v>0</v>
      </c>
      <c r="AD23" s="25" t="str">
        <f t="shared" ca="1" si="3"/>
        <v/>
      </c>
      <c r="AK23" s="15"/>
    </row>
    <row r="24" spans="2:37" ht="13" x14ac:dyDescent="0.3">
      <c r="B24" s="18">
        <f t="shared" si="2"/>
        <v>7</v>
      </c>
      <c r="D24" s="1" t="s">
        <v>45</v>
      </c>
      <c r="F24" s="48">
        <f ca="1">Function!P24</f>
        <v>0</v>
      </c>
      <c r="H24" s="48"/>
      <c r="L24" s="48">
        <f t="shared" ca="1" si="0"/>
        <v>0</v>
      </c>
      <c r="N24" s="2"/>
      <c r="O24" s="70">
        <f>_xlfn.IFNA(MATCH(N24,'Gas Supply Factors'!$B$14:$B$387,0),0)</f>
        <v>0</v>
      </c>
      <c r="P24" s="20">
        <f ca="1">OFFSET('Gas Supply Factors'!$B$14,$O24-1,P$14)*$L24+OFFSET('Gas Supply Factors'!$B$14,$K24-1,P$14)*$H24</f>
        <v>0</v>
      </c>
      <c r="R24" s="20">
        <f ca="1">OFFSET('Gas Supply Factors'!$B$14,$O24-1,R$14)*$L24+OFFSET('Gas Supply Factors'!$B$14,$K24-1,R$14)*$H24</f>
        <v>0</v>
      </c>
      <c r="S24" s="20"/>
      <c r="T24" s="20">
        <f ca="1">OFFSET('Gas Supply Factors'!$B$14,$O24-1,T$14)*$L24+OFFSET('Gas Supply Factors'!$B$14,$K24-1,T$14)*$H24</f>
        <v>0</v>
      </c>
      <c r="U24" s="20"/>
      <c r="V24" s="20">
        <f ca="1">OFFSET('Gas Supply Factors'!$B$14,$O24-1,V$14)*$L24+OFFSET('Gas Supply Factors'!$B$14,$K24-1,V$14)*$H24</f>
        <v>0</v>
      </c>
      <c r="W24" s="20"/>
      <c r="X24" s="20">
        <f ca="1">OFFSET('Gas Supply Factors'!$B$14,$O24-1,X$14)*$L24+OFFSET('Gas Supply Factors'!$B$14,$K24-1,X$14)*$H24</f>
        <v>0</v>
      </c>
      <c r="Z24" s="20">
        <f ca="1">OFFSET('Gas Supply Factors'!$B$14,$O24-1,Z$14)*$L24+OFFSET('Gas Supply Factors'!$B$14,$K24-1,Z$14)*$H24</f>
        <v>0</v>
      </c>
      <c r="AB24" s="20">
        <f t="shared" ca="1" si="1"/>
        <v>0</v>
      </c>
      <c r="AD24" s="25" t="str">
        <f ca="1">IF(ROUND(F24,4)=ROUND(AB24,4), "", "check")</f>
        <v/>
      </c>
      <c r="AK24" s="15"/>
    </row>
    <row r="25" spans="2:37" ht="13" x14ac:dyDescent="0.3">
      <c r="B25" s="18">
        <f t="shared" si="2"/>
        <v>8</v>
      </c>
      <c r="D25" s="1" t="s">
        <v>47</v>
      </c>
      <c r="F25" s="48">
        <f ca="1">Function!P25</f>
        <v>0</v>
      </c>
      <c r="H25" s="48"/>
      <c r="L25" s="48">
        <f t="shared" ca="1" si="0"/>
        <v>0</v>
      </c>
      <c r="N25" s="2"/>
      <c r="O25" s="70">
        <f>_xlfn.IFNA(MATCH(N25,'Gas Supply Factors'!$B$14:$B$387,0),0)</f>
        <v>0</v>
      </c>
      <c r="P25" s="20">
        <f ca="1">OFFSET('Gas Supply Factors'!$B$14,$O25-1,P$14)*$L25+OFFSET('Gas Supply Factors'!$B$14,$K25-1,P$14)*$H25</f>
        <v>0</v>
      </c>
      <c r="R25" s="20">
        <f ca="1">OFFSET('Gas Supply Factors'!$B$14,$O25-1,R$14)*$L25+OFFSET('Gas Supply Factors'!$B$14,$K25-1,R$14)*$H25</f>
        <v>0</v>
      </c>
      <c r="S25" s="20"/>
      <c r="T25" s="20">
        <f ca="1">OFFSET('Gas Supply Factors'!$B$14,$O25-1,T$14)*$L25+OFFSET('Gas Supply Factors'!$B$14,$K25-1,T$14)*$H25</f>
        <v>0</v>
      </c>
      <c r="U25" s="20"/>
      <c r="V25" s="20">
        <f ca="1">OFFSET('Gas Supply Factors'!$B$14,$O25-1,V$14)*$L25+OFFSET('Gas Supply Factors'!$B$14,$K25-1,V$14)*$H25</f>
        <v>0</v>
      </c>
      <c r="W25" s="20"/>
      <c r="X25" s="20">
        <f ca="1">OFFSET('Gas Supply Factors'!$B$14,$O25-1,X$14)*$L25+OFFSET('Gas Supply Factors'!$B$14,$K25-1,X$14)*$H25</f>
        <v>0</v>
      </c>
      <c r="Z25" s="20">
        <f ca="1">OFFSET('Gas Supply Factors'!$B$14,$O25-1,Z$14)*$L25+OFFSET('Gas Supply Factors'!$B$14,$K25-1,Z$14)*$H25</f>
        <v>0</v>
      </c>
      <c r="AB25" s="20">
        <f t="shared" ca="1" si="1"/>
        <v>0</v>
      </c>
      <c r="AD25" s="25" t="str">
        <f t="shared" ref="AD25:AD35" ca="1" si="4">IF(ROUND(F25,4)=ROUND(AB25,4), "", "check")</f>
        <v/>
      </c>
    </row>
    <row r="26" spans="2:37" ht="13" x14ac:dyDescent="0.3">
      <c r="B26" s="18">
        <f t="shared" si="2"/>
        <v>9</v>
      </c>
      <c r="D26" s="1" t="s">
        <v>48</v>
      </c>
      <c r="F26" s="48">
        <f ca="1">Function!P26</f>
        <v>0</v>
      </c>
      <c r="H26" s="48"/>
      <c r="L26" s="48">
        <f t="shared" ca="1" si="0"/>
        <v>0</v>
      </c>
      <c r="N26" s="2"/>
      <c r="O26" s="70">
        <f>_xlfn.IFNA(MATCH(N26,'Gas Supply Factors'!$B$14:$B$387,0),0)</f>
        <v>0</v>
      </c>
      <c r="P26" s="20">
        <f ca="1">OFFSET('Gas Supply Factors'!$B$14,$O26-1,P$14)*$L26+OFFSET('Gas Supply Factors'!$B$14,$K26-1,P$14)*$H26</f>
        <v>0</v>
      </c>
      <c r="R26" s="20">
        <f ca="1">OFFSET('Gas Supply Factors'!$B$14,$O26-1,R$14)*$L26+OFFSET('Gas Supply Factors'!$B$14,$K26-1,R$14)*$H26</f>
        <v>0</v>
      </c>
      <c r="S26" s="20"/>
      <c r="T26" s="20">
        <f ca="1">OFFSET('Gas Supply Factors'!$B$14,$O26-1,T$14)*$L26+OFFSET('Gas Supply Factors'!$B$14,$K26-1,T$14)*$H26</f>
        <v>0</v>
      </c>
      <c r="U26" s="20"/>
      <c r="V26" s="20">
        <f ca="1">OFFSET('Gas Supply Factors'!$B$14,$O26-1,V$14)*$L26+OFFSET('Gas Supply Factors'!$B$14,$K26-1,V$14)*$H26</f>
        <v>0</v>
      </c>
      <c r="W26" s="20"/>
      <c r="X26" s="20">
        <f ca="1">OFFSET('Gas Supply Factors'!$B$14,$O26-1,X$14)*$L26+OFFSET('Gas Supply Factors'!$B$14,$K26-1,X$14)*$H26</f>
        <v>0</v>
      </c>
      <c r="Z26" s="20">
        <f ca="1">OFFSET('Gas Supply Factors'!$B$14,$O26-1,Z$14)*$L26+OFFSET('Gas Supply Factors'!$B$14,$K26-1,Z$14)*$H26</f>
        <v>0</v>
      </c>
      <c r="AB26" s="20">
        <f t="shared" ca="1" si="1"/>
        <v>0</v>
      </c>
      <c r="AD26" s="25" t="str">
        <f t="shared" ca="1" si="4"/>
        <v/>
      </c>
    </row>
    <row r="27" spans="2:37" ht="13" x14ac:dyDescent="0.3">
      <c r="B27" s="18">
        <f t="shared" si="2"/>
        <v>10</v>
      </c>
      <c r="D27" s="1" t="s">
        <v>49</v>
      </c>
      <c r="F27" s="48">
        <f ca="1">Function!P27</f>
        <v>0</v>
      </c>
      <c r="H27" s="48"/>
      <c r="L27" s="48">
        <f t="shared" ca="1" si="0"/>
        <v>0</v>
      </c>
      <c r="N27" s="2"/>
      <c r="O27" s="70">
        <f>_xlfn.IFNA(MATCH(N27,'Gas Supply Factors'!$B$14:$B$387,0),0)</f>
        <v>0</v>
      </c>
      <c r="P27" s="20">
        <f ca="1">OFFSET('Gas Supply Factors'!$B$14,$O27-1,P$14)*$L27+OFFSET('Gas Supply Factors'!$B$14,$K27-1,P$14)*$H27</f>
        <v>0</v>
      </c>
      <c r="R27" s="20">
        <f ca="1">OFFSET('Gas Supply Factors'!$B$14,$O27-1,R$14)*$L27+OFFSET('Gas Supply Factors'!$B$14,$K27-1,R$14)*$H27</f>
        <v>0</v>
      </c>
      <c r="S27" s="20"/>
      <c r="T27" s="20">
        <f ca="1">OFFSET('Gas Supply Factors'!$B$14,$O27-1,T$14)*$L27+OFFSET('Gas Supply Factors'!$B$14,$K27-1,T$14)*$H27</f>
        <v>0</v>
      </c>
      <c r="U27" s="20"/>
      <c r="V27" s="20">
        <f ca="1">OFFSET('Gas Supply Factors'!$B$14,$O27-1,V$14)*$L27+OFFSET('Gas Supply Factors'!$B$14,$K27-1,V$14)*$H27</f>
        <v>0</v>
      </c>
      <c r="W27" s="20"/>
      <c r="X27" s="20">
        <f ca="1">OFFSET('Gas Supply Factors'!$B$14,$O27-1,X$14)*$L27+OFFSET('Gas Supply Factors'!$B$14,$K27-1,X$14)*$H27</f>
        <v>0</v>
      </c>
      <c r="Z27" s="20">
        <f ca="1">OFFSET('Gas Supply Factors'!$B$14,$O27-1,Z$14)*$L27+OFFSET('Gas Supply Factors'!$B$14,$K27-1,Z$14)*$H27</f>
        <v>0</v>
      </c>
      <c r="AB27" s="20">
        <f t="shared" ca="1" si="1"/>
        <v>0</v>
      </c>
      <c r="AD27" s="25" t="str">
        <f t="shared" ca="1" si="4"/>
        <v/>
      </c>
    </row>
    <row r="28" spans="2:37" ht="13" x14ac:dyDescent="0.3">
      <c r="B28" s="18">
        <f t="shared" si="2"/>
        <v>11</v>
      </c>
      <c r="D28" s="1" t="s">
        <v>51</v>
      </c>
      <c r="F28" s="48">
        <f ca="1">Function!P28</f>
        <v>0</v>
      </c>
      <c r="H28" s="48"/>
      <c r="L28" s="48">
        <f t="shared" ca="1" si="0"/>
        <v>0</v>
      </c>
      <c r="N28" s="2"/>
      <c r="O28" s="70">
        <f>_xlfn.IFNA(MATCH(N28,'Gas Supply Factors'!$B$14:$B$387,0),0)</f>
        <v>0</v>
      </c>
      <c r="P28" s="20">
        <f ca="1">OFFSET('Gas Supply Factors'!$B$14,$O28-1,P$14)*$L28+OFFSET('Gas Supply Factors'!$B$14,$K28-1,P$14)*$H28</f>
        <v>0</v>
      </c>
      <c r="R28" s="20">
        <f ca="1">OFFSET('Gas Supply Factors'!$B$14,$O28-1,R$14)*$L28+OFFSET('Gas Supply Factors'!$B$14,$K28-1,R$14)*$H28</f>
        <v>0</v>
      </c>
      <c r="S28" s="20"/>
      <c r="T28" s="20">
        <f ca="1">OFFSET('Gas Supply Factors'!$B$14,$O28-1,T$14)*$L28+OFFSET('Gas Supply Factors'!$B$14,$K28-1,T$14)*$H28</f>
        <v>0</v>
      </c>
      <c r="U28" s="20"/>
      <c r="V28" s="20">
        <f ca="1">OFFSET('Gas Supply Factors'!$B$14,$O28-1,V$14)*$L28+OFFSET('Gas Supply Factors'!$B$14,$K28-1,V$14)*$H28</f>
        <v>0</v>
      </c>
      <c r="W28" s="20"/>
      <c r="X28" s="20">
        <f ca="1">OFFSET('Gas Supply Factors'!$B$14,$O28-1,X$14)*$L28+OFFSET('Gas Supply Factors'!$B$14,$K28-1,X$14)*$H28</f>
        <v>0</v>
      </c>
      <c r="Z28" s="20">
        <f ca="1">OFFSET('Gas Supply Factors'!$B$14,$O28-1,Z$14)*$L28+OFFSET('Gas Supply Factors'!$B$14,$K28-1,Z$14)*$H28</f>
        <v>0</v>
      </c>
      <c r="AB28" s="20">
        <f t="shared" ca="1" si="1"/>
        <v>0</v>
      </c>
      <c r="AD28" s="25" t="str">
        <f t="shared" ca="1" si="4"/>
        <v/>
      </c>
    </row>
    <row r="29" spans="2:37" ht="13" x14ac:dyDescent="0.3">
      <c r="B29" s="18">
        <f>B28+1</f>
        <v>12</v>
      </c>
      <c r="D29" s="1" t="s">
        <v>52</v>
      </c>
      <c r="F29" s="48">
        <f ca="1">Function!P29</f>
        <v>0</v>
      </c>
      <c r="H29" s="48"/>
      <c r="L29" s="48">
        <f t="shared" ca="1" si="0"/>
        <v>0</v>
      </c>
      <c r="N29" s="2"/>
      <c r="O29" s="70">
        <f>_xlfn.IFNA(MATCH(N29,'Gas Supply Factors'!$B$14:$B$387,0),0)</f>
        <v>0</v>
      </c>
      <c r="P29" s="20">
        <f ca="1">OFFSET('Gas Supply Factors'!$B$14,$O29-1,P$14)*$L29+OFFSET('Gas Supply Factors'!$B$14,$K29-1,P$14)*$H29</f>
        <v>0</v>
      </c>
      <c r="R29" s="20">
        <f ca="1">OFFSET('Gas Supply Factors'!$B$14,$O29-1,R$14)*$L29+OFFSET('Gas Supply Factors'!$B$14,$K29-1,R$14)*$H29</f>
        <v>0</v>
      </c>
      <c r="S29" s="20"/>
      <c r="T29" s="20">
        <f ca="1">OFFSET('Gas Supply Factors'!$B$14,$O29-1,T$14)*$L29+OFFSET('Gas Supply Factors'!$B$14,$K29-1,T$14)*$H29</f>
        <v>0</v>
      </c>
      <c r="U29" s="20"/>
      <c r="V29" s="20">
        <f ca="1">OFFSET('Gas Supply Factors'!$B$14,$O29-1,V$14)*$L29+OFFSET('Gas Supply Factors'!$B$14,$K29-1,V$14)*$H29</f>
        <v>0</v>
      </c>
      <c r="W29" s="20"/>
      <c r="X29" s="20">
        <f ca="1">OFFSET('Gas Supply Factors'!$B$14,$O29-1,X$14)*$L29+OFFSET('Gas Supply Factors'!$B$14,$K29-1,X$14)*$H29</f>
        <v>0</v>
      </c>
      <c r="Z29" s="20">
        <f ca="1">OFFSET('Gas Supply Factors'!$B$14,$O29-1,Z$14)*$L29+OFFSET('Gas Supply Factors'!$B$14,$K29-1,Z$14)*$H29</f>
        <v>0</v>
      </c>
      <c r="AB29" s="20">
        <f t="shared" ca="1" si="1"/>
        <v>0</v>
      </c>
      <c r="AD29" s="25" t="str">
        <f t="shared" ca="1" si="4"/>
        <v/>
      </c>
    </row>
    <row r="30" spans="2:37" ht="13" x14ac:dyDescent="0.3">
      <c r="B30" s="18">
        <f>B29+1</f>
        <v>13</v>
      </c>
      <c r="D30" s="1" t="s">
        <v>53</v>
      </c>
      <c r="F30" s="48">
        <f ca="1">Function!P30</f>
        <v>0</v>
      </c>
      <c r="H30" s="48"/>
      <c r="L30" s="48">
        <f t="shared" ca="1" si="0"/>
        <v>0</v>
      </c>
      <c r="N30" s="2"/>
      <c r="O30" s="70">
        <f>_xlfn.IFNA(MATCH(N30,'Gas Supply Factors'!$B$14:$B$387,0),0)</f>
        <v>0</v>
      </c>
      <c r="P30" s="20">
        <f ca="1">OFFSET('Gas Supply Factors'!$B$14,$O30-1,P$14)*$L30+OFFSET('Gas Supply Factors'!$B$14,$K30-1,P$14)*$H30</f>
        <v>0</v>
      </c>
      <c r="R30" s="20">
        <f ca="1">OFFSET('Gas Supply Factors'!$B$14,$O30-1,R$14)*$L30+OFFSET('Gas Supply Factors'!$B$14,$K30-1,R$14)*$H30</f>
        <v>0</v>
      </c>
      <c r="S30" s="20"/>
      <c r="T30" s="20">
        <f ca="1">OFFSET('Gas Supply Factors'!$B$14,$O30-1,T$14)*$L30+OFFSET('Gas Supply Factors'!$B$14,$K30-1,T$14)*$H30</f>
        <v>0</v>
      </c>
      <c r="U30" s="20"/>
      <c r="V30" s="20">
        <f ca="1">OFFSET('Gas Supply Factors'!$B$14,$O30-1,V$14)*$L30+OFFSET('Gas Supply Factors'!$B$14,$K30-1,V$14)*$H30</f>
        <v>0</v>
      </c>
      <c r="W30" s="20"/>
      <c r="X30" s="20">
        <f ca="1">OFFSET('Gas Supply Factors'!$B$14,$O30-1,X$14)*$L30+OFFSET('Gas Supply Factors'!$B$14,$K30-1,X$14)*$H30</f>
        <v>0</v>
      </c>
      <c r="Z30" s="20">
        <f ca="1">OFFSET('Gas Supply Factors'!$B$14,$O30-1,Z$14)*$L30+OFFSET('Gas Supply Factors'!$B$14,$K30-1,Z$14)*$H30</f>
        <v>0</v>
      </c>
      <c r="AB30" s="20">
        <f t="shared" ca="1" si="1"/>
        <v>0</v>
      </c>
      <c r="AD30" s="25" t="str">
        <f t="shared" ca="1" si="4"/>
        <v/>
      </c>
    </row>
    <row r="31" spans="2:37" ht="13" x14ac:dyDescent="0.3">
      <c r="B31" s="18">
        <f t="shared" si="2"/>
        <v>14</v>
      </c>
      <c r="D31" s="1" t="s">
        <v>55</v>
      </c>
      <c r="F31" s="40">
        <f ca="1">SUM(F18:F30)</f>
        <v>0</v>
      </c>
      <c r="H31" s="40">
        <f>SUM(H18:H30)</f>
        <v>0</v>
      </c>
      <c r="L31" s="40">
        <f ca="1">SUM(L18:L30)</f>
        <v>0</v>
      </c>
      <c r="P31" s="28">
        <f ca="1">SUM(P18:P30)</f>
        <v>0</v>
      </c>
      <c r="Q31" s="23"/>
      <c r="R31" s="28">
        <f ca="1">SUM(R18:R30)</f>
        <v>0</v>
      </c>
      <c r="S31" s="22"/>
      <c r="T31" s="28">
        <f ca="1">SUM(T18:T30)</f>
        <v>0</v>
      </c>
      <c r="U31" s="22"/>
      <c r="V31" s="28">
        <f ca="1">SUM(V18:V30)</f>
        <v>0</v>
      </c>
      <c r="W31" s="22"/>
      <c r="X31" s="28">
        <f ca="1">SUM(X18:X30)</f>
        <v>0</v>
      </c>
      <c r="Y31" s="18"/>
      <c r="Z31" s="28">
        <f ca="1">SUM(Z18:Z30)</f>
        <v>0</v>
      </c>
      <c r="AB31" s="28">
        <f ca="1">SUM(AB18:AB30)</f>
        <v>0</v>
      </c>
      <c r="AD31" s="25" t="str">
        <f t="shared" ca="1" si="4"/>
        <v/>
      </c>
    </row>
    <row r="32" spans="2:37" ht="13" x14ac:dyDescent="0.3">
      <c r="Y32" s="18"/>
      <c r="AB32" s="8"/>
      <c r="AD32" s="25" t="str">
        <f t="shared" si="4"/>
        <v/>
      </c>
    </row>
    <row r="33" spans="2:37" ht="13" x14ac:dyDescent="0.3">
      <c r="B33" s="18">
        <f>B31+1</f>
        <v>15</v>
      </c>
      <c r="D33" s="1" t="s">
        <v>56</v>
      </c>
      <c r="F33" s="48">
        <f ca="1">Function!P33</f>
        <v>0</v>
      </c>
      <c r="H33" s="48"/>
      <c r="L33" s="48">
        <f t="shared" ref="L33" ca="1" si="5">F33-H33</f>
        <v>0</v>
      </c>
      <c r="N33" s="2"/>
      <c r="O33" s="70">
        <f>_xlfn.IFNA(MATCH(N33,'Gas Supply Factors'!$B$14:$B$387,0),0)</f>
        <v>0</v>
      </c>
      <c r="P33" s="20">
        <f ca="1">OFFSET('Gas Supply Factors'!$B$14,$O33-1,P$14)*$L33+OFFSET('Gas Supply Factors'!$B$14,$K33-1,P$14)*$H33</f>
        <v>0</v>
      </c>
      <c r="R33" s="20">
        <f ca="1">OFFSET('Gas Supply Factors'!$B$14,$O33-1,R$14)*$L33+OFFSET('Gas Supply Factors'!$B$14,$K33-1,R$14)*$H33</f>
        <v>0</v>
      </c>
      <c r="S33" s="20"/>
      <c r="T33" s="20">
        <f ca="1">OFFSET('Gas Supply Factors'!$B$14,$O33-1,T$14)*$L33+OFFSET('Gas Supply Factors'!$B$14,$K33-1,T$14)*$H33</f>
        <v>0</v>
      </c>
      <c r="U33" s="20"/>
      <c r="V33" s="20">
        <f ca="1">OFFSET('Gas Supply Factors'!$B$14,$O33-1,V$14)*$L33+OFFSET('Gas Supply Factors'!$B$14,$K33-1,V$14)*$H33</f>
        <v>0</v>
      </c>
      <c r="W33" s="20"/>
      <c r="X33" s="20">
        <f ca="1">OFFSET('Gas Supply Factors'!$B$14,$O33-1,X$14)*$L33+OFFSET('Gas Supply Factors'!$B$14,$K33-1,X$14)*$H33</f>
        <v>0</v>
      </c>
      <c r="Z33" s="20">
        <f ca="1">OFFSET('Gas Supply Factors'!$B$14,$O33-1,Z$14)*$L33+OFFSET('Gas Supply Factors'!$B$14,$K33-1,Z$14)*$H33</f>
        <v>0</v>
      </c>
      <c r="AB33" s="20">
        <f ca="1">P33+R33+V33+X33+Z33+T33</f>
        <v>0</v>
      </c>
      <c r="AD33" s="25" t="str">
        <f t="shared" ca="1" si="4"/>
        <v/>
      </c>
    </row>
    <row r="34" spans="2:37" ht="13" x14ac:dyDescent="0.3">
      <c r="Y34" s="18"/>
      <c r="AB34" s="8"/>
      <c r="AD34" s="25" t="str">
        <f t="shared" si="4"/>
        <v/>
      </c>
    </row>
    <row r="35" spans="2:37" ht="13" x14ac:dyDescent="0.3">
      <c r="B35" s="18">
        <f>B33+1</f>
        <v>16</v>
      </c>
      <c r="D35" s="1" t="s">
        <v>58</v>
      </c>
      <c r="F35" s="40">
        <f ca="1">F31+F33</f>
        <v>0</v>
      </c>
      <c r="H35" s="40">
        <f>H31+H33</f>
        <v>0</v>
      </c>
      <c r="L35" s="40">
        <f ca="1">L31+L33</f>
        <v>0</v>
      </c>
      <c r="P35" s="10">
        <f ca="1">P31+P33</f>
        <v>0</v>
      </c>
      <c r="Q35" s="14"/>
      <c r="R35" s="10">
        <f ca="1">R31+R33</f>
        <v>0</v>
      </c>
      <c r="S35" s="8"/>
      <c r="T35" s="10">
        <f ca="1">T31+T33</f>
        <v>0</v>
      </c>
      <c r="U35" s="8"/>
      <c r="V35" s="10">
        <f ca="1">V31+V33</f>
        <v>0</v>
      </c>
      <c r="W35" s="8"/>
      <c r="X35" s="10">
        <f ca="1">X31+X33</f>
        <v>0</v>
      </c>
      <c r="Y35" s="18"/>
      <c r="Z35" s="10">
        <f ca="1">Z31+Z33</f>
        <v>0</v>
      </c>
      <c r="AB35" s="10">
        <f ca="1">AB31+AB33</f>
        <v>0</v>
      </c>
      <c r="AD35" s="25" t="str">
        <f t="shared" ca="1" si="4"/>
        <v/>
      </c>
    </row>
    <row r="36" spans="2:37" x14ac:dyDescent="0.25">
      <c r="D36" s="6"/>
      <c r="E36" s="6"/>
      <c r="F36" s="74"/>
      <c r="H36" s="74"/>
      <c r="J36" s="2"/>
      <c r="L36" s="74"/>
    </row>
    <row r="37" spans="2:37" x14ac:dyDescent="0.25">
      <c r="F37" s="48"/>
      <c r="J37" s="2"/>
    </row>
    <row r="38" spans="2:37" ht="13" x14ac:dyDescent="0.3">
      <c r="D38" s="6" t="s">
        <v>59</v>
      </c>
      <c r="E38" s="7"/>
      <c r="F38" s="75"/>
      <c r="J38" s="2"/>
    </row>
    <row r="39" spans="2:37" x14ac:dyDescent="0.25">
      <c r="J39" s="2"/>
    </row>
    <row r="40" spans="2:37" ht="13" x14ac:dyDescent="0.3">
      <c r="B40" s="18">
        <f>B35+1</f>
        <v>17</v>
      </c>
      <c r="D40" s="1" t="s">
        <v>33</v>
      </c>
      <c r="F40" s="48">
        <f ca="1">Function!P40</f>
        <v>0</v>
      </c>
      <c r="H40" s="48"/>
      <c r="J40" s="2"/>
      <c r="L40" s="48">
        <f ca="1">F40-H40</f>
        <v>0</v>
      </c>
      <c r="N40" s="2"/>
      <c r="O40" s="70">
        <f>_xlfn.IFNA(MATCH(N40,'Gas Supply Factors'!$B$14:$B$387,0),0)</f>
        <v>0</v>
      </c>
      <c r="P40" s="20">
        <f ca="1">OFFSET('Gas Supply Factors'!$B$14,$O40-1,P$14)*$L40+OFFSET('Gas Supply Factors'!$B$14,$K40-1,P$14)*$H40</f>
        <v>0</v>
      </c>
      <c r="R40" s="20">
        <f ca="1">OFFSET('Gas Supply Factors'!$B$14,$O40-1,R$14)*$L40+OFFSET('Gas Supply Factors'!$B$14,$K40-1,R$14)*$H40</f>
        <v>0</v>
      </c>
      <c r="S40" s="20"/>
      <c r="T40" s="20">
        <f ca="1">OFFSET('Gas Supply Factors'!$B$14,$O40-1,T$14)*$L40+OFFSET('Gas Supply Factors'!$B$14,$K40-1,T$14)*$H40</f>
        <v>0</v>
      </c>
      <c r="U40" s="20"/>
      <c r="V40" s="20">
        <f ca="1">OFFSET('Gas Supply Factors'!$B$14,$O40-1,V$14)*$L40+OFFSET('Gas Supply Factors'!$B$14,$K40-1,V$14)*$H40</f>
        <v>0</v>
      </c>
      <c r="W40" s="20"/>
      <c r="X40" s="20">
        <f ca="1">OFFSET('Gas Supply Factors'!$B$14,$O40-1,X$14)*$L40+OFFSET('Gas Supply Factors'!$B$14,$K40-1,X$14)*$H40</f>
        <v>0</v>
      </c>
      <c r="Z40" s="20">
        <f ca="1">OFFSET('Gas Supply Factors'!$B$14,$O40-1,Z$14)*$L40+OFFSET('Gas Supply Factors'!$B$14,$K40-1,Z$14)*$H40</f>
        <v>0</v>
      </c>
      <c r="AB40" s="20">
        <f ca="1">P40+R40+V40+X40+Z40+T40</f>
        <v>0</v>
      </c>
      <c r="AD40" s="25" t="str">
        <f ca="1">IF(ROUND(F40,4)=ROUND(AB40,4), "", "check")</f>
        <v/>
      </c>
    </row>
    <row r="41" spans="2:37" ht="13" x14ac:dyDescent="0.3">
      <c r="B41" s="18">
        <f>B40+1</f>
        <v>18</v>
      </c>
      <c r="D41" s="1" t="s">
        <v>35</v>
      </c>
      <c r="F41" s="48">
        <f ca="1">Function!P41</f>
        <v>0</v>
      </c>
      <c r="H41" s="48"/>
      <c r="J41" s="2"/>
      <c r="L41" s="48">
        <f t="shared" ref="L41:L52" ca="1" si="6">F41-H41</f>
        <v>0</v>
      </c>
      <c r="N41" s="2"/>
      <c r="O41" s="70">
        <f>_xlfn.IFNA(MATCH(N41,'Gas Supply Factors'!$B$14:$B$387,0),0)</f>
        <v>0</v>
      </c>
      <c r="P41" s="20">
        <f ca="1">OFFSET('Gas Supply Factors'!$B$14,$O41-1,P$14)*$L41+OFFSET('Gas Supply Factors'!$B$14,$K41-1,P$14)*$H41</f>
        <v>0</v>
      </c>
      <c r="R41" s="20">
        <f ca="1">OFFSET('Gas Supply Factors'!$B$14,$O41-1,R$14)*$L41+OFFSET('Gas Supply Factors'!$B$14,$K41-1,R$14)*$H41</f>
        <v>0</v>
      </c>
      <c r="S41" s="20"/>
      <c r="T41" s="20">
        <f ca="1">OFFSET('Gas Supply Factors'!$B$14,$O41-1,T$14)*$L41+OFFSET('Gas Supply Factors'!$B$14,$K41-1,T$14)*$H41</f>
        <v>0</v>
      </c>
      <c r="U41" s="20"/>
      <c r="V41" s="20">
        <f ca="1">OFFSET('Gas Supply Factors'!$B$14,$O41-1,V$14)*$L41+OFFSET('Gas Supply Factors'!$B$14,$K41-1,V$14)*$H41</f>
        <v>0</v>
      </c>
      <c r="W41" s="20"/>
      <c r="X41" s="20">
        <f ca="1">OFFSET('Gas Supply Factors'!$B$14,$O41-1,X$14)*$L41+OFFSET('Gas Supply Factors'!$B$14,$K41-1,X$14)*$H41</f>
        <v>0</v>
      </c>
      <c r="Z41" s="20">
        <f ca="1">OFFSET('Gas Supply Factors'!$B$14,$O41-1,Z$14)*$L41+OFFSET('Gas Supply Factors'!$B$14,$K41-1,Z$14)*$H41</f>
        <v>0</v>
      </c>
      <c r="AB41" s="20">
        <f t="shared" ref="AB41:AB52" ca="1" si="7">P41+R41+V41+X41+Z41+T41</f>
        <v>0</v>
      </c>
      <c r="AD41" s="25"/>
    </row>
    <row r="42" spans="2:37" ht="13" x14ac:dyDescent="0.3">
      <c r="B42" s="18">
        <f t="shared" ref="B42:B53" si="8">B41+1</f>
        <v>19</v>
      </c>
      <c r="D42" s="1" t="s">
        <v>37</v>
      </c>
      <c r="F42" s="48">
        <f ca="1">Function!P42</f>
        <v>0</v>
      </c>
      <c r="H42" s="48"/>
      <c r="J42" s="2"/>
      <c r="L42" s="48">
        <f t="shared" ca="1" si="6"/>
        <v>0</v>
      </c>
      <c r="N42" s="2"/>
      <c r="O42" s="70">
        <f>_xlfn.IFNA(MATCH(N42,'Gas Supply Factors'!$B$14:$B$387,0),0)</f>
        <v>0</v>
      </c>
      <c r="P42" s="20">
        <f ca="1">OFFSET('Gas Supply Factors'!$B$14,$O42-1,P$14)*$L42+OFFSET('Gas Supply Factors'!$B$14,$K42-1,P$14)*$H42</f>
        <v>0</v>
      </c>
      <c r="R42" s="20">
        <f ca="1">OFFSET('Gas Supply Factors'!$B$14,$O42-1,R$14)*$L42+OFFSET('Gas Supply Factors'!$B$14,$K42-1,R$14)*$H42</f>
        <v>0</v>
      </c>
      <c r="S42" s="20"/>
      <c r="T42" s="20">
        <f ca="1">OFFSET('Gas Supply Factors'!$B$14,$O42-1,T$14)*$L42+OFFSET('Gas Supply Factors'!$B$14,$K42-1,T$14)*$H42</f>
        <v>0</v>
      </c>
      <c r="U42" s="20"/>
      <c r="V42" s="20">
        <f ca="1">OFFSET('Gas Supply Factors'!$B$14,$O42-1,V$14)*$L42+OFFSET('Gas Supply Factors'!$B$14,$K42-1,V$14)*$H42</f>
        <v>0</v>
      </c>
      <c r="W42" s="20"/>
      <c r="X42" s="20">
        <f ca="1">OFFSET('Gas Supply Factors'!$B$14,$O42-1,X$14)*$L42+OFFSET('Gas Supply Factors'!$B$14,$K42-1,X$14)*$H42</f>
        <v>0</v>
      </c>
      <c r="Z42" s="20">
        <f ca="1">OFFSET('Gas Supply Factors'!$B$14,$O42-1,Z$14)*$L42+OFFSET('Gas Supply Factors'!$B$14,$K42-1,Z$14)*$H42</f>
        <v>0</v>
      </c>
      <c r="AB42" s="20">
        <f t="shared" ca="1" si="7"/>
        <v>0</v>
      </c>
      <c r="AD42" s="25" t="str">
        <f t="shared" ref="AD42:AD45" ca="1" si="9">IF(ROUND(F42,4)=ROUND(AB42,4), "", "check")</f>
        <v/>
      </c>
    </row>
    <row r="43" spans="2:37" ht="13" x14ac:dyDescent="0.3">
      <c r="B43" s="18">
        <f t="shared" si="8"/>
        <v>20</v>
      </c>
      <c r="D43" s="1" t="s">
        <v>39</v>
      </c>
      <c r="F43" s="48">
        <f ca="1">Function!P43</f>
        <v>0</v>
      </c>
      <c r="H43" s="48"/>
      <c r="J43" s="2"/>
      <c r="L43" s="48">
        <f t="shared" ca="1" si="6"/>
        <v>0</v>
      </c>
      <c r="N43" s="2"/>
      <c r="O43" s="70">
        <f>_xlfn.IFNA(MATCH(N43,'Gas Supply Factors'!$B$14:$B$387,0),0)</f>
        <v>0</v>
      </c>
      <c r="P43" s="20">
        <f ca="1">OFFSET('Gas Supply Factors'!$B$14,$O43-1,P$14)*$L43+OFFSET('Gas Supply Factors'!$B$14,$K43-1,P$14)*$H43</f>
        <v>0</v>
      </c>
      <c r="R43" s="20">
        <f ca="1">OFFSET('Gas Supply Factors'!$B$14,$O43-1,R$14)*$L43+OFFSET('Gas Supply Factors'!$B$14,$K43-1,R$14)*$H43</f>
        <v>0</v>
      </c>
      <c r="S43" s="20"/>
      <c r="T43" s="20">
        <f ca="1">OFFSET('Gas Supply Factors'!$B$14,$O43-1,T$14)*$L43+OFFSET('Gas Supply Factors'!$B$14,$K43-1,T$14)*$H43</f>
        <v>0</v>
      </c>
      <c r="U43" s="20"/>
      <c r="V43" s="20">
        <f ca="1">OFFSET('Gas Supply Factors'!$B$14,$O43-1,V$14)*$L43+OFFSET('Gas Supply Factors'!$B$14,$K43-1,V$14)*$H43</f>
        <v>0</v>
      </c>
      <c r="W43" s="20"/>
      <c r="X43" s="20">
        <f ca="1">OFFSET('Gas Supply Factors'!$B$14,$O43-1,X$14)*$L43+OFFSET('Gas Supply Factors'!$B$14,$K43-1,X$14)*$H43</f>
        <v>0</v>
      </c>
      <c r="Z43" s="20">
        <f ca="1">OFFSET('Gas Supply Factors'!$B$14,$O43-1,Z$14)*$L43+OFFSET('Gas Supply Factors'!$B$14,$K43-1,Z$14)*$H43</f>
        <v>0</v>
      </c>
      <c r="AB43" s="20">
        <f t="shared" ca="1" si="7"/>
        <v>0</v>
      </c>
      <c r="AD43" s="25" t="str">
        <f t="shared" ca="1" si="9"/>
        <v/>
      </c>
    </row>
    <row r="44" spans="2:37" ht="13" x14ac:dyDescent="0.3">
      <c r="B44" s="18">
        <f t="shared" si="8"/>
        <v>21</v>
      </c>
      <c r="D44" s="1" t="s">
        <v>41</v>
      </c>
      <c r="F44" s="48">
        <f ca="1">Function!P44</f>
        <v>0</v>
      </c>
      <c r="H44" s="48"/>
      <c r="J44" s="2"/>
      <c r="L44" s="48">
        <f t="shared" ca="1" si="6"/>
        <v>0</v>
      </c>
      <c r="N44" s="2"/>
      <c r="O44" s="70">
        <f>_xlfn.IFNA(MATCH(N44,'Gas Supply Factors'!$B$14:$B$387,0),0)</f>
        <v>0</v>
      </c>
      <c r="P44" s="20">
        <f ca="1">OFFSET('Gas Supply Factors'!$B$14,$O44-1,P$14)*$L44+OFFSET('Gas Supply Factors'!$B$14,$K44-1,P$14)*$H44</f>
        <v>0</v>
      </c>
      <c r="R44" s="20">
        <f ca="1">OFFSET('Gas Supply Factors'!$B$14,$O44-1,R$14)*$L44+OFFSET('Gas Supply Factors'!$B$14,$K44-1,R$14)*$H44</f>
        <v>0</v>
      </c>
      <c r="S44" s="20"/>
      <c r="T44" s="20">
        <f ca="1">OFFSET('Gas Supply Factors'!$B$14,$O44-1,T$14)*$L44+OFFSET('Gas Supply Factors'!$B$14,$K44-1,T$14)*$H44</f>
        <v>0</v>
      </c>
      <c r="U44" s="20"/>
      <c r="V44" s="20">
        <f ca="1">OFFSET('Gas Supply Factors'!$B$14,$O44-1,V$14)*$L44+OFFSET('Gas Supply Factors'!$B$14,$K44-1,V$14)*$H44</f>
        <v>0</v>
      </c>
      <c r="W44" s="20"/>
      <c r="X44" s="20">
        <f ca="1">OFFSET('Gas Supply Factors'!$B$14,$O44-1,X$14)*$L44+OFFSET('Gas Supply Factors'!$B$14,$K44-1,X$14)*$H44</f>
        <v>0</v>
      </c>
      <c r="Z44" s="20">
        <f ca="1">OFFSET('Gas Supply Factors'!$B$14,$O44-1,Z$14)*$L44+OFFSET('Gas Supply Factors'!$B$14,$K44-1,Z$14)*$H44</f>
        <v>0</v>
      </c>
      <c r="AB44" s="20">
        <f t="shared" ca="1" si="7"/>
        <v>0</v>
      </c>
      <c r="AD44" s="25" t="str">
        <f t="shared" ca="1" si="9"/>
        <v/>
      </c>
    </row>
    <row r="45" spans="2:37" ht="13" x14ac:dyDescent="0.3">
      <c r="B45" s="18">
        <f t="shared" si="8"/>
        <v>22</v>
      </c>
      <c r="D45" s="1" t="s">
        <v>43</v>
      </c>
      <c r="F45" s="48">
        <f ca="1">Function!P45</f>
        <v>0</v>
      </c>
      <c r="H45" s="48"/>
      <c r="L45" s="48">
        <f t="shared" ca="1" si="6"/>
        <v>0</v>
      </c>
      <c r="N45" s="2"/>
      <c r="O45" s="70">
        <f>_xlfn.IFNA(MATCH(N45,'Gas Supply Factors'!$B$14:$B$387,0),0)</f>
        <v>0</v>
      </c>
      <c r="P45" s="20">
        <f ca="1">OFFSET('Gas Supply Factors'!$B$14,$O45-1,P$14)*$L45+OFFSET('Gas Supply Factors'!$B$14,$K45-1,P$14)*$H45</f>
        <v>0</v>
      </c>
      <c r="R45" s="20">
        <f ca="1">OFFSET('Gas Supply Factors'!$B$14,$O45-1,R$14)*$L45+OFFSET('Gas Supply Factors'!$B$14,$K45-1,R$14)*$H45</f>
        <v>0</v>
      </c>
      <c r="S45" s="20"/>
      <c r="T45" s="20">
        <f ca="1">OFFSET('Gas Supply Factors'!$B$14,$O45-1,T$14)*$L45+OFFSET('Gas Supply Factors'!$B$14,$K45-1,T$14)*$H45</f>
        <v>0</v>
      </c>
      <c r="U45" s="20"/>
      <c r="V45" s="20">
        <f ca="1">OFFSET('Gas Supply Factors'!$B$14,$O45-1,V$14)*$L45+OFFSET('Gas Supply Factors'!$B$14,$K45-1,V$14)*$H45</f>
        <v>0</v>
      </c>
      <c r="W45" s="20"/>
      <c r="X45" s="20">
        <f ca="1">OFFSET('Gas Supply Factors'!$B$14,$O45-1,X$14)*$L45+OFFSET('Gas Supply Factors'!$B$14,$K45-1,X$14)*$H45</f>
        <v>0</v>
      </c>
      <c r="Z45" s="20">
        <f ca="1">OFFSET('Gas Supply Factors'!$B$14,$O45-1,Z$14)*$L45+OFFSET('Gas Supply Factors'!$B$14,$K45-1,Z$14)*$H45</f>
        <v>0</v>
      </c>
      <c r="AB45" s="20">
        <f t="shared" ca="1" si="7"/>
        <v>0</v>
      </c>
      <c r="AD45" s="25" t="str">
        <f t="shared" ca="1" si="9"/>
        <v/>
      </c>
      <c r="AK45" s="15"/>
    </row>
    <row r="46" spans="2:37" ht="13" x14ac:dyDescent="0.3">
      <c r="B46" s="18">
        <f t="shared" si="8"/>
        <v>23</v>
      </c>
      <c r="D46" s="1" t="s">
        <v>45</v>
      </c>
      <c r="F46" s="48">
        <f ca="1">Function!P46</f>
        <v>0</v>
      </c>
      <c r="H46" s="48"/>
      <c r="L46" s="48">
        <f t="shared" ca="1" si="6"/>
        <v>0</v>
      </c>
      <c r="N46" s="2"/>
      <c r="O46" s="70">
        <f>_xlfn.IFNA(MATCH(N46,'Gas Supply Factors'!$B$14:$B$387,0),0)</f>
        <v>0</v>
      </c>
      <c r="P46" s="20">
        <f ca="1">OFFSET('Gas Supply Factors'!$B$14,$O46-1,P$14)*$L46+OFFSET('Gas Supply Factors'!$B$14,$K46-1,P$14)*$H46</f>
        <v>0</v>
      </c>
      <c r="R46" s="20">
        <f ca="1">OFFSET('Gas Supply Factors'!$B$14,$O46-1,R$14)*$L46+OFFSET('Gas Supply Factors'!$B$14,$K46-1,R$14)*$H46</f>
        <v>0</v>
      </c>
      <c r="S46" s="20"/>
      <c r="T46" s="20">
        <f ca="1">OFFSET('Gas Supply Factors'!$B$14,$O46-1,T$14)*$L46+OFFSET('Gas Supply Factors'!$B$14,$K46-1,T$14)*$H46</f>
        <v>0</v>
      </c>
      <c r="U46" s="20"/>
      <c r="V46" s="20">
        <f ca="1">OFFSET('Gas Supply Factors'!$B$14,$O46-1,V$14)*$L46+OFFSET('Gas Supply Factors'!$B$14,$K46-1,V$14)*$H46</f>
        <v>0</v>
      </c>
      <c r="W46" s="20"/>
      <c r="X46" s="20">
        <f ca="1">OFFSET('Gas Supply Factors'!$B$14,$O46-1,X$14)*$L46+OFFSET('Gas Supply Factors'!$B$14,$K46-1,X$14)*$H46</f>
        <v>0</v>
      </c>
      <c r="Z46" s="20">
        <f ca="1">OFFSET('Gas Supply Factors'!$B$14,$O46-1,Z$14)*$L46+OFFSET('Gas Supply Factors'!$B$14,$K46-1,Z$14)*$H46</f>
        <v>0</v>
      </c>
      <c r="AB46" s="20">
        <f t="shared" ca="1" si="7"/>
        <v>0</v>
      </c>
      <c r="AD46" s="25" t="str">
        <f ca="1">IF(ROUND(F46,4)=ROUND(AB46,4), "", "check")</f>
        <v/>
      </c>
      <c r="AK46" s="15"/>
    </row>
    <row r="47" spans="2:37" ht="13" x14ac:dyDescent="0.3">
      <c r="B47" s="18">
        <f t="shared" si="8"/>
        <v>24</v>
      </c>
      <c r="D47" s="1" t="s">
        <v>47</v>
      </c>
      <c r="F47" s="48">
        <f ca="1">Function!P47</f>
        <v>0</v>
      </c>
      <c r="H47" s="48"/>
      <c r="L47" s="48">
        <f t="shared" ca="1" si="6"/>
        <v>0</v>
      </c>
      <c r="N47" s="2"/>
      <c r="O47" s="70">
        <f>_xlfn.IFNA(MATCH(N47,'Gas Supply Factors'!$B$14:$B$387,0),0)</f>
        <v>0</v>
      </c>
      <c r="P47" s="20">
        <f ca="1">OFFSET('Gas Supply Factors'!$B$14,$O47-1,P$14)*$L47+OFFSET('Gas Supply Factors'!$B$14,$K47-1,P$14)*$H47</f>
        <v>0</v>
      </c>
      <c r="R47" s="20">
        <f ca="1">OFFSET('Gas Supply Factors'!$B$14,$O47-1,R$14)*$L47+OFFSET('Gas Supply Factors'!$B$14,$K47-1,R$14)*$H47</f>
        <v>0</v>
      </c>
      <c r="S47" s="20"/>
      <c r="T47" s="20">
        <f ca="1">OFFSET('Gas Supply Factors'!$B$14,$O47-1,T$14)*$L47+OFFSET('Gas Supply Factors'!$B$14,$K47-1,T$14)*$H47</f>
        <v>0</v>
      </c>
      <c r="U47" s="20"/>
      <c r="V47" s="20">
        <f ca="1">OFFSET('Gas Supply Factors'!$B$14,$O47-1,V$14)*$L47+OFFSET('Gas Supply Factors'!$B$14,$K47-1,V$14)*$H47</f>
        <v>0</v>
      </c>
      <c r="W47" s="20"/>
      <c r="X47" s="20">
        <f ca="1">OFFSET('Gas Supply Factors'!$B$14,$O47-1,X$14)*$L47+OFFSET('Gas Supply Factors'!$B$14,$K47-1,X$14)*$H47</f>
        <v>0</v>
      </c>
      <c r="Z47" s="20">
        <f ca="1">OFFSET('Gas Supply Factors'!$B$14,$O47-1,Z$14)*$L47+OFFSET('Gas Supply Factors'!$B$14,$K47-1,Z$14)*$H47</f>
        <v>0</v>
      </c>
      <c r="AB47" s="20">
        <f t="shared" ca="1" si="7"/>
        <v>0</v>
      </c>
      <c r="AD47" s="25" t="str">
        <f t="shared" ref="AD47:AD57" ca="1" si="10">IF(ROUND(F47,4)=ROUND(AB47,4), "", "check")</f>
        <v/>
      </c>
    </row>
    <row r="48" spans="2:37" ht="13" x14ac:dyDescent="0.3">
      <c r="B48" s="18">
        <f t="shared" si="8"/>
        <v>25</v>
      </c>
      <c r="D48" s="1" t="s">
        <v>48</v>
      </c>
      <c r="F48" s="48">
        <f ca="1">Function!P48</f>
        <v>0</v>
      </c>
      <c r="H48" s="48"/>
      <c r="L48" s="48">
        <f t="shared" ca="1" si="6"/>
        <v>0</v>
      </c>
      <c r="N48" s="2"/>
      <c r="O48" s="70">
        <f>_xlfn.IFNA(MATCH(N48,'Gas Supply Factors'!$B$14:$B$387,0),0)</f>
        <v>0</v>
      </c>
      <c r="P48" s="20">
        <f ca="1">OFFSET('Gas Supply Factors'!$B$14,$O48-1,P$14)*$L48+OFFSET('Gas Supply Factors'!$B$14,$K48-1,P$14)*$H48</f>
        <v>0</v>
      </c>
      <c r="R48" s="20">
        <f ca="1">OFFSET('Gas Supply Factors'!$B$14,$O48-1,R$14)*$L48+OFFSET('Gas Supply Factors'!$B$14,$K48-1,R$14)*$H48</f>
        <v>0</v>
      </c>
      <c r="S48" s="20"/>
      <c r="T48" s="20">
        <f ca="1">OFFSET('Gas Supply Factors'!$B$14,$O48-1,T$14)*$L48+OFFSET('Gas Supply Factors'!$B$14,$K48-1,T$14)*$H48</f>
        <v>0</v>
      </c>
      <c r="U48" s="20"/>
      <c r="V48" s="20">
        <f ca="1">OFFSET('Gas Supply Factors'!$B$14,$O48-1,V$14)*$L48+OFFSET('Gas Supply Factors'!$B$14,$K48-1,V$14)*$H48</f>
        <v>0</v>
      </c>
      <c r="W48" s="20"/>
      <c r="X48" s="20">
        <f ca="1">OFFSET('Gas Supply Factors'!$B$14,$O48-1,X$14)*$L48+OFFSET('Gas Supply Factors'!$B$14,$K48-1,X$14)*$H48</f>
        <v>0</v>
      </c>
      <c r="Z48" s="20">
        <f ca="1">OFFSET('Gas Supply Factors'!$B$14,$O48-1,Z$14)*$L48+OFFSET('Gas Supply Factors'!$B$14,$K48-1,Z$14)*$H48</f>
        <v>0</v>
      </c>
      <c r="AB48" s="20">
        <f t="shared" ca="1" si="7"/>
        <v>0</v>
      </c>
      <c r="AD48" s="25" t="str">
        <f t="shared" ca="1" si="10"/>
        <v/>
      </c>
    </row>
    <row r="49" spans="2:30" ht="13" x14ac:dyDescent="0.3">
      <c r="B49" s="18">
        <f t="shared" si="8"/>
        <v>26</v>
      </c>
      <c r="D49" s="1" t="s">
        <v>49</v>
      </c>
      <c r="F49" s="48">
        <f ca="1">Function!P49</f>
        <v>0</v>
      </c>
      <c r="H49" s="48"/>
      <c r="L49" s="48">
        <f t="shared" ca="1" si="6"/>
        <v>0</v>
      </c>
      <c r="N49" s="2"/>
      <c r="O49" s="70">
        <f>_xlfn.IFNA(MATCH(N49,'Gas Supply Factors'!$B$14:$B$387,0),0)</f>
        <v>0</v>
      </c>
      <c r="P49" s="20">
        <f ca="1">OFFSET('Gas Supply Factors'!$B$14,$O49-1,P$14)*$L49+OFFSET('Gas Supply Factors'!$B$14,$K49-1,P$14)*$H49</f>
        <v>0</v>
      </c>
      <c r="R49" s="20">
        <f ca="1">OFFSET('Gas Supply Factors'!$B$14,$O49-1,R$14)*$L49+OFFSET('Gas Supply Factors'!$B$14,$K49-1,R$14)*$H49</f>
        <v>0</v>
      </c>
      <c r="S49" s="20"/>
      <c r="T49" s="20">
        <f ca="1">OFFSET('Gas Supply Factors'!$B$14,$O49-1,T$14)*$L49+OFFSET('Gas Supply Factors'!$B$14,$K49-1,T$14)*$H49</f>
        <v>0</v>
      </c>
      <c r="U49" s="20"/>
      <c r="V49" s="20">
        <f ca="1">OFFSET('Gas Supply Factors'!$B$14,$O49-1,V$14)*$L49+OFFSET('Gas Supply Factors'!$B$14,$K49-1,V$14)*$H49</f>
        <v>0</v>
      </c>
      <c r="W49" s="20"/>
      <c r="X49" s="20">
        <f ca="1">OFFSET('Gas Supply Factors'!$B$14,$O49-1,X$14)*$L49+OFFSET('Gas Supply Factors'!$B$14,$K49-1,X$14)*$H49</f>
        <v>0</v>
      </c>
      <c r="Z49" s="20">
        <f ca="1">OFFSET('Gas Supply Factors'!$B$14,$O49-1,Z$14)*$L49+OFFSET('Gas Supply Factors'!$B$14,$K49-1,Z$14)*$H49</f>
        <v>0</v>
      </c>
      <c r="AB49" s="20">
        <f t="shared" ca="1" si="7"/>
        <v>0</v>
      </c>
      <c r="AD49" s="25" t="str">
        <f t="shared" ca="1" si="10"/>
        <v/>
      </c>
    </row>
    <row r="50" spans="2:30" ht="13" x14ac:dyDescent="0.3">
      <c r="B50" s="18">
        <f t="shared" si="8"/>
        <v>27</v>
      </c>
      <c r="D50" s="1" t="s">
        <v>51</v>
      </c>
      <c r="F50" s="48">
        <f ca="1">Function!P50</f>
        <v>0</v>
      </c>
      <c r="H50" s="48"/>
      <c r="L50" s="48">
        <f t="shared" ca="1" si="6"/>
        <v>0</v>
      </c>
      <c r="N50" s="2"/>
      <c r="O50" s="70">
        <f>_xlfn.IFNA(MATCH(N50,'Gas Supply Factors'!$B$14:$B$387,0),0)</f>
        <v>0</v>
      </c>
      <c r="P50" s="20">
        <f ca="1">OFFSET('Gas Supply Factors'!$B$14,$O50-1,P$14)*$L50+OFFSET('Gas Supply Factors'!$B$14,$K50-1,P$14)*$H50</f>
        <v>0</v>
      </c>
      <c r="R50" s="20">
        <f ca="1">OFFSET('Gas Supply Factors'!$B$14,$O50-1,R$14)*$L50+OFFSET('Gas Supply Factors'!$B$14,$K50-1,R$14)*$H50</f>
        <v>0</v>
      </c>
      <c r="S50" s="20"/>
      <c r="T50" s="20">
        <f ca="1">OFFSET('Gas Supply Factors'!$B$14,$O50-1,T$14)*$L50+OFFSET('Gas Supply Factors'!$B$14,$K50-1,T$14)*$H50</f>
        <v>0</v>
      </c>
      <c r="U50" s="20"/>
      <c r="V50" s="20">
        <f ca="1">OFFSET('Gas Supply Factors'!$B$14,$O50-1,V$14)*$L50+OFFSET('Gas Supply Factors'!$B$14,$K50-1,V$14)*$H50</f>
        <v>0</v>
      </c>
      <c r="W50" s="20"/>
      <c r="X50" s="20">
        <f ca="1">OFFSET('Gas Supply Factors'!$B$14,$O50-1,X$14)*$L50+OFFSET('Gas Supply Factors'!$B$14,$K50-1,X$14)*$H50</f>
        <v>0</v>
      </c>
      <c r="Z50" s="20">
        <f ca="1">OFFSET('Gas Supply Factors'!$B$14,$O50-1,Z$14)*$L50+OFFSET('Gas Supply Factors'!$B$14,$K50-1,Z$14)*$H50</f>
        <v>0</v>
      </c>
      <c r="AB50" s="20">
        <f t="shared" ca="1" si="7"/>
        <v>0</v>
      </c>
      <c r="AD50" s="25" t="str">
        <f t="shared" ca="1" si="10"/>
        <v/>
      </c>
    </row>
    <row r="51" spans="2:30" ht="13" x14ac:dyDescent="0.3">
      <c r="B51" s="18">
        <f>B50+1</f>
        <v>28</v>
      </c>
      <c r="D51" s="1" t="s">
        <v>52</v>
      </c>
      <c r="F51" s="48">
        <f ca="1">Function!P51</f>
        <v>0</v>
      </c>
      <c r="H51" s="48"/>
      <c r="L51" s="48">
        <f t="shared" ca="1" si="6"/>
        <v>0</v>
      </c>
      <c r="N51" s="2"/>
      <c r="O51" s="70">
        <f>_xlfn.IFNA(MATCH(N51,'Gas Supply Factors'!$B$14:$B$387,0),0)</f>
        <v>0</v>
      </c>
      <c r="P51" s="20">
        <f ca="1">OFFSET('Gas Supply Factors'!$B$14,$O51-1,P$14)*$L51+OFFSET('Gas Supply Factors'!$B$14,$K51-1,P$14)*$H51</f>
        <v>0</v>
      </c>
      <c r="R51" s="20">
        <f ca="1">OFFSET('Gas Supply Factors'!$B$14,$O51-1,R$14)*$L51+OFFSET('Gas Supply Factors'!$B$14,$K51-1,R$14)*$H51</f>
        <v>0</v>
      </c>
      <c r="S51" s="20"/>
      <c r="T51" s="20">
        <f ca="1">OFFSET('Gas Supply Factors'!$B$14,$O51-1,T$14)*$L51+OFFSET('Gas Supply Factors'!$B$14,$K51-1,T$14)*$H51</f>
        <v>0</v>
      </c>
      <c r="U51" s="20"/>
      <c r="V51" s="20">
        <f ca="1">OFFSET('Gas Supply Factors'!$B$14,$O51-1,V$14)*$L51+OFFSET('Gas Supply Factors'!$B$14,$K51-1,V$14)*$H51</f>
        <v>0</v>
      </c>
      <c r="W51" s="20"/>
      <c r="X51" s="20">
        <f ca="1">OFFSET('Gas Supply Factors'!$B$14,$O51-1,X$14)*$L51+OFFSET('Gas Supply Factors'!$B$14,$K51-1,X$14)*$H51</f>
        <v>0</v>
      </c>
      <c r="Z51" s="20">
        <f ca="1">OFFSET('Gas Supply Factors'!$B$14,$O51-1,Z$14)*$L51+OFFSET('Gas Supply Factors'!$B$14,$K51-1,Z$14)*$H51</f>
        <v>0</v>
      </c>
      <c r="AB51" s="20">
        <f t="shared" ca="1" si="7"/>
        <v>0</v>
      </c>
      <c r="AD51" s="25" t="str">
        <f t="shared" ca="1" si="10"/>
        <v/>
      </c>
    </row>
    <row r="52" spans="2:30" ht="13" x14ac:dyDescent="0.3">
      <c r="B52" s="18">
        <f>B51+1</f>
        <v>29</v>
      </c>
      <c r="D52" s="1" t="s">
        <v>53</v>
      </c>
      <c r="F52" s="48">
        <f ca="1">Function!P52</f>
        <v>0</v>
      </c>
      <c r="H52" s="48"/>
      <c r="L52" s="48">
        <f t="shared" ca="1" si="6"/>
        <v>0</v>
      </c>
      <c r="N52" s="2"/>
      <c r="O52" s="70">
        <f>_xlfn.IFNA(MATCH(N52,'Gas Supply Factors'!$B$14:$B$387,0),0)</f>
        <v>0</v>
      </c>
      <c r="P52" s="20">
        <f ca="1">OFFSET('Gas Supply Factors'!$B$14,$O52-1,P$14)*$L52+OFFSET('Gas Supply Factors'!$B$14,$K52-1,P$14)*$H52</f>
        <v>0</v>
      </c>
      <c r="R52" s="20">
        <f ca="1">OFFSET('Gas Supply Factors'!$B$14,$O52-1,R$14)*$L52+OFFSET('Gas Supply Factors'!$B$14,$K52-1,R$14)*$H52</f>
        <v>0</v>
      </c>
      <c r="S52" s="20"/>
      <c r="T52" s="20">
        <f ca="1">OFFSET('Gas Supply Factors'!$B$14,$O52-1,T$14)*$L52+OFFSET('Gas Supply Factors'!$B$14,$K52-1,T$14)*$H52</f>
        <v>0</v>
      </c>
      <c r="U52" s="20"/>
      <c r="V52" s="20">
        <f ca="1">OFFSET('Gas Supply Factors'!$B$14,$O52-1,V$14)*$L52+OFFSET('Gas Supply Factors'!$B$14,$K52-1,V$14)*$H52</f>
        <v>0</v>
      </c>
      <c r="W52" s="20"/>
      <c r="X52" s="20">
        <f ca="1">OFFSET('Gas Supply Factors'!$B$14,$O52-1,X$14)*$L52+OFFSET('Gas Supply Factors'!$B$14,$K52-1,X$14)*$H52</f>
        <v>0</v>
      </c>
      <c r="Z52" s="20">
        <f ca="1">OFFSET('Gas Supply Factors'!$B$14,$O52-1,Z$14)*$L52+OFFSET('Gas Supply Factors'!$B$14,$K52-1,Z$14)*$H52</f>
        <v>0</v>
      </c>
      <c r="AB52" s="20">
        <f t="shared" ca="1" si="7"/>
        <v>0</v>
      </c>
      <c r="AD52" s="25" t="str">
        <f t="shared" ca="1" si="10"/>
        <v/>
      </c>
    </row>
    <row r="53" spans="2:30" ht="13" x14ac:dyDescent="0.3">
      <c r="B53" s="18">
        <f t="shared" si="8"/>
        <v>30</v>
      </c>
      <c r="D53" s="1" t="s">
        <v>65</v>
      </c>
      <c r="F53" s="40">
        <f ca="1">SUM(F40:F52)</f>
        <v>0</v>
      </c>
      <c r="H53" s="40">
        <f>SUM(H40:H52)</f>
        <v>0</v>
      </c>
      <c r="L53" s="40">
        <f ca="1">SUM(L40:L52)</f>
        <v>0</v>
      </c>
      <c r="P53" s="28">
        <f ca="1">SUM(P40:P52)</f>
        <v>0</v>
      </c>
      <c r="Q53" s="23"/>
      <c r="R53" s="28">
        <f ca="1">SUM(R40:R52)</f>
        <v>0</v>
      </c>
      <c r="S53" s="22"/>
      <c r="T53" s="28">
        <f ca="1">SUM(T40:T52)</f>
        <v>0</v>
      </c>
      <c r="U53" s="22"/>
      <c r="V53" s="28">
        <f ca="1">SUM(V40:V52)</f>
        <v>0</v>
      </c>
      <c r="W53" s="22"/>
      <c r="X53" s="28">
        <f ca="1">SUM(X40:X52)</f>
        <v>0</v>
      </c>
      <c r="Y53" s="18"/>
      <c r="Z53" s="28">
        <f ca="1">SUM(Z40:Z52)</f>
        <v>0</v>
      </c>
      <c r="AB53" s="28">
        <f ca="1">SUM(AB40:AB52)</f>
        <v>0</v>
      </c>
      <c r="AD53" s="25" t="str">
        <f t="shared" ca="1" si="10"/>
        <v/>
      </c>
    </row>
    <row r="54" spans="2:30" ht="13" x14ac:dyDescent="0.3">
      <c r="Y54" s="18"/>
      <c r="AB54" s="8"/>
      <c r="AD54" s="25" t="str">
        <f t="shared" si="10"/>
        <v/>
      </c>
    </row>
    <row r="55" spans="2:30" ht="13" x14ac:dyDescent="0.3">
      <c r="B55" s="18">
        <f>B53+1</f>
        <v>31</v>
      </c>
      <c r="D55" s="1" t="s">
        <v>56</v>
      </c>
      <c r="F55" s="48">
        <f ca="1">Function!P55</f>
        <v>0</v>
      </c>
      <c r="H55" s="48"/>
      <c r="L55" s="48">
        <f t="shared" ref="L55" ca="1" si="11">F55-H55</f>
        <v>0</v>
      </c>
      <c r="N55" s="2"/>
      <c r="O55" s="70">
        <f>_xlfn.IFNA(MATCH(N55,'Gas Supply Factors'!$B$14:$B$387,0),0)</f>
        <v>0</v>
      </c>
      <c r="P55" s="20">
        <f ca="1">OFFSET('Gas Supply Factors'!$B$14,$O55-1,P$14)*$L55+OFFSET('Gas Supply Factors'!$B$14,$K55-1,P$14)*$H55</f>
        <v>0</v>
      </c>
      <c r="R55" s="20">
        <f ca="1">OFFSET('Gas Supply Factors'!$B$14,$O55-1,R$14)*$L55+OFFSET('Gas Supply Factors'!$B$14,$K55-1,R$14)*$H55</f>
        <v>0</v>
      </c>
      <c r="S55" s="20"/>
      <c r="T55" s="20">
        <f ca="1">OFFSET('Gas Supply Factors'!$B$14,$O55-1,T$14)*$L55+OFFSET('Gas Supply Factors'!$B$14,$K55-1,T$14)*$H55</f>
        <v>0</v>
      </c>
      <c r="U55" s="20"/>
      <c r="V55" s="20">
        <f ca="1">OFFSET('Gas Supply Factors'!$B$14,$O55-1,V$14)*$L55+OFFSET('Gas Supply Factors'!$B$14,$K55-1,V$14)*$H55</f>
        <v>0</v>
      </c>
      <c r="W55" s="20"/>
      <c r="X55" s="20">
        <f ca="1">OFFSET('Gas Supply Factors'!$B$14,$O55-1,X$14)*$L55+OFFSET('Gas Supply Factors'!$B$14,$K55-1,X$14)*$H55</f>
        <v>0</v>
      </c>
      <c r="Z55" s="20">
        <f ca="1">OFFSET('Gas Supply Factors'!$B$14,$O55-1,Z$14)*$L55+OFFSET('Gas Supply Factors'!$B$14,$K55-1,Z$14)*$H55</f>
        <v>0</v>
      </c>
      <c r="AB55" s="20">
        <f ca="1">P55+R55+V55+X55+Z55+T55</f>
        <v>0</v>
      </c>
      <c r="AD55" s="25" t="str">
        <f t="shared" ca="1" si="10"/>
        <v/>
      </c>
    </row>
    <row r="56" spans="2:30" ht="13" x14ac:dyDescent="0.3">
      <c r="Y56" s="18"/>
      <c r="AB56" s="8"/>
      <c r="AD56" s="25" t="str">
        <f t="shared" si="10"/>
        <v/>
      </c>
    </row>
    <row r="57" spans="2:30" ht="13" x14ac:dyDescent="0.3">
      <c r="B57" s="18">
        <f>B55+1</f>
        <v>32</v>
      </c>
      <c r="D57" s="1" t="s">
        <v>66</v>
      </c>
      <c r="F57" s="40">
        <f ca="1">F53+F55</f>
        <v>0</v>
      </c>
      <c r="H57" s="40">
        <f>H53+H55</f>
        <v>0</v>
      </c>
      <c r="L57" s="40">
        <f ca="1">L53+L55</f>
        <v>0</v>
      </c>
      <c r="P57" s="10">
        <f ca="1">P53+P55</f>
        <v>0</v>
      </c>
      <c r="Q57" s="14"/>
      <c r="R57" s="10">
        <f ca="1">R53+R55</f>
        <v>0</v>
      </c>
      <c r="S57" s="8"/>
      <c r="T57" s="10">
        <f ca="1">T53+T55</f>
        <v>0</v>
      </c>
      <c r="U57" s="8"/>
      <c r="V57" s="10">
        <f ca="1">V53+V55</f>
        <v>0</v>
      </c>
      <c r="W57" s="8"/>
      <c r="X57" s="10">
        <f ca="1">X53+X55</f>
        <v>0</v>
      </c>
      <c r="Y57" s="18"/>
      <c r="Z57" s="10">
        <f ca="1">Z53+Z55</f>
        <v>0</v>
      </c>
      <c r="AB57" s="10">
        <f ca="1">AB53+AB55</f>
        <v>0</v>
      </c>
      <c r="AD57" s="25" t="str">
        <f t="shared" ca="1" si="10"/>
        <v/>
      </c>
    </row>
    <row r="58" spans="2:30" x14ac:dyDescent="0.25">
      <c r="D58" s="6"/>
      <c r="E58" s="6"/>
      <c r="F58" s="74"/>
      <c r="H58" s="74"/>
      <c r="J58" s="2"/>
      <c r="L58" s="74"/>
    </row>
    <row r="59" spans="2:30" x14ac:dyDescent="0.25">
      <c r="F59" s="48"/>
      <c r="J59" s="2"/>
    </row>
    <row r="60" spans="2:30" ht="13" x14ac:dyDescent="0.3">
      <c r="D60" s="6" t="s">
        <v>67</v>
      </c>
      <c r="E60" s="7"/>
      <c r="F60" s="75"/>
      <c r="Y60" s="18"/>
      <c r="AD60" s="27"/>
    </row>
    <row r="61" spans="2:30" x14ac:dyDescent="0.25">
      <c r="Y61" s="18"/>
      <c r="AD61" s="27"/>
    </row>
    <row r="62" spans="2:30" ht="13" x14ac:dyDescent="0.3">
      <c r="B62" s="18">
        <f>B57+1</f>
        <v>33</v>
      </c>
      <c r="D62" s="1" t="s">
        <v>33</v>
      </c>
      <c r="F62" s="48">
        <f ca="1">Function!P62</f>
        <v>0</v>
      </c>
      <c r="H62" s="48"/>
      <c r="J62" s="2"/>
      <c r="L62" s="48">
        <f ca="1">F62-H62</f>
        <v>0</v>
      </c>
      <c r="N62" s="2"/>
      <c r="O62" s="70">
        <f>_xlfn.IFNA(MATCH(N62,'Gas Supply Factors'!$B$14:$B$387,0),0)</f>
        <v>0</v>
      </c>
      <c r="P62" s="20">
        <f ca="1">P18+P40</f>
        <v>0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W62" s="20"/>
      <c r="X62" s="20">
        <f ca="1">X18+X40</f>
        <v>0</v>
      </c>
      <c r="Z62" s="20">
        <f ca="1">Z18+Z40</f>
        <v>0</v>
      </c>
      <c r="AB62" s="20">
        <f ca="1">P62+R62+V62+X62+Z62+T62</f>
        <v>0</v>
      </c>
      <c r="AD62" s="25" t="str">
        <f ca="1">IF(ROUND(F62,4)=ROUND(AB62,4), "", "check")</f>
        <v/>
      </c>
    </row>
    <row r="63" spans="2:30" ht="13" x14ac:dyDescent="0.3">
      <c r="B63" s="18">
        <f>B62+1</f>
        <v>34</v>
      </c>
      <c r="D63" s="1" t="s">
        <v>35</v>
      </c>
      <c r="F63" s="48">
        <f ca="1">Function!P63</f>
        <v>0</v>
      </c>
      <c r="H63" s="48"/>
      <c r="J63" s="2"/>
      <c r="L63" s="48">
        <f t="shared" ref="L63:L74" ca="1" si="12">F63-H63</f>
        <v>0</v>
      </c>
      <c r="N63" s="2"/>
      <c r="O63" s="70">
        <f>_xlfn.IFNA(MATCH(N63,'Gas Supply Factors'!$B$14:$B$387,0),0)</f>
        <v>0</v>
      </c>
      <c r="P63" s="20">
        <f t="shared" ref="P63:P74" ca="1" si="13">P19+P41</f>
        <v>0</v>
      </c>
      <c r="R63" s="20">
        <f t="shared" ref="R63:R74" ca="1" si="14">R19+R41</f>
        <v>0</v>
      </c>
      <c r="S63" s="20"/>
      <c r="T63" s="20">
        <f t="shared" ref="T63:T74" ca="1" si="15">T19+T41</f>
        <v>0</v>
      </c>
      <c r="U63" s="20"/>
      <c r="V63" s="20">
        <f t="shared" ref="V63:V74" ca="1" si="16">V19+V41</f>
        <v>0</v>
      </c>
      <c r="W63" s="20"/>
      <c r="X63" s="20">
        <f t="shared" ref="X63:X74" ca="1" si="17">X19+X41</f>
        <v>0</v>
      </c>
      <c r="Z63" s="20">
        <f t="shared" ref="Z63:Z74" ca="1" si="18">Z19+Z41</f>
        <v>0</v>
      </c>
      <c r="AB63" s="20">
        <f t="shared" ref="AB63:AB74" ca="1" si="19">P63+R63+V63+X63+Z63+T63</f>
        <v>0</v>
      </c>
      <c r="AD63" s="25"/>
    </row>
    <row r="64" spans="2:30" ht="13" x14ac:dyDescent="0.3">
      <c r="B64" s="18">
        <f t="shared" ref="B64:B75" si="20">B63+1</f>
        <v>35</v>
      </c>
      <c r="D64" s="1" t="s">
        <v>37</v>
      </c>
      <c r="F64" s="48">
        <f ca="1">Function!P64</f>
        <v>0</v>
      </c>
      <c r="H64" s="48"/>
      <c r="J64" s="2"/>
      <c r="L64" s="48">
        <f t="shared" ca="1" si="12"/>
        <v>0</v>
      </c>
      <c r="N64" s="2"/>
      <c r="O64" s="70">
        <f>_xlfn.IFNA(MATCH(N64,'Gas Supply Factors'!$B$14:$B$387,0),0)</f>
        <v>0</v>
      </c>
      <c r="P64" s="20">
        <f t="shared" ca="1" si="13"/>
        <v>0</v>
      </c>
      <c r="R64" s="20">
        <f t="shared" ca="1" si="14"/>
        <v>0</v>
      </c>
      <c r="S64" s="20"/>
      <c r="T64" s="20">
        <f t="shared" ca="1" si="15"/>
        <v>0</v>
      </c>
      <c r="U64" s="20"/>
      <c r="V64" s="20">
        <f t="shared" ca="1" si="16"/>
        <v>0</v>
      </c>
      <c r="W64" s="20"/>
      <c r="X64" s="20">
        <f t="shared" ca="1" si="17"/>
        <v>0</v>
      </c>
      <c r="Z64" s="20">
        <f t="shared" ca="1" si="18"/>
        <v>0</v>
      </c>
      <c r="AB64" s="20">
        <f t="shared" ca="1" si="19"/>
        <v>0</v>
      </c>
      <c r="AD64" s="25" t="str">
        <f t="shared" ref="AD64:AD152" ca="1" si="21">IF(ROUND(F64,4)=ROUND(AB64,4), "", "check")</f>
        <v/>
      </c>
    </row>
    <row r="65" spans="2:30" ht="13" x14ac:dyDescent="0.3">
      <c r="B65" s="18">
        <f t="shared" si="20"/>
        <v>36</v>
      </c>
      <c r="D65" s="1" t="s">
        <v>39</v>
      </c>
      <c r="F65" s="48">
        <f ca="1">Function!P65</f>
        <v>0</v>
      </c>
      <c r="H65" s="48"/>
      <c r="J65" s="2"/>
      <c r="L65" s="48">
        <f t="shared" ca="1" si="12"/>
        <v>0</v>
      </c>
      <c r="N65" s="2"/>
      <c r="O65" s="70">
        <f>_xlfn.IFNA(MATCH(N65,'Gas Supply Factors'!$B$14:$B$387,0),0)</f>
        <v>0</v>
      </c>
      <c r="P65" s="20">
        <f t="shared" ca="1" si="13"/>
        <v>0</v>
      </c>
      <c r="R65" s="20">
        <f t="shared" ca="1" si="14"/>
        <v>0</v>
      </c>
      <c r="S65" s="20"/>
      <c r="T65" s="20">
        <f t="shared" ca="1" si="15"/>
        <v>0</v>
      </c>
      <c r="U65" s="20"/>
      <c r="V65" s="20">
        <f t="shared" ca="1" si="16"/>
        <v>0</v>
      </c>
      <c r="W65" s="20"/>
      <c r="X65" s="20">
        <f t="shared" ca="1" si="17"/>
        <v>0</v>
      </c>
      <c r="Z65" s="20">
        <f t="shared" ca="1" si="18"/>
        <v>0</v>
      </c>
      <c r="AB65" s="20">
        <f t="shared" ca="1" si="19"/>
        <v>0</v>
      </c>
      <c r="AD65" s="25" t="str">
        <f t="shared" ca="1" si="21"/>
        <v/>
      </c>
    </row>
    <row r="66" spans="2:30" ht="13" x14ac:dyDescent="0.3">
      <c r="B66" s="18">
        <f t="shared" si="20"/>
        <v>37</v>
      </c>
      <c r="D66" s="1" t="s">
        <v>41</v>
      </c>
      <c r="F66" s="48">
        <f ca="1">Function!P66</f>
        <v>0</v>
      </c>
      <c r="H66" s="48"/>
      <c r="J66" s="2"/>
      <c r="L66" s="48">
        <f t="shared" ca="1" si="12"/>
        <v>0</v>
      </c>
      <c r="N66" s="2"/>
      <c r="O66" s="70">
        <f>_xlfn.IFNA(MATCH(N66,'Gas Supply Factors'!$B$14:$B$387,0),0)</f>
        <v>0</v>
      </c>
      <c r="P66" s="20">
        <f t="shared" ca="1" si="13"/>
        <v>0</v>
      </c>
      <c r="R66" s="20">
        <f t="shared" ca="1" si="14"/>
        <v>0</v>
      </c>
      <c r="S66" s="20"/>
      <c r="T66" s="20">
        <f t="shared" ca="1" si="15"/>
        <v>0</v>
      </c>
      <c r="U66" s="20"/>
      <c r="V66" s="20">
        <f t="shared" ca="1" si="16"/>
        <v>0</v>
      </c>
      <c r="W66" s="20"/>
      <c r="X66" s="20">
        <f t="shared" ca="1" si="17"/>
        <v>0</v>
      </c>
      <c r="Z66" s="20">
        <f t="shared" ca="1" si="18"/>
        <v>0</v>
      </c>
      <c r="AB66" s="20">
        <f t="shared" ca="1" si="19"/>
        <v>0</v>
      </c>
      <c r="AD66" s="25" t="str">
        <f t="shared" ca="1" si="21"/>
        <v/>
      </c>
    </row>
    <row r="67" spans="2:30" ht="13" x14ac:dyDescent="0.3">
      <c r="B67" s="18">
        <f t="shared" si="20"/>
        <v>38</v>
      </c>
      <c r="D67" s="1" t="s">
        <v>43</v>
      </c>
      <c r="F67" s="48">
        <f ca="1">Function!P67</f>
        <v>0</v>
      </c>
      <c r="H67" s="48"/>
      <c r="L67" s="48">
        <f t="shared" ca="1" si="12"/>
        <v>0</v>
      </c>
      <c r="N67" s="2"/>
      <c r="O67" s="70">
        <f>_xlfn.IFNA(MATCH(N67,'Gas Supply Factors'!$B$14:$B$387,0),0)</f>
        <v>0</v>
      </c>
      <c r="P67" s="20">
        <f t="shared" ca="1" si="13"/>
        <v>0</v>
      </c>
      <c r="R67" s="20">
        <f t="shared" ca="1" si="14"/>
        <v>0</v>
      </c>
      <c r="S67" s="20"/>
      <c r="T67" s="20">
        <f t="shared" ca="1" si="15"/>
        <v>0</v>
      </c>
      <c r="U67" s="20"/>
      <c r="V67" s="20">
        <f t="shared" ca="1" si="16"/>
        <v>0</v>
      </c>
      <c r="W67" s="20"/>
      <c r="X67" s="20">
        <f t="shared" ca="1" si="17"/>
        <v>0</v>
      </c>
      <c r="Z67" s="20">
        <f t="shared" ca="1" si="18"/>
        <v>0</v>
      </c>
      <c r="AB67" s="20">
        <f t="shared" ca="1" si="19"/>
        <v>0</v>
      </c>
      <c r="AD67" s="25" t="str">
        <f t="shared" ca="1" si="21"/>
        <v/>
      </c>
    </row>
    <row r="68" spans="2:30" ht="13" x14ac:dyDescent="0.3">
      <c r="B68" s="18">
        <f t="shared" si="20"/>
        <v>39</v>
      </c>
      <c r="D68" s="1" t="s">
        <v>45</v>
      </c>
      <c r="F68" s="48">
        <f ca="1">Function!P68</f>
        <v>0</v>
      </c>
      <c r="H68" s="48"/>
      <c r="L68" s="48">
        <f t="shared" ca="1" si="12"/>
        <v>0</v>
      </c>
      <c r="N68" s="2"/>
      <c r="O68" s="70">
        <f>_xlfn.IFNA(MATCH(N68,'Gas Supply Factors'!$B$14:$B$387,0),0)</f>
        <v>0</v>
      </c>
      <c r="P68" s="20">
        <f t="shared" ca="1" si="13"/>
        <v>0</v>
      </c>
      <c r="R68" s="20">
        <f t="shared" ca="1" si="14"/>
        <v>0</v>
      </c>
      <c r="S68" s="20"/>
      <c r="T68" s="20">
        <f t="shared" ca="1" si="15"/>
        <v>0</v>
      </c>
      <c r="U68" s="20"/>
      <c r="V68" s="20">
        <f t="shared" ca="1" si="16"/>
        <v>0</v>
      </c>
      <c r="W68" s="20"/>
      <c r="X68" s="20">
        <f t="shared" ca="1" si="17"/>
        <v>0</v>
      </c>
      <c r="Z68" s="20">
        <f t="shared" ca="1" si="18"/>
        <v>0</v>
      </c>
      <c r="AB68" s="20">
        <f t="shared" ca="1" si="19"/>
        <v>0</v>
      </c>
      <c r="AD68" s="25" t="str">
        <f ca="1">IF(ROUND(F68,4)=ROUND(AB68,4), "", "check")</f>
        <v/>
      </c>
    </row>
    <row r="69" spans="2:30" ht="13" x14ac:dyDescent="0.3">
      <c r="B69" s="18">
        <f t="shared" si="20"/>
        <v>40</v>
      </c>
      <c r="D69" s="1" t="s">
        <v>47</v>
      </c>
      <c r="F69" s="48">
        <f ca="1">Function!P69</f>
        <v>0</v>
      </c>
      <c r="H69" s="48"/>
      <c r="L69" s="48">
        <f t="shared" ca="1" si="12"/>
        <v>0</v>
      </c>
      <c r="N69" s="2"/>
      <c r="O69" s="70">
        <f>_xlfn.IFNA(MATCH(N69,'Gas Supply Factors'!$B$14:$B$387,0),0)</f>
        <v>0</v>
      </c>
      <c r="P69" s="20">
        <f t="shared" ca="1" si="13"/>
        <v>0</v>
      </c>
      <c r="R69" s="20">
        <f t="shared" ca="1" si="14"/>
        <v>0</v>
      </c>
      <c r="S69" s="20"/>
      <c r="T69" s="20">
        <f t="shared" ca="1" si="15"/>
        <v>0</v>
      </c>
      <c r="U69" s="20"/>
      <c r="V69" s="20">
        <f t="shared" ca="1" si="16"/>
        <v>0</v>
      </c>
      <c r="W69" s="20"/>
      <c r="X69" s="20">
        <f t="shared" ca="1" si="17"/>
        <v>0</v>
      </c>
      <c r="Z69" s="20">
        <f t="shared" ca="1" si="18"/>
        <v>0</v>
      </c>
      <c r="AB69" s="20">
        <f t="shared" ca="1" si="19"/>
        <v>0</v>
      </c>
      <c r="AD69" s="25" t="str">
        <f t="shared" ca="1" si="21"/>
        <v/>
      </c>
    </row>
    <row r="70" spans="2:30" ht="13" x14ac:dyDescent="0.3">
      <c r="B70" s="18">
        <f t="shared" si="20"/>
        <v>41</v>
      </c>
      <c r="D70" s="1" t="s">
        <v>48</v>
      </c>
      <c r="F70" s="48">
        <f ca="1">Function!P70</f>
        <v>0</v>
      </c>
      <c r="H70" s="48"/>
      <c r="L70" s="48">
        <f t="shared" ca="1" si="12"/>
        <v>0</v>
      </c>
      <c r="N70" s="2"/>
      <c r="O70" s="70">
        <f>_xlfn.IFNA(MATCH(N70,'Gas Supply Factors'!$B$14:$B$387,0),0)</f>
        <v>0</v>
      </c>
      <c r="P70" s="20">
        <f t="shared" ca="1" si="13"/>
        <v>0</v>
      </c>
      <c r="R70" s="20">
        <f t="shared" ca="1" si="14"/>
        <v>0</v>
      </c>
      <c r="S70" s="20"/>
      <c r="T70" s="20">
        <f t="shared" ca="1" si="15"/>
        <v>0</v>
      </c>
      <c r="U70" s="20"/>
      <c r="V70" s="20">
        <f t="shared" ca="1" si="16"/>
        <v>0</v>
      </c>
      <c r="W70" s="20"/>
      <c r="X70" s="20">
        <f t="shared" ca="1" si="17"/>
        <v>0</v>
      </c>
      <c r="Z70" s="20">
        <f t="shared" ca="1" si="18"/>
        <v>0</v>
      </c>
      <c r="AB70" s="20">
        <f t="shared" ca="1" si="19"/>
        <v>0</v>
      </c>
      <c r="AD70" s="25" t="str">
        <f t="shared" ca="1" si="21"/>
        <v/>
      </c>
    </row>
    <row r="71" spans="2:30" ht="13" x14ac:dyDescent="0.3">
      <c r="B71" s="18">
        <f t="shared" si="20"/>
        <v>42</v>
      </c>
      <c r="D71" s="1" t="s">
        <v>49</v>
      </c>
      <c r="F71" s="48">
        <f ca="1">Function!P71</f>
        <v>0</v>
      </c>
      <c r="H71" s="48"/>
      <c r="L71" s="48">
        <f t="shared" ca="1" si="12"/>
        <v>0</v>
      </c>
      <c r="N71" s="2"/>
      <c r="O71" s="70">
        <f>_xlfn.IFNA(MATCH(N71,'Gas Supply Factors'!$B$14:$B$387,0),0)</f>
        <v>0</v>
      </c>
      <c r="P71" s="20">
        <f t="shared" ca="1" si="13"/>
        <v>0</v>
      </c>
      <c r="R71" s="20">
        <f t="shared" ca="1" si="14"/>
        <v>0</v>
      </c>
      <c r="S71" s="20"/>
      <c r="T71" s="20">
        <f t="shared" ca="1" si="15"/>
        <v>0</v>
      </c>
      <c r="U71" s="20"/>
      <c r="V71" s="20">
        <f t="shared" ca="1" si="16"/>
        <v>0</v>
      </c>
      <c r="W71" s="20"/>
      <c r="X71" s="20">
        <f t="shared" ca="1" si="17"/>
        <v>0</v>
      </c>
      <c r="Z71" s="20">
        <f t="shared" ca="1" si="18"/>
        <v>0</v>
      </c>
      <c r="AB71" s="20">
        <f t="shared" ca="1" si="19"/>
        <v>0</v>
      </c>
      <c r="AD71" s="25" t="str">
        <f t="shared" ca="1" si="21"/>
        <v/>
      </c>
    </row>
    <row r="72" spans="2:30" ht="13" x14ac:dyDescent="0.3">
      <c r="B72" s="18">
        <f t="shared" si="20"/>
        <v>43</v>
      </c>
      <c r="D72" s="1" t="s">
        <v>51</v>
      </c>
      <c r="F72" s="48">
        <f ca="1">Function!P72</f>
        <v>0</v>
      </c>
      <c r="H72" s="48"/>
      <c r="L72" s="48">
        <f t="shared" ca="1" si="12"/>
        <v>0</v>
      </c>
      <c r="N72" s="2"/>
      <c r="O72" s="70">
        <f>_xlfn.IFNA(MATCH(N72,'Gas Supply Factors'!$B$14:$B$387,0),0)</f>
        <v>0</v>
      </c>
      <c r="P72" s="20">
        <f t="shared" ca="1" si="13"/>
        <v>0</v>
      </c>
      <c r="R72" s="20">
        <f t="shared" ca="1" si="14"/>
        <v>0</v>
      </c>
      <c r="S72" s="20"/>
      <c r="T72" s="20">
        <f t="shared" ca="1" si="15"/>
        <v>0</v>
      </c>
      <c r="U72" s="20"/>
      <c r="V72" s="20">
        <f t="shared" ca="1" si="16"/>
        <v>0</v>
      </c>
      <c r="W72" s="20"/>
      <c r="X72" s="20">
        <f t="shared" ca="1" si="17"/>
        <v>0</v>
      </c>
      <c r="Z72" s="20">
        <f t="shared" ca="1" si="18"/>
        <v>0</v>
      </c>
      <c r="AB72" s="20">
        <f t="shared" ca="1" si="19"/>
        <v>0</v>
      </c>
      <c r="AD72" s="25" t="str">
        <f t="shared" ca="1" si="21"/>
        <v/>
      </c>
    </row>
    <row r="73" spans="2:30" ht="13" x14ac:dyDescent="0.3">
      <c r="B73" s="18">
        <f>B72+1</f>
        <v>44</v>
      </c>
      <c r="D73" s="1" t="s">
        <v>52</v>
      </c>
      <c r="F73" s="48">
        <f ca="1">Function!P73</f>
        <v>0</v>
      </c>
      <c r="H73" s="48"/>
      <c r="L73" s="48">
        <f t="shared" ca="1" si="12"/>
        <v>0</v>
      </c>
      <c r="N73" s="2"/>
      <c r="O73" s="70">
        <f>_xlfn.IFNA(MATCH(N73,'Gas Supply Factors'!$B$14:$B$387,0),0)</f>
        <v>0</v>
      </c>
      <c r="P73" s="20">
        <f t="shared" ca="1" si="13"/>
        <v>0</v>
      </c>
      <c r="R73" s="20">
        <f t="shared" ca="1" si="14"/>
        <v>0</v>
      </c>
      <c r="S73" s="20"/>
      <c r="T73" s="20">
        <f t="shared" ca="1" si="15"/>
        <v>0</v>
      </c>
      <c r="U73" s="20"/>
      <c r="V73" s="20">
        <f t="shared" ca="1" si="16"/>
        <v>0</v>
      </c>
      <c r="W73" s="20"/>
      <c r="X73" s="20">
        <f t="shared" ca="1" si="17"/>
        <v>0</v>
      </c>
      <c r="Z73" s="20">
        <f t="shared" ca="1" si="18"/>
        <v>0</v>
      </c>
      <c r="AB73" s="20">
        <f t="shared" ca="1" si="19"/>
        <v>0</v>
      </c>
      <c r="AD73" s="25" t="str">
        <f t="shared" ca="1" si="21"/>
        <v/>
      </c>
    </row>
    <row r="74" spans="2:30" ht="13" x14ac:dyDescent="0.3">
      <c r="B74" s="18">
        <f>B73+1</f>
        <v>45</v>
      </c>
      <c r="D74" s="1" t="s">
        <v>53</v>
      </c>
      <c r="F74" s="48">
        <f ca="1">Function!P74</f>
        <v>0</v>
      </c>
      <c r="H74" s="48"/>
      <c r="L74" s="48">
        <f t="shared" ca="1" si="12"/>
        <v>0</v>
      </c>
      <c r="N74" s="2"/>
      <c r="O74" s="70">
        <f>_xlfn.IFNA(MATCH(N74,'Gas Supply Factors'!$B$14:$B$387,0),0)</f>
        <v>0</v>
      </c>
      <c r="P74" s="20">
        <f t="shared" ca="1" si="13"/>
        <v>0</v>
      </c>
      <c r="R74" s="20">
        <f t="shared" ca="1" si="14"/>
        <v>0</v>
      </c>
      <c r="S74" s="20"/>
      <c r="T74" s="20">
        <f t="shared" ca="1" si="15"/>
        <v>0</v>
      </c>
      <c r="U74" s="20"/>
      <c r="V74" s="20">
        <f t="shared" ca="1" si="16"/>
        <v>0</v>
      </c>
      <c r="W74" s="20"/>
      <c r="X74" s="20">
        <f t="shared" ca="1" si="17"/>
        <v>0</v>
      </c>
      <c r="Z74" s="20">
        <f t="shared" ca="1" si="18"/>
        <v>0</v>
      </c>
      <c r="AB74" s="20">
        <f t="shared" ca="1" si="19"/>
        <v>0</v>
      </c>
      <c r="AD74" s="25" t="str">
        <f t="shared" ca="1" si="21"/>
        <v/>
      </c>
    </row>
    <row r="75" spans="2:30" ht="13" x14ac:dyDescent="0.3">
      <c r="B75" s="18">
        <f t="shared" si="20"/>
        <v>46</v>
      </c>
      <c r="D75" s="1" t="s">
        <v>68</v>
      </c>
      <c r="F75" s="40">
        <f ca="1">SUM(F62:F74)</f>
        <v>0</v>
      </c>
      <c r="H75" s="40">
        <f>SUM(H62:H74)</f>
        <v>0</v>
      </c>
      <c r="L75" s="40">
        <f ca="1">SUM(L62:L74)</f>
        <v>0</v>
      </c>
      <c r="P75" s="28">
        <f ca="1">SUM(P62:P74)</f>
        <v>0</v>
      </c>
      <c r="Q75" s="23"/>
      <c r="R75" s="28">
        <f ca="1">SUM(R62:R74)</f>
        <v>0</v>
      </c>
      <c r="S75" s="22"/>
      <c r="T75" s="28">
        <f ca="1">SUM(T62:T74)</f>
        <v>0</v>
      </c>
      <c r="U75" s="22"/>
      <c r="V75" s="28">
        <f ca="1">SUM(V62:V74)</f>
        <v>0</v>
      </c>
      <c r="W75" s="22"/>
      <c r="X75" s="28">
        <f ca="1">SUM(X62:X74)</f>
        <v>0</v>
      </c>
      <c r="Y75" s="18"/>
      <c r="Z75" s="28">
        <f ca="1">SUM(Z62:Z74)</f>
        <v>0</v>
      </c>
      <c r="AB75" s="28">
        <f ca="1">SUM(AB62:AB74)</f>
        <v>0</v>
      </c>
      <c r="AD75" s="25" t="str">
        <f t="shared" ca="1" si="21"/>
        <v/>
      </c>
    </row>
    <row r="76" spans="2:30" ht="13" x14ac:dyDescent="0.3">
      <c r="Y76" s="18"/>
      <c r="AB76" s="8"/>
      <c r="AD76" s="25" t="str">
        <f t="shared" si="21"/>
        <v/>
      </c>
    </row>
    <row r="77" spans="2:30" ht="13" x14ac:dyDescent="0.3">
      <c r="B77" s="18">
        <f>B75+1</f>
        <v>47</v>
      </c>
      <c r="D77" s="1" t="s">
        <v>56</v>
      </c>
      <c r="F77" s="48">
        <f ca="1">Function!P77</f>
        <v>0</v>
      </c>
      <c r="H77" s="48"/>
      <c r="L77" s="48">
        <f t="shared" ref="L77" ca="1" si="22">F77-H77</f>
        <v>0</v>
      </c>
      <c r="N77" s="2"/>
      <c r="O77" s="70">
        <f>_xlfn.IFNA(MATCH(N77,'Gas Supply Factors'!$B$14:$B$387,0),0)</f>
        <v>0</v>
      </c>
      <c r="P77" s="20">
        <f t="shared" ref="P77" ca="1" si="23">P33+P55</f>
        <v>0</v>
      </c>
      <c r="R77" s="20">
        <f t="shared" ref="R77" ca="1" si="24">R33+R55</f>
        <v>0</v>
      </c>
      <c r="S77" s="20"/>
      <c r="T77" s="20">
        <f t="shared" ref="T77" ca="1" si="25">T33+T55</f>
        <v>0</v>
      </c>
      <c r="U77" s="20"/>
      <c r="V77" s="20">
        <f t="shared" ref="V77" ca="1" si="26">V33+V55</f>
        <v>0</v>
      </c>
      <c r="W77" s="20"/>
      <c r="X77" s="20">
        <f t="shared" ref="X77" ca="1" si="27">X33+X55</f>
        <v>0</v>
      </c>
      <c r="Z77" s="20">
        <f t="shared" ref="Z77" ca="1" si="28">Z33+Z55</f>
        <v>0</v>
      </c>
      <c r="AB77" s="20">
        <f ca="1">P77+R77+V77+X77+Z77+T77</f>
        <v>0</v>
      </c>
      <c r="AD77" s="25" t="str">
        <f t="shared" ca="1" si="21"/>
        <v/>
      </c>
    </row>
    <row r="78" spans="2:30" ht="13" x14ac:dyDescent="0.3">
      <c r="Y78" s="18"/>
      <c r="AB78" s="8"/>
      <c r="AD78" s="25" t="str">
        <f t="shared" si="21"/>
        <v/>
      </c>
    </row>
    <row r="79" spans="2:30" ht="13" x14ac:dyDescent="0.3">
      <c r="B79" s="18">
        <f>B77+1</f>
        <v>48</v>
      </c>
      <c r="D79" s="1" t="s">
        <v>69</v>
      </c>
      <c r="F79" s="40">
        <f ca="1">F75+F77</f>
        <v>0</v>
      </c>
      <c r="H79" s="40">
        <f>H75+H77</f>
        <v>0</v>
      </c>
      <c r="L79" s="40">
        <f ca="1">L75+L77</f>
        <v>0</v>
      </c>
      <c r="P79" s="10">
        <f ca="1">P75+P77</f>
        <v>0</v>
      </c>
      <c r="Q79" s="14"/>
      <c r="R79" s="10">
        <f ca="1">R75+R77</f>
        <v>0</v>
      </c>
      <c r="S79" s="8"/>
      <c r="T79" s="10">
        <f ca="1">T75+T77</f>
        <v>0</v>
      </c>
      <c r="U79" s="8"/>
      <c r="V79" s="10">
        <f ca="1">V75+V77</f>
        <v>0</v>
      </c>
      <c r="W79" s="8"/>
      <c r="X79" s="10">
        <f ca="1">X75+X77</f>
        <v>0</v>
      </c>
      <c r="Y79" s="18"/>
      <c r="Z79" s="10">
        <f ca="1">Z75+Z77</f>
        <v>0</v>
      </c>
      <c r="AB79" s="10">
        <f ca="1">AB75+AB77</f>
        <v>0</v>
      </c>
      <c r="AD79" s="25" t="str">
        <f t="shared" ca="1" si="21"/>
        <v/>
      </c>
    </row>
    <row r="80" spans="2:30" ht="13" x14ac:dyDescent="0.3">
      <c r="D80" s="6"/>
      <c r="E80" s="6"/>
      <c r="F80" s="74"/>
      <c r="H80" s="74"/>
      <c r="L80" s="74"/>
      <c r="Y80" s="18"/>
      <c r="AD80" s="25" t="str">
        <f t="shared" si="21"/>
        <v/>
      </c>
    </row>
    <row r="81" spans="2:30" ht="13" x14ac:dyDescent="0.3">
      <c r="F81" s="48"/>
      <c r="J81" s="2"/>
      <c r="AD81" s="25" t="str">
        <f t="shared" si="21"/>
        <v/>
      </c>
    </row>
    <row r="82" spans="2:30" ht="13" x14ac:dyDescent="0.3">
      <c r="D82" s="6" t="s">
        <v>70</v>
      </c>
      <c r="F82" s="75"/>
      <c r="Y82" s="18"/>
      <c r="AD82" s="25" t="str">
        <f t="shared" si="21"/>
        <v/>
      </c>
    </row>
    <row r="83" spans="2:30" ht="13" x14ac:dyDescent="0.3">
      <c r="Y83" s="18"/>
      <c r="AD83" s="25" t="str">
        <f t="shared" si="21"/>
        <v/>
      </c>
    </row>
    <row r="84" spans="2:30" ht="13" x14ac:dyDescent="0.3">
      <c r="B84" s="18">
        <f>B79+1</f>
        <v>49</v>
      </c>
      <c r="D84" s="1" t="s">
        <v>71</v>
      </c>
      <c r="F84" s="48">
        <f ca="1">Function!P84</f>
        <v>0</v>
      </c>
      <c r="H84" s="48"/>
      <c r="L84" s="48">
        <f t="shared" ref="L84:L88" ca="1" si="29">F84-H84</f>
        <v>0</v>
      </c>
      <c r="N84" s="2"/>
      <c r="O84" s="70">
        <f>_xlfn.IFNA(MATCH(N84,'Gas Supply Factors'!$B$14:$B$387,0),0)</f>
        <v>0</v>
      </c>
      <c r="P84" s="20">
        <f ca="1">OFFSET('Gas Supply Factors'!$B$14,$O84-1,P$14)*$L84+OFFSET('Gas Supply Factors'!$B$14,$K84-1,P$14)*$H84</f>
        <v>0</v>
      </c>
      <c r="R84" s="20">
        <f ca="1">OFFSET('Gas Supply Factors'!$B$14,$O84-1,R$14)*$L84+OFFSET('Gas Supply Factors'!$B$14,$K84-1,R$14)*$H84</f>
        <v>0</v>
      </c>
      <c r="S84" s="20"/>
      <c r="T84" s="20">
        <f ca="1">OFFSET('Gas Supply Factors'!$B$14,$O84-1,T$14)*$L84+OFFSET('Gas Supply Factors'!$B$14,$K84-1,T$14)*$H84</f>
        <v>0</v>
      </c>
      <c r="U84" s="20"/>
      <c r="V84" s="20">
        <f ca="1">OFFSET('Gas Supply Factors'!$B$14,$O84-1,V$14)*$L84+OFFSET('Gas Supply Factors'!$B$14,$K84-1,V$14)*$H84</f>
        <v>0</v>
      </c>
      <c r="W84" s="20"/>
      <c r="X84" s="20">
        <f ca="1">OFFSET('Gas Supply Factors'!$B$14,$O84-1,X$14)*$L84+OFFSET('Gas Supply Factors'!$B$14,$K84-1,X$14)*$H84</f>
        <v>0</v>
      </c>
      <c r="Z84" s="20">
        <f ca="1">OFFSET('Gas Supply Factors'!$B$14,$O84-1,Z$14)*$L84+OFFSET('Gas Supply Factors'!$B$14,$K84-1,Z$14)*$H84</f>
        <v>0</v>
      </c>
      <c r="AB84" s="20">
        <f t="shared" ref="AB84:AB88" ca="1" si="30">P84+R84+V84+X84+Z84+T84</f>
        <v>0</v>
      </c>
      <c r="AD84" s="25" t="str">
        <f t="shared" ca="1" si="21"/>
        <v/>
      </c>
    </row>
    <row r="85" spans="2:30" ht="13" x14ac:dyDescent="0.3">
      <c r="B85" s="18">
        <f>B84+1</f>
        <v>50</v>
      </c>
      <c r="D85" s="1" t="s">
        <v>73</v>
      </c>
      <c r="F85" s="48">
        <f ca="1">Function!P85</f>
        <v>0</v>
      </c>
      <c r="H85" s="48"/>
      <c r="L85" s="48">
        <f t="shared" ca="1" si="29"/>
        <v>0</v>
      </c>
      <c r="N85" s="2"/>
      <c r="O85" s="70">
        <f>_xlfn.IFNA(MATCH(N85,'Gas Supply Factors'!$B$14:$B$387,0),0)</f>
        <v>0</v>
      </c>
      <c r="P85" s="20">
        <f ca="1">OFFSET('Gas Supply Factors'!$B$14,$O85-1,P$14)*$L85+OFFSET('Gas Supply Factors'!$B$14,$K85-1,P$14)*$H85</f>
        <v>0</v>
      </c>
      <c r="R85" s="20">
        <f ca="1">OFFSET('Gas Supply Factors'!$B$14,$O85-1,R$14)*$L85+OFFSET('Gas Supply Factors'!$B$14,$K85-1,R$14)*$H85</f>
        <v>0</v>
      </c>
      <c r="S85" s="20"/>
      <c r="T85" s="20">
        <f ca="1">OFFSET('Gas Supply Factors'!$B$14,$O85-1,T$14)*$L85+OFFSET('Gas Supply Factors'!$B$14,$K85-1,T$14)*$H85</f>
        <v>0</v>
      </c>
      <c r="U85" s="20"/>
      <c r="V85" s="20">
        <f ca="1">OFFSET('Gas Supply Factors'!$B$14,$O85-1,V$14)*$L85+OFFSET('Gas Supply Factors'!$B$14,$K85-1,V$14)*$H85</f>
        <v>0</v>
      </c>
      <c r="W85" s="20"/>
      <c r="X85" s="20">
        <f ca="1">OFFSET('Gas Supply Factors'!$B$14,$O85-1,X$14)*$L85+OFFSET('Gas Supply Factors'!$B$14,$K85-1,X$14)*$H85</f>
        <v>0</v>
      </c>
      <c r="Z85" s="20">
        <f ca="1">OFFSET('Gas Supply Factors'!$B$14,$O85-1,Z$14)*$L85+OFFSET('Gas Supply Factors'!$B$14,$K85-1,Z$14)*$H85</f>
        <v>0</v>
      </c>
      <c r="AB85" s="20">
        <f t="shared" ca="1" si="30"/>
        <v>0</v>
      </c>
      <c r="AD85" s="25" t="str">
        <f t="shared" ca="1" si="21"/>
        <v/>
      </c>
    </row>
    <row r="86" spans="2:30" ht="13" x14ac:dyDescent="0.3">
      <c r="B86" s="18">
        <f t="shared" ref="B86:B89" si="31">B85+1</f>
        <v>51</v>
      </c>
      <c r="D86" s="1" t="s">
        <v>74</v>
      </c>
      <c r="F86" s="48">
        <f ca="1">Function!P86</f>
        <v>0</v>
      </c>
      <c r="H86" s="48"/>
      <c r="L86" s="48">
        <f t="shared" ca="1" si="29"/>
        <v>0</v>
      </c>
      <c r="N86" s="2"/>
      <c r="O86" s="70">
        <f>_xlfn.IFNA(MATCH(N86,'Gas Supply Factors'!$B$14:$B$387,0),0)</f>
        <v>0</v>
      </c>
      <c r="P86" s="20">
        <f ca="1">OFFSET('Gas Supply Factors'!$B$14,$O86-1,P$14)*$L86+OFFSET('Gas Supply Factors'!$B$14,$K86-1,P$14)*$H86</f>
        <v>0</v>
      </c>
      <c r="R86" s="20">
        <f ca="1">OFFSET('Gas Supply Factors'!$B$14,$O86-1,R$14)*$L86+OFFSET('Gas Supply Factors'!$B$14,$K86-1,R$14)*$H86</f>
        <v>0</v>
      </c>
      <c r="S86" s="20"/>
      <c r="T86" s="20">
        <f ca="1">OFFSET('Gas Supply Factors'!$B$14,$O86-1,T$14)*$L86+OFFSET('Gas Supply Factors'!$B$14,$K86-1,T$14)*$H86</f>
        <v>0</v>
      </c>
      <c r="U86" s="20"/>
      <c r="V86" s="20">
        <f ca="1">OFFSET('Gas Supply Factors'!$B$14,$O86-1,V$14)*$L86+OFFSET('Gas Supply Factors'!$B$14,$K86-1,V$14)*$H86</f>
        <v>0</v>
      </c>
      <c r="W86" s="20"/>
      <c r="X86" s="20">
        <f ca="1">OFFSET('Gas Supply Factors'!$B$14,$O86-1,X$14)*$L86+OFFSET('Gas Supply Factors'!$B$14,$K86-1,X$14)*$H86</f>
        <v>0</v>
      </c>
      <c r="Z86" s="20">
        <f ca="1">OFFSET('Gas Supply Factors'!$B$14,$O86-1,Z$14)*$L86+OFFSET('Gas Supply Factors'!$B$14,$K86-1,Z$14)*$H86</f>
        <v>0</v>
      </c>
      <c r="AB86" s="20">
        <f t="shared" ca="1" si="30"/>
        <v>0</v>
      </c>
      <c r="AD86" s="25" t="str">
        <f t="shared" ca="1" si="21"/>
        <v/>
      </c>
    </row>
    <row r="87" spans="2:30" ht="13" x14ac:dyDescent="0.3">
      <c r="B87" s="18">
        <f t="shared" si="31"/>
        <v>52</v>
      </c>
      <c r="D87" s="1" t="s">
        <v>75</v>
      </c>
      <c r="F87" s="48">
        <f ca="1">Function!P87</f>
        <v>0</v>
      </c>
      <c r="H87" s="48"/>
      <c r="L87" s="48">
        <f t="shared" ca="1" si="29"/>
        <v>0</v>
      </c>
      <c r="N87" s="2"/>
      <c r="O87" s="70">
        <f>_xlfn.IFNA(MATCH(N87,'Gas Supply Factors'!$B$14:$B$387,0),0)</f>
        <v>0</v>
      </c>
      <c r="P87" s="20">
        <f ca="1">OFFSET('Gas Supply Factors'!$B$14,$O87-1,P$14)*$L87+OFFSET('Gas Supply Factors'!$B$14,$K87-1,P$14)*$H87</f>
        <v>0</v>
      </c>
      <c r="R87" s="20">
        <f ca="1">OFFSET('Gas Supply Factors'!$B$14,$O87-1,R$14)*$L87+OFFSET('Gas Supply Factors'!$B$14,$K87-1,R$14)*$H87</f>
        <v>0</v>
      </c>
      <c r="S87" s="20"/>
      <c r="T87" s="20">
        <f ca="1">OFFSET('Gas Supply Factors'!$B$14,$O87-1,T$14)*$L87+OFFSET('Gas Supply Factors'!$B$14,$K87-1,T$14)*$H87</f>
        <v>0</v>
      </c>
      <c r="U87" s="20"/>
      <c r="V87" s="20">
        <f ca="1">OFFSET('Gas Supply Factors'!$B$14,$O87-1,V$14)*$L87+OFFSET('Gas Supply Factors'!$B$14,$K87-1,V$14)*$H87</f>
        <v>0</v>
      </c>
      <c r="W87" s="20"/>
      <c r="X87" s="20">
        <f ca="1">OFFSET('Gas Supply Factors'!$B$14,$O87-1,X$14)*$L87+OFFSET('Gas Supply Factors'!$B$14,$K87-1,X$14)*$H87</f>
        <v>0</v>
      </c>
      <c r="Z87" s="20">
        <f ca="1">OFFSET('Gas Supply Factors'!$B$14,$O87-1,Z$14)*$L87+OFFSET('Gas Supply Factors'!$B$14,$K87-1,Z$14)*$H87</f>
        <v>0</v>
      </c>
      <c r="AB87" s="20">
        <f t="shared" ca="1" si="30"/>
        <v>0</v>
      </c>
      <c r="AD87" s="25" t="str">
        <f t="shared" ca="1" si="21"/>
        <v/>
      </c>
    </row>
    <row r="88" spans="2:30" ht="13" x14ac:dyDescent="0.3">
      <c r="B88" s="18">
        <f t="shared" si="31"/>
        <v>53</v>
      </c>
      <c r="D88" s="1" t="s">
        <v>76</v>
      </c>
      <c r="F88" s="48">
        <f ca="1">Function!P88</f>
        <v>0</v>
      </c>
      <c r="H88" s="48"/>
      <c r="L88" s="48">
        <f t="shared" ca="1" si="29"/>
        <v>0</v>
      </c>
      <c r="O88" s="70">
        <f>_xlfn.IFNA(MATCH(N88,'Gas Supply Factors'!$B$14:$B$387,0),0)</f>
        <v>0</v>
      </c>
      <c r="P88" s="20">
        <f ca="1">OFFSET('Gas Supply Factors'!$B$14,$O88-1,P$14)*$L88+OFFSET('Gas Supply Factors'!$B$14,$K88-1,P$14)*$H88</f>
        <v>0</v>
      </c>
      <c r="R88" s="20">
        <f ca="1">OFFSET('Gas Supply Factors'!$B$14,$O88-1,R$14)*$L88+OFFSET('Gas Supply Factors'!$B$14,$K88-1,R$14)*$H88</f>
        <v>0</v>
      </c>
      <c r="S88" s="20"/>
      <c r="T88" s="20">
        <f ca="1">OFFSET('Gas Supply Factors'!$B$14,$O88-1,T$14)*$L88+OFFSET('Gas Supply Factors'!$B$14,$K88-1,T$14)*$H88</f>
        <v>0</v>
      </c>
      <c r="U88" s="20"/>
      <c r="V88" s="20">
        <f ca="1">OFFSET('Gas Supply Factors'!$B$14,$O88-1,V$14)*$L88+OFFSET('Gas Supply Factors'!$B$14,$K88-1,V$14)*$H88</f>
        <v>0</v>
      </c>
      <c r="W88" s="20"/>
      <c r="X88" s="20">
        <f ca="1">OFFSET('Gas Supply Factors'!$B$14,$O88-1,X$14)*$L88+OFFSET('Gas Supply Factors'!$B$14,$K88-1,X$14)*$H88</f>
        <v>0</v>
      </c>
      <c r="Z88" s="20">
        <f ca="1">OFFSET('Gas Supply Factors'!$B$14,$O88-1,Z$14)*$L88+OFFSET('Gas Supply Factors'!$B$14,$K88-1,Z$14)*$H88</f>
        <v>0</v>
      </c>
      <c r="AB88" s="20">
        <f t="shared" ca="1" si="30"/>
        <v>0</v>
      </c>
      <c r="AD88" s="25" t="str">
        <f t="shared" ca="1" si="21"/>
        <v/>
      </c>
    </row>
    <row r="89" spans="2:30" ht="13" x14ac:dyDescent="0.3">
      <c r="B89" s="18">
        <f t="shared" si="31"/>
        <v>54</v>
      </c>
      <c r="D89" s="1" t="s">
        <v>77</v>
      </c>
      <c r="F89" s="40">
        <f ca="1">SUM(F82:F88)</f>
        <v>0</v>
      </c>
      <c r="H89" s="40">
        <f>SUM(H82:H88)</f>
        <v>0</v>
      </c>
      <c r="L89" s="40">
        <f ca="1">SUM(L82:L88)</f>
        <v>0</v>
      </c>
      <c r="P89" s="29">
        <f ca="1">SUM(P82:P88)</f>
        <v>0</v>
      </c>
      <c r="Q89" s="23"/>
      <c r="R89" s="29">
        <f ca="1">SUM(R82:R88)</f>
        <v>0</v>
      </c>
      <c r="S89" s="23"/>
      <c r="T89" s="29">
        <f ca="1">SUM(T82:T88)</f>
        <v>0</v>
      </c>
      <c r="U89" s="23"/>
      <c r="V89" s="29">
        <f ca="1">SUM(V82:V88)</f>
        <v>0</v>
      </c>
      <c r="W89" s="23"/>
      <c r="X89" s="29">
        <f ca="1">SUM(X82:X88)</f>
        <v>0</v>
      </c>
      <c r="Y89" s="18"/>
      <c r="Z89" s="29">
        <f ca="1">SUM(Z82:Z88)</f>
        <v>0</v>
      </c>
      <c r="AB89" s="29">
        <f ca="1">SUM(AB82:AB88)</f>
        <v>0</v>
      </c>
      <c r="AD89" s="25" t="str">
        <f t="shared" ca="1" si="21"/>
        <v/>
      </c>
    </row>
    <row r="90" spans="2:30" ht="13" x14ac:dyDescent="0.3">
      <c r="Y90" s="18"/>
      <c r="AD90" s="25" t="str">
        <f t="shared" si="21"/>
        <v/>
      </c>
    </row>
    <row r="91" spans="2:30" ht="13" x14ac:dyDescent="0.3">
      <c r="AD91" s="25" t="str">
        <f t="shared" si="21"/>
        <v/>
      </c>
    </row>
    <row r="92" spans="2:30" ht="13" x14ac:dyDescent="0.3">
      <c r="B92" s="18">
        <f>B89+1</f>
        <v>55</v>
      </c>
      <c r="D92" s="1" t="s">
        <v>78</v>
      </c>
      <c r="F92" s="40">
        <f ca="1">F79+F89</f>
        <v>0</v>
      </c>
      <c r="H92" s="40">
        <f>H79+H89</f>
        <v>0</v>
      </c>
      <c r="L92" s="40">
        <f ca="1">L79+L89</f>
        <v>0</v>
      </c>
      <c r="P92" s="28">
        <f ca="1">P79+P89</f>
        <v>0</v>
      </c>
      <c r="Q92" s="8"/>
      <c r="R92" s="10">
        <f ca="1">R79+R89</f>
        <v>0</v>
      </c>
      <c r="S92" s="8"/>
      <c r="T92" s="10">
        <f ca="1">T79+T89</f>
        <v>0</v>
      </c>
      <c r="U92" s="8"/>
      <c r="V92" s="10">
        <f ca="1">V79+V89</f>
        <v>0</v>
      </c>
      <c r="W92" s="8"/>
      <c r="X92" s="10">
        <f ca="1">X79+X89</f>
        <v>0</v>
      </c>
      <c r="Y92" s="8"/>
      <c r="Z92" s="10">
        <f ca="1">Z79+Z89</f>
        <v>0</v>
      </c>
      <c r="AA92" s="8"/>
      <c r="AB92" s="10">
        <f ca="1">AB79+AB89</f>
        <v>0</v>
      </c>
      <c r="AD92" s="25" t="str">
        <f t="shared" ca="1" si="21"/>
        <v/>
      </c>
    </row>
    <row r="93" spans="2:30" ht="13" x14ac:dyDescent="0.3">
      <c r="AD93" s="25" t="str">
        <f t="shared" si="21"/>
        <v/>
      </c>
    </row>
    <row r="94" spans="2:30" ht="13" x14ac:dyDescent="0.3">
      <c r="AD94" s="25" t="str">
        <f t="shared" si="21"/>
        <v/>
      </c>
    </row>
    <row r="95" spans="2:30" ht="13" x14ac:dyDescent="0.3">
      <c r="B95" s="18">
        <f>B92+1</f>
        <v>56</v>
      </c>
      <c r="D95" s="1" t="s">
        <v>79</v>
      </c>
      <c r="F95" s="82">
        <f>Function!P95</f>
        <v>6.0821321807016528E-2</v>
      </c>
      <c r="H95" s="82">
        <f>$F$95</f>
        <v>6.0821321807016528E-2</v>
      </c>
      <c r="L95" s="82">
        <f>$F$95</f>
        <v>6.0821321807016528E-2</v>
      </c>
      <c r="P95" s="82">
        <f>$F$95</f>
        <v>6.0821321807016528E-2</v>
      </c>
      <c r="R95" s="82">
        <f>$F$95</f>
        <v>6.0821321807016528E-2</v>
      </c>
      <c r="S95" s="24"/>
      <c r="T95" s="82">
        <f>$F$95</f>
        <v>6.0821321807016528E-2</v>
      </c>
      <c r="V95" s="82">
        <f>$F$95</f>
        <v>6.0821321807016528E-2</v>
      </c>
      <c r="X95" s="82">
        <f>$F$95</f>
        <v>6.0821321807016528E-2</v>
      </c>
      <c r="Y95" s="24"/>
      <c r="Z95" s="82">
        <f>$F$95</f>
        <v>6.0821321807016528E-2</v>
      </c>
      <c r="AB95" s="24">
        <f>F95</f>
        <v>6.0821321807016528E-2</v>
      </c>
      <c r="AD95" s="25" t="str">
        <f t="shared" si="21"/>
        <v/>
      </c>
    </row>
    <row r="96" spans="2:30" ht="13" x14ac:dyDescent="0.3">
      <c r="AD96" s="25" t="str">
        <f t="shared" si="21"/>
        <v/>
      </c>
    </row>
    <row r="97" spans="2:30" ht="13" x14ac:dyDescent="0.3">
      <c r="B97" s="18">
        <f>B95+1</f>
        <v>57</v>
      </c>
      <c r="D97" s="1" t="s">
        <v>80</v>
      </c>
      <c r="F97" s="40">
        <f ca="1">F92*F95</f>
        <v>0</v>
      </c>
      <c r="H97" s="40">
        <f>H92*H95</f>
        <v>0</v>
      </c>
      <c r="L97" s="40">
        <f ca="1">L92*L95</f>
        <v>0</v>
      </c>
      <c r="P97" s="10">
        <f ca="1">P92*P95</f>
        <v>0</v>
      </c>
      <c r="R97" s="10">
        <f ca="1">R92*R95</f>
        <v>0</v>
      </c>
      <c r="S97" s="8"/>
      <c r="T97" s="10">
        <f ca="1">T92*T95</f>
        <v>0</v>
      </c>
      <c r="V97" s="10">
        <f ca="1">V92*V95</f>
        <v>0</v>
      </c>
      <c r="X97" s="10">
        <f ca="1">X92*X95</f>
        <v>0</v>
      </c>
      <c r="Z97" s="10">
        <f ca="1">Z92*Z95</f>
        <v>0</v>
      </c>
      <c r="AB97" s="10">
        <f t="shared" ref="AB97" ca="1" si="32">P97+R97+V97+X97+Z97+T97</f>
        <v>0</v>
      </c>
      <c r="AD97" s="25" t="str">
        <f t="shared" ca="1" si="21"/>
        <v/>
      </c>
    </row>
    <row r="98" spans="2:30" ht="13" x14ac:dyDescent="0.3">
      <c r="F98" s="48"/>
      <c r="H98" s="48"/>
      <c r="L98" s="48"/>
      <c r="AD98" s="25" t="str">
        <f t="shared" si="21"/>
        <v/>
      </c>
    </row>
    <row r="99" spans="2:30" ht="13" x14ac:dyDescent="0.3">
      <c r="F99" s="48"/>
      <c r="H99" s="48"/>
      <c r="L99" s="48"/>
      <c r="AD99" s="25" t="str">
        <f t="shared" si="21"/>
        <v/>
      </c>
    </row>
    <row r="100" spans="2:30" ht="13" x14ac:dyDescent="0.3">
      <c r="D100" s="6" t="s">
        <v>81</v>
      </c>
      <c r="AD100" s="25" t="str">
        <f t="shared" si="21"/>
        <v/>
      </c>
    </row>
    <row r="101" spans="2:30" ht="13" x14ac:dyDescent="0.3">
      <c r="AD101" s="25" t="str">
        <f t="shared" si="21"/>
        <v/>
      </c>
    </row>
    <row r="102" spans="2:30" ht="13" x14ac:dyDescent="0.3">
      <c r="B102" s="18">
        <f>B97+1</f>
        <v>58</v>
      </c>
      <c r="D102" s="1" t="s">
        <v>82</v>
      </c>
      <c r="F102" s="48">
        <f ca="1">Function!P102</f>
        <v>0</v>
      </c>
      <c r="H102" s="48"/>
      <c r="L102" s="48">
        <f t="shared" ref="L102:L103" ca="1" si="33">F102-H102</f>
        <v>0</v>
      </c>
      <c r="O102" s="70">
        <f>_xlfn.IFNA(MATCH(N102,'Gas Supply Factors'!$B$14:$B$387,0),0)</f>
        <v>0</v>
      </c>
      <c r="P102" s="20">
        <f ca="1">OFFSET('Gas Supply Factors'!$B$14,$O102-1,P$14)*$L102+OFFSET('Gas Supply Factors'!$B$14,$K102-1,P$14)*$H102</f>
        <v>0</v>
      </c>
      <c r="R102" s="20">
        <f ca="1">OFFSET('Gas Supply Factors'!$B$14,$O102-1,R$14)*$L102+OFFSET('Gas Supply Factors'!$B$14,$K102-1,R$14)*$H102</f>
        <v>0</v>
      </c>
      <c r="S102" s="20"/>
      <c r="T102" s="20">
        <f ca="1">OFFSET('Gas Supply Factors'!$B$14,$O102-1,T$14)*$L102+OFFSET('Gas Supply Factors'!$B$14,$K102-1,T$14)*$H102</f>
        <v>0</v>
      </c>
      <c r="U102" s="20"/>
      <c r="V102" s="20">
        <f ca="1">OFFSET('Gas Supply Factors'!$B$14,$O102-1,V$14)*$L102+OFFSET('Gas Supply Factors'!$B$14,$K102-1,V$14)*$H102</f>
        <v>0</v>
      </c>
      <c r="W102" s="20"/>
      <c r="X102" s="20">
        <f ca="1">OFFSET('Gas Supply Factors'!$B$14,$O102-1,X$14)*$L102+OFFSET('Gas Supply Factors'!$B$14,$K102-1,X$14)*$H102</f>
        <v>0</v>
      </c>
      <c r="Z102" s="20">
        <f ca="1">OFFSET('Gas Supply Factors'!$B$14,$O102-1,Z$14)*$L102+OFFSET('Gas Supply Factors'!$B$14,$K102-1,Z$14)*$H102</f>
        <v>0</v>
      </c>
      <c r="AB102" s="20">
        <f t="shared" ref="AB102:AB103" ca="1" si="34">P102+R102+V102+X102+Z102+T102</f>
        <v>0</v>
      </c>
      <c r="AD102" s="25" t="str">
        <f t="shared" ca="1" si="21"/>
        <v/>
      </c>
    </row>
    <row r="103" spans="2:30" ht="13" x14ac:dyDescent="0.3">
      <c r="B103" s="18">
        <f>B102+1</f>
        <v>59</v>
      </c>
      <c r="D103" s="1" t="s">
        <v>56</v>
      </c>
      <c r="F103" s="48">
        <f ca="1">Function!P103</f>
        <v>0</v>
      </c>
      <c r="H103" s="48"/>
      <c r="L103" s="48">
        <f t="shared" ca="1" si="33"/>
        <v>0</v>
      </c>
      <c r="N103" s="2"/>
      <c r="O103" s="70">
        <f>_xlfn.IFNA(MATCH(N103,'Gas Supply Factors'!$B$14:$B$387,0),0)</f>
        <v>0</v>
      </c>
      <c r="P103" s="20">
        <f ca="1">OFFSET('Gas Supply Factors'!$B$14,$O103-1,P$14)*$L103+OFFSET('Gas Supply Factors'!$B$14,$K103-1,P$14)*$H103</f>
        <v>0</v>
      </c>
      <c r="R103" s="20">
        <f ca="1">OFFSET('Gas Supply Factors'!$B$14,$O103-1,R$14)*$L103+OFFSET('Gas Supply Factors'!$B$14,$K103-1,R$14)*$H103</f>
        <v>0</v>
      </c>
      <c r="S103" s="20"/>
      <c r="T103" s="20">
        <f ca="1">OFFSET('Gas Supply Factors'!$B$14,$O103-1,T$14)*$L103+OFFSET('Gas Supply Factors'!$B$14,$K103-1,T$14)*$H103</f>
        <v>0</v>
      </c>
      <c r="U103" s="20"/>
      <c r="V103" s="20">
        <f ca="1">OFFSET('Gas Supply Factors'!$B$14,$O103-1,V$14)*$L103+OFFSET('Gas Supply Factors'!$B$14,$K103-1,V$14)*$H103</f>
        <v>0</v>
      </c>
      <c r="W103" s="20"/>
      <c r="X103" s="20">
        <f ca="1">OFFSET('Gas Supply Factors'!$B$14,$O103-1,X$14)*$L103+OFFSET('Gas Supply Factors'!$B$14,$K103-1,X$14)*$H103</f>
        <v>0</v>
      </c>
      <c r="Z103" s="20">
        <f ca="1">OFFSET('Gas Supply Factors'!$B$14,$O103-1,Z$14)*$L103+OFFSET('Gas Supply Factors'!$B$14,$K103-1,Z$14)*$H103</f>
        <v>0</v>
      </c>
      <c r="AB103" s="20">
        <f t="shared" ca="1" si="34"/>
        <v>0</v>
      </c>
      <c r="AD103" s="25" t="str">
        <f t="shared" ca="1" si="21"/>
        <v/>
      </c>
    </row>
    <row r="104" spans="2:30" ht="13" x14ac:dyDescent="0.3">
      <c r="B104" s="18">
        <f>B103+1</f>
        <v>60</v>
      </c>
      <c r="D104" s="1" t="s">
        <v>84</v>
      </c>
      <c r="F104" s="40">
        <f ca="1">F102+F103</f>
        <v>0</v>
      </c>
      <c r="H104" s="40">
        <f>H102+H103</f>
        <v>0</v>
      </c>
      <c r="L104" s="40">
        <f ca="1">L102+L103</f>
        <v>0</v>
      </c>
      <c r="P104" s="40">
        <f ca="1">P102+P103</f>
        <v>0</v>
      </c>
      <c r="R104" s="40">
        <f ca="1">R102+R103</f>
        <v>0</v>
      </c>
      <c r="S104" s="48"/>
      <c r="T104" s="40">
        <f ca="1">T102+T103</f>
        <v>0</v>
      </c>
      <c r="U104" s="20"/>
      <c r="V104" s="40">
        <f ca="1">V102+V103</f>
        <v>0</v>
      </c>
      <c r="W104" s="20"/>
      <c r="X104" s="40">
        <f ca="1">X102+X103</f>
        <v>0</v>
      </c>
      <c r="Z104" s="40">
        <f ca="1">Z102+Z103</f>
        <v>0</v>
      </c>
      <c r="AB104" s="40">
        <f ca="1">AB102+AB103</f>
        <v>0</v>
      </c>
      <c r="AD104" s="25" t="str">
        <f t="shared" ca="1" si="21"/>
        <v/>
      </c>
    </row>
    <row r="105" spans="2:30" ht="13" x14ac:dyDescent="0.3">
      <c r="AD105" s="25" t="str">
        <f t="shared" si="21"/>
        <v/>
      </c>
    </row>
    <row r="106" spans="2:30" ht="13" x14ac:dyDescent="0.3">
      <c r="D106" s="6" t="s">
        <v>85</v>
      </c>
      <c r="F106" s="48"/>
      <c r="H106" s="48"/>
      <c r="L106" s="48"/>
      <c r="AD106" s="25" t="str">
        <f t="shared" si="21"/>
        <v/>
      </c>
    </row>
    <row r="107" spans="2:30" ht="13" x14ac:dyDescent="0.3">
      <c r="F107" s="48"/>
      <c r="H107" s="48"/>
      <c r="L107" s="48"/>
      <c r="AD107" s="25" t="str">
        <f t="shared" si="21"/>
        <v/>
      </c>
    </row>
    <row r="108" spans="2:30" ht="13" x14ac:dyDescent="0.3">
      <c r="B108" s="18">
        <f>B104+1</f>
        <v>61</v>
      </c>
      <c r="D108" s="1" t="s">
        <v>86</v>
      </c>
      <c r="F108" s="48">
        <f ca="1">Function!P108</f>
        <v>0</v>
      </c>
      <c r="H108" s="48"/>
      <c r="L108" s="48">
        <f t="shared" ref="L108:L109" ca="1" si="35">F108-H108</f>
        <v>0</v>
      </c>
      <c r="N108" s="2"/>
      <c r="O108" s="70">
        <f>_xlfn.IFNA(MATCH(N108,'Gas Supply Factors'!$B$14:$B$387,0),0)</f>
        <v>0</v>
      </c>
      <c r="P108" s="20">
        <f ca="1">OFFSET('Gas Supply Factors'!$B$14,$O108-1,P$14)*$L108+OFFSET('Gas Supply Factors'!$B$14,$K108-1,P$14)*$H108</f>
        <v>0</v>
      </c>
      <c r="R108" s="20">
        <f ca="1">OFFSET('Gas Supply Factors'!$B$14,$O108-1,R$14)*$L108+OFFSET('Gas Supply Factors'!$B$14,$K108-1,R$14)*$H108</f>
        <v>0</v>
      </c>
      <c r="S108" s="20"/>
      <c r="T108" s="20">
        <f ca="1">OFFSET('Gas Supply Factors'!$B$14,$O108-1,T$14)*$L108+OFFSET('Gas Supply Factors'!$B$14,$K108-1,T$14)*$H108</f>
        <v>0</v>
      </c>
      <c r="U108" s="20"/>
      <c r="V108" s="20">
        <f ca="1">OFFSET('Gas Supply Factors'!$B$14,$O108-1,V$14)*$L108+OFFSET('Gas Supply Factors'!$B$14,$K108-1,V$14)*$H108</f>
        <v>0</v>
      </c>
      <c r="W108" s="20"/>
      <c r="X108" s="20">
        <f ca="1">OFFSET('Gas Supply Factors'!$B$14,$O108-1,X$14)*$L108+OFFSET('Gas Supply Factors'!$B$14,$K108-1,X$14)*$H108</f>
        <v>0</v>
      </c>
      <c r="Z108" s="20">
        <f ca="1">OFFSET('Gas Supply Factors'!$B$14,$O108-1,Z$14)*$L108+OFFSET('Gas Supply Factors'!$B$14,$K108-1,Z$14)*$H108</f>
        <v>0</v>
      </c>
      <c r="AB108" s="20">
        <f t="shared" ref="AB108:AB109" ca="1" si="36">P108+R108+V108+X108+Z108+T108</f>
        <v>0</v>
      </c>
      <c r="AD108" s="25" t="str">
        <f t="shared" ca="1" si="21"/>
        <v/>
      </c>
    </row>
    <row r="109" spans="2:30" ht="13" x14ac:dyDescent="0.3">
      <c r="B109" s="18">
        <f>B108+1</f>
        <v>62</v>
      </c>
      <c r="D109" s="1" t="s">
        <v>88</v>
      </c>
      <c r="F109" s="48">
        <f ca="1">Function!P109</f>
        <v>0</v>
      </c>
      <c r="H109" s="48"/>
      <c r="L109" s="48">
        <f t="shared" ca="1" si="35"/>
        <v>0</v>
      </c>
      <c r="O109" s="70">
        <f>_xlfn.IFNA(MATCH(N109,'Gas Supply Factors'!$B$14:$B$387,0),0)</f>
        <v>0</v>
      </c>
      <c r="P109" s="20">
        <f ca="1">OFFSET('Gas Supply Factors'!$B$14,$O109-1,P$14)*$L109+OFFSET('Gas Supply Factors'!$B$14,$K109-1,P$14)*$H109</f>
        <v>0</v>
      </c>
      <c r="R109" s="20">
        <f ca="1">OFFSET('Gas Supply Factors'!$B$14,$O109-1,R$14)*$L109+OFFSET('Gas Supply Factors'!$B$14,$K109-1,R$14)*$H109</f>
        <v>0</v>
      </c>
      <c r="S109" s="20"/>
      <c r="T109" s="20">
        <f ca="1">OFFSET('Gas Supply Factors'!$B$14,$O109-1,T$14)*$L109+OFFSET('Gas Supply Factors'!$B$14,$K109-1,T$14)*$H109</f>
        <v>0</v>
      </c>
      <c r="U109" s="20"/>
      <c r="V109" s="20">
        <f ca="1">OFFSET('Gas Supply Factors'!$B$14,$O109-1,V$14)*$L109+OFFSET('Gas Supply Factors'!$B$14,$K109-1,V$14)*$H109</f>
        <v>0</v>
      </c>
      <c r="W109" s="20"/>
      <c r="X109" s="20">
        <f ca="1">OFFSET('Gas Supply Factors'!$B$14,$O109-1,X$14)*$L109+OFFSET('Gas Supply Factors'!$B$14,$K109-1,X$14)*$H109</f>
        <v>0</v>
      </c>
      <c r="Z109" s="20">
        <f ca="1">OFFSET('Gas Supply Factors'!$B$14,$O109-1,Z$14)*$L109+OFFSET('Gas Supply Factors'!$B$14,$K109-1,Z$14)*$H109</f>
        <v>0</v>
      </c>
      <c r="AB109" s="20">
        <f t="shared" ca="1" si="36"/>
        <v>0</v>
      </c>
      <c r="AD109" s="25" t="str">
        <f t="shared" ca="1" si="21"/>
        <v/>
      </c>
    </row>
    <row r="110" spans="2:30" ht="13" x14ac:dyDescent="0.3">
      <c r="B110" s="18">
        <f>B109+1</f>
        <v>63</v>
      </c>
      <c r="D110" s="1" t="s">
        <v>90</v>
      </c>
      <c r="F110" s="40">
        <f ca="1">F108+F109</f>
        <v>0</v>
      </c>
      <c r="H110" s="40">
        <f>H108+H109</f>
        <v>0</v>
      </c>
      <c r="L110" s="40">
        <f ca="1">L108+L109</f>
        <v>0</v>
      </c>
      <c r="P110" s="40">
        <f ca="1">P108+P109</f>
        <v>0</v>
      </c>
      <c r="R110" s="40">
        <f ca="1">R108+R109</f>
        <v>0</v>
      </c>
      <c r="S110" s="48"/>
      <c r="T110" s="40">
        <f ca="1">T108+T109</f>
        <v>0</v>
      </c>
      <c r="U110" s="20"/>
      <c r="V110" s="40">
        <f ca="1">V108+V109</f>
        <v>0</v>
      </c>
      <c r="W110" s="20"/>
      <c r="X110" s="40">
        <f ca="1">X108+X109</f>
        <v>0</v>
      </c>
      <c r="Z110" s="40">
        <f ca="1">Z108+Z109</f>
        <v>0</v>
      </c>
      <c r="AB110" s="40">
        <f ca="1">AB108+AB109</f>
        <v>0</v>
      </c>
      <c r="AD110" s="25" t="str">
        <f t="shared" ca="1" si="21"/>
        <v/>
      </c>
    </row>
    <row r="111" spans="2:30" ht="13" x14ac:dyDescent="0.3">
      <c r="AD111" s="25" t="str">
        <f t="shared" si="21"/>
        <v/>
      </c>
    </row>
    <row r="112" spans="2:30" ht="13" x14ac:dyDescent="0.3">
      <c r="AD112" s="25" t="str">
        <f t="shared" si="21"/>
        <v/>
      </c>
    </row>
    <row r="113" spans="2:30" ht="13" x14ac:dyDescent="0.3">
      <c r="D113" s="6" t="s">
        <v>91</v>
      </c>
      <c r="AD113" s="25" t="str">
        <f t="shared" si="21"/>
        <v/>
      </c>
    </row>
    <row r="114" spans="2:30" ht="13" x14ac:dyDescent="0.3">
      <c r="AD114" s="25" t="str">
        <f t="shared" si="21"/>
        <v/>
      </c>
    </row>
    <row r="115" spans="2:30" ht="13" x14ac:dyDescent="0.3">
      <c r="D115" s="1" t="s">
        <v>17</v>
      </c>
      <c r="AD115" s="25" t="str">
        <f t="shared" si="21"/>
        <v/>
      </c>
    </row>
    <row r="116" spans="2:30" ht="13" x14ac:dyDescent="0.3">
      <c r="B116" s="18">
        <f>B110+1</f>
        <v>64</v>
      </c>
      <c r="D116" s="35" t="s">
        <v>97</v>
      </c>
      <c r="F116" s="48">
        <f ca="1">Function!P116</f>
        <v>2247538.0139059885</v>
      </c>
      <c r="H116" s="76"/>
      <c r="L116" s="48">
        <f t="shared" ref="L116:L160" ca="1" si="37">F116-H116</f>
        <v>2247538.0139059885</v>
      </c>
      <c r="N116" s="2" t="s">
        <v>184</v>
      </c>
      <c r="O116" s="70">
        <f>_xlfn.IFNA(MATCH(N116,'Gas Supply Factors'!$B$14:$B$387,0),0)</f>
        <v>4</v>
      </c>
      <c r="P116" s="20">
        <f ca="1">OFFSET('Gas Supply Factors'!$B$14,$O116-1,P$14)*$L116+OFFSET('Gas Supply Factors'!$B$14,$K116-1,P$14)*$H116</f>
        <v>1878311.1040714213</v>
      </c>
      <c r="R116" s="20">
        <f ca="1">OFFSET('Gas Supply Factors'!$B$14,$O116-1,R$14)*$L116+OFFSET('Gas Supply Factors'!$B$14,$K116-1,R$14)*$H116</f>
        <v>161486.41315728414</v>
      </c>
      <c r="S116" s="20"/>
      <c r="T116" s="20">
        <f ca="1">OFFSET('Gas Supply Factors'!$B$14,$O116-1,T$14)*$L116+OFFSET('Gas Supply Factors'!$B$14,$K116-1,T$14)*$H116</f>
        <v>40328.527901042762</v>
      </c>
      <c r="U116" s="20"/>
      <c r="V116" s="20">
        <f ca="1">OFFSET('Gas Supply Factors'!$B$14,$O116-1,V$14)*$L116+OFFSET('Gas Supply Factors'!$B$14,$K116-1,V$14)*$H116</f>
        <v>152523.42553920622</v>
      </c>
      <c r="W116" s="20"/>
      <c r="X116" s="20">
        <f ca="1">OFFSET('Gas Supply Factors'!$B$14,$O116-1,X$14)*$L116+OFFSET('Gas Supply Factors'!$B$14,$K116-1,X$14)*$H116</f>
        <v>14888.543237034275</v>
      </c>
      <c r="Z116" s="20">
        <f ca="1">OFFSET('Gas Supply Factors'!$B$14,$O116-1,Z$14)*$L116+OFFSET('Gas Supply Factors'!$B$14,$K116-1,Z$14)*$H116</f>
        <v>0</v>
      </c>
      <c r="AB116" s="20">
        <f t="shared" ref="AB116:AB131" ca="1" si="38">P116+R116+V116+X116+Z116+T116</f>
        <v>2247538.0139059885</v>
      </c>
      <c r="AD116" s="25" t="str">
        <f t="shared" ca="1" si="21"/>
        <v/>
      </c>
    </row>
    <row r="117" spans="2:30" ht="13" x14ac:dyDescent="0.3">
      <c r="B117" s="18">
        <f t="shared" ref="B117:B122" si="39">B116+1</f>
        <v>65</v>
      </c>
      <c r="D117" s="35" t="s">
        <v>99</v>
      </c>
      <c r="F117" s="48">
        <f ca="1">Function!P117</f>
        <v>0</v>
      </c>
      <c r="H117" s="76"/>
      <c r="L117" s="48">
        <f t="shared" ca="1" si="37"/>
        <v>0</v>
      </c>
      <c r="O117" s="70">
        <f>_xlfn.IFNA(MATCH(N117,'Gas Supply Factors'!$B$14:$B$387,0),0)</f>
        <v>0</v>
      </c>
      <c r="P117" s="20">
        <f ca="1">OFFSET('Gas Supply Factors'!$B$14,$O117-1,P$14)*$L117+OFFSET('Gas Supply Factors'!$B$14,$K117-1,P$14)*$H117</f>
        <v>0</v>
      </c>
      <c r="R117" s="20">
        <f ca="1">OFFSET('Gas Supply Factors'!$B$14,$O117-1,R$14)*$L117+OFFSET('Gas Supply Factors'!$B$14,$K117-1,R$14)*$H117</f>
        <v>0</v>
      </c>
      <c r="S117" s="20"/>
      <c r="T117" s="20">
        <f ca="1">OFFSET('Gas Supply Factors'!$B$14,$O117-1,T$14)*$L117+OFFSET('Gas Supply Factors'!$B$14,$K117-1,T$14)*$H117</f>
        <v>0</v>
      </c>
      <c r="U117" s="20"/>
      <c r="V117" s="20">
        <f ca="1">OFFSET('Gas Supply Factors'!$B$14,$O117-1,V$14)*$L117+OFFSET('Gas Supply Factors'!$B$14,$K117-1,V$14)*$H117</f>
        <v>0</v>
      </c>
      <c r="W117" s="20"/>
      <c r="X117" s="20">
        <f ca="1">OFFSET('Gas Supply Factors'!$B$14,$O117-1,X$14)*$L117+OFFSET('Gas Supply Factors'!$B$14,$K117-1,X$14)*$H117</f>
        <v>0</v>
      </c>
      <c r="Z117" s="20">
        <f ca="1">OFFSET('Gas Supply Factors'!$B$14,$O117-1,Z$14)*$L117+OFFSET('Gas Supply Factors'!$B$14,$K117-1,Z$14)*$H117</f>
        <v>0</v>
      </c>
      <c r="AB117" s="20">
        <f t="shared" ca="1" si="38"/>
        <v>0</v>
      </c>
      <c r="AD117" s="25" t="str">
        <f t="shared" ca="1" si="21"/>
        <v/>
      </c>
    </row>
    <row r="118" spans="2:30" ht="13" x14ac:dyDescent="0.3">
      <c r="B118" s="18">
        <f t="shared" si="39"/>
        <v>66</v>
      </c>
      <c r="D118" s="35" t="s">
        <v>101</v>
      </c>
      <c r="F118" s="48">
        <f ca="1">Function!P118</f>
        <v>0</v>
      </c>
      <c r="H118" s="76"/>
      <c r="L118" s="48">
        <f t="shared" ca="1" si="37"/>
        <v>0</v>
      </c>
      <c r="O118" s="70">
        <f>_xlfn.IFNA(MATCH(N118,'Gas Supply Factors'!$B$14:$B$387,0),0)</f>
        <v>0</v>
      </c>
      <c r="P118" s="20">
        <f ca="1">OFFSET('Gas Supply Factors'!$B$14,$O118-1,P$14)*$L118+OFFSET('Gas Supply Factors'!$B$14,$K118-1,P$14)*$H118</f>
        <v>0</v>
      </c>
      <c r="R118" s="20">
        <f ca="1">OFFSET('Gas Supply Factors'!$B$14,$O118-1,R$14)*$L118+OFFSET('Gas Supply Factors'!$B$14,$K118-1,R$14)*$H118</f>
        <v>0</v>
      </c>
      <c r="S118" s="20"/>
      <c r="T118" s="20">
        <f ca="1">OFFSET('Gas Supply Factors'!$B$14,$O118-1,T$14)*$L118+OFFSET('Gas Supply Factors'!$B$14,$K118-1,T$14)*$H118</f>
        <v>0</v>
      </c>
      <c r="U118" s="20"/>
      <c r="V118" s="20">
        <f ca="1">OFFSET('Gas Supply Factors'!$B$14,$O118-1,V$14)*$L118+OFFSET('Gas Supply Factors'!$B$14,$K118-1,V$14)*$H118</f>
        <v>0</v>
      </c>
      <c r="W118" s="20"/>
      <c r="X118" s="20">
        <f ca="1">OFFSET('Gas Supply Factors'!$B$14,$O118-1,X$14)*$L118+OFFSET('Gas Supply Factors'!$B$14,$K118-1,X$14)*$H118</f>
        <v>0</v>
      </c>
      <c r="Z118" s="20">
        <f ca="1">OFFSET('Gas Supply Factors'!$B$14,$O118-1,Z$14)*$L118+OFFSET('Gas Supply Factors'!$B$14,$K118-1,Z$14)*$H118</f>
        <v>0</v>
      </c>
      <c r="AB118" s="20">
        <f t="shared" ca="1" si="38"/>
        <v>0</v>
      </c>
      <c r="AD118" s="25" t="str">
        <f t="shared" ca="1" si="21"/>
        <v/>
      </c>
    </row>
    <row r="119" spans="2:30" ht="13" x14ac:dyDescent="0.3">
      <c r="B119" s="18">
        <f t="shared" si="39"/>
        <v>67</v>
      </c>
      <c r="D119" s="35" t="s">
        <v>103</v>
      </c>
      <c r="F119" s="48">
        <f ca="1">Function!P119</f>
        <v>0</v>
      </c>
      <c r="H119" s="76"/>
      <c r="L119" s="48">
        <f t="shared" ca="1" si="37"/>
        <v>0</v>
      </c>
      <c r="N119" s="2"/>
      <c r="O119" s="70">
        <f>_xlfn.IFNA(MATCH(N119,'Gas Supply Factors'!$B$14:$B$387,0),0)</f>
        <v>0</v>
      </c>
      <c r="P119" s="20">
        <f ca="1">OFFSET('Gas Supply Factors'!$B$14,$O119-1,P$14)*$L119+OFFSET('Gas Supply Factors'!$B$14,$K119-1,P$14)*$H119</f>
        <v>0</v>
      </c>
      <c r="R119" s="20">
        <f ca="1">OFFSET('Gas Supply Factors'!$B$14,$O119-1,R$14)*$L119+OFFSET('Gas Supply Factors'!$B$14,$K119-1,R$14)*$H119</f>
        <v>0</v>
      </c>
      <c r="S119" s="20"/>
      <c r="T119" s="20">
        <f ca="1">OFFSET('Gas Supply Factors'!$B$14,$O119-1,T$14)*$L119+OFFSET('Gas Supply Factors'!$B$14,$K119-1,T$14)*$H119</f>
        <v>0</v>
      </c>
      <c r="U119" s="20"/>
      <c r="V119" s="20">
        <f ca="1">OFFSET('Gas Supply Factors'!$B$14,$O119-1,V$14)*$L119+OFFSET('Gas Supply Factors'!$B$14,$K119-1,V$14)*$H119</f>
        <v>0</v>
      </c>
      <c r="W119" s="20"/>
      <c r="X119" s="20">
        <f ca="1">OFFSET('Gas Supply Factors'!$B$14,$O119-1,X$14)*$L119+OFFSET('Gas Supply Factors'!$B$14,$K119-1,X$14)*$H119</f>
        <v>0</v>
      </c>
      <c r="Z119" s="20">
        <f ca="1">OFFSET('Gas Supply Factors'!$B$14,$O119-1,Z$14)*$L119+OFFSET('Gas Supply Factors'!$B$14,$K119-1,Z$14)*$H119</f>
        <v>0</v>
      </c>
      <c r="AB119" s="20">
        <f t="shared" ca="1" si="38"/>
        <v>0</v>
      </c>
      <c r="AD119" s="25" t="str">
        <f t="shared" ca="1" si="21"/>
        <v/>
      </c>
    </row>
    <row r="120" spans="2:30" ht="13" x14ac:dyDescent="0.3">
      <c r="B120" s="18">
        <f t="shared" si="39"/>
        <v>68</v>
      </c>
      <c r="D120" s="35" t="s">
        <v>105</v>
      </c>
      <c r="F120" s="48">
        <f ca="1">Function!P120</f>
        <v>0</v>
      </c>
      <c r="H120" s="76"/>
      <c r="L120" s="48">
        <f t="shared" ca="1" si="37"/>
        <v>0</v>
      </c>
      <c r="N120" s="31" t="s">
        <v>185</v>
      </c>
      <c r="O120" s="70">
        <f>_xlfn.IFNA(MATCH(N120,'Gas Supply Factors'!$B$14:$B$387,0),0)</f>
        <v>0</v>
      </c>
      <c r="P120" s="20">
        <f ca="1">OFFSET('Gas Supply Factors'!$B$14,$O120-1,P$14)*$L120+OFFSET('Gas Supply Factors'!$B$14,$K120-1,P$14)*$H120</f>
        <v>0</v>
      </c>
      <c r="R120" s="20">
        <f ca="1">OFFSET('Gas Supply Factors'!$B$14,$O120-1,R$14)*$L120+OFFSET('Gas Supply Factors'!$B$14,$K120-1,R$14)*$H120</f>
        <v>0</v>
      </c>
      <c r="S120" s="20"/>
      <c r="T120" s="20">
        <f ca="1">OFFSET('Gas Supply Factors'!$B$14,$O120-1,T$14)*$L120+OFFSET('Gas Supply Factors'!$B$14,$K120-1,T$14)*$H120</f>
        <v>0</v>
      </c>
      <c r="U120" s="20"/>
      <c r="V120" s="20">
        <f ca="1">OFFSET('Gas Supply Factors'!$B$14,$O120-1,V$14)*$L120+OFFSET('Gas Supply Factors'!$B$14,$K120-1,V$14)*$H120</f>
        <v>0</v>
      </c>
      <c r="W120" s="20"/>
      <c r="X120" s="20">
        <f ca="1">OFFSET('Gas Supply Factors'!$B$14,$O120-1,X$14)*$L120+OFFSET('Gas Supply Factors'!$B$14,$K120-1,X$14)*$H120</f>
        <v>0</v>
      </c>
      <c r="Z120" s="20">
        <f ca="1">OFFSET('Gas Supply Factors'!$B$14,$O120-1,Z$14)*$L120+OFFSET('Gas Supply Factors'!$B$14,$K120-1,Z$14)*$H120</f>
        <v>0</v>
      </c>
      <c r="AB120" s="20">
        <f t="shared" ca="1" si="38"/>
        <v>0</v>
      </c>
      <c r="AD120" s="25" t="str">
        <f t="shared" ca="1" si="21"/>
        <v/>
      </c>
    </row>
    <row r="121" spans="2:30" ht="13" x14ac:dyDescent="0.3">
      <c r="B121" s="18">
        <f t="shared" si="39"/>
        <v>69</v>
      </c>
      <c r="D121" s="35" t="s">
        <v>106</v>
      </c>
      <c r="F121" s="48">
        <f ca="1">Function!P121</f>
        <v>0</v>
      </c>
      <c r="H121" s="76"/>
      <c r="L121" s="48">
        <f t="shared" ca="1" si="37"/>
        <v>0</v>
      </c>
      <c r="O121" s="70">
        <f>_xlfn.IFNA(MATCH(N121,'Gas Supply Factors'!$B$14:$B$387,0),0)</f>
        <v>0</v>
      </c>
      <c r="P121" s="20">
        <f ca="1">OFFSET('Gas Supply Factors'!$B$14,$O121-1,P$14)*$L121+OFFSET('Gas Supply Factors'!$B$14,$K121-1,P$14)*$H121</f>
        <v>0</v>
      </c>
      <c r="R121" s="20">
        <f ca="1">OFFSET('Gas Supply Factors'!$B$14,$O121-1,R$14)*$L121+OFFSET('Gas Supply Factors'!$B$14,$K121-1,R$14)*$H121</f>
        <v>0</v>
      </c>
      <c r="S121" s="20"/>
      <c r="T121" s="20">
        <f ca="1">OFFSET('Gas Supply Factors'!$B$14,$O121-1,T$14)*$L121+OFFSET('Gas Supply Factors'!$B$14,$K121-1,T$14)*$H121</f>
        <v>0</v>
      </c>
      <c r="U121" s="20"/>
      <c r="V121" s="20">
        <f ca="1">OFFSET('Gas Supply Factors'!$B$14,$O121-1,V$14)*$L121+OFFSET('Gas Supply Factors'!$B$14,$K121-1,V$14)*$H121</f>
        <v>0</v>
      </c>
      <c r="W121" s="20"/>
      <c r="X121" s="20">
        <f ca="1">OFFSET('Gas Supply Factors'!$B$14,$O121-1,X$14)*$L121+OFFSET('Gas Supply Factors'!$B$14,$K121-1,X$14)*$H121</f>
        <v>0</v>
      </c>
      <c r="Z121" s="20">
        <f ca="1">OFFSET('Gas Supply Factors'!$B$14,$O121-1,Z$14)*$L121+OFFSET('Gas Supply Factors'!$B$14,$K121-1,Z$14)*$H121</f>
        <v>0</v>
      </c>
      <c r="AB121" s="20">
        <f t="shared" ca="1" si="38"/>
        <v>0</v>
      </c>
      <c r="AD121" s="25" t="str">
        <f t="shared" ca="1" si="21"/>
        <v/>
      </c>
    </row>
    <row r="122" spans="2:30" ht="13" x14ac:dyDescent="0.3">
      <c r="B122" s="18">
        <f t="shared" si="39"/>
        <v>70</v>
      </c>
      <c r="D122" s="35" t="s">
        <v>108</v>
      </c>
      <c r="F122" s="48">
        <f ca="1">Function!P122</f>
        <v>0</v>
      </c>
      <c r="H122" s="76"/>
      <c r="L122" s="48">
        <f t="shared" ca="1" si="37"/>
        <v>0</v>
      </c>
      <c r="O122" s="70">
        <f>_xlfn.IFNA(MATCH(N122,'Gas Supply Factors'!$B$14:$B$387,0),0)</f>
        <v>0</v>
      </c>
      <c r="P122" s="20">
        <f ca="1">OFFSET('Gas Supply Factors'!$B$14,$O122-1,P$14)*$L122+OFFSET('Gas Supply Factors'!$B$14,$K122-1,P$14)*$H122</f>
        <v>0</v>
      </c>
      <c r="R122" s="20">
        <f ca="1">OFFSET('Gas Supply Factors'!$B$14,$O122-1,R$14)*$L122+OFFSET('Gas Supply Factors'!$B$14,$K122-1,R$14)*$H122</f>
        <v>0</v>
      </c>
      <c r="S122" s="20"/>
      <c r="T122" s="20">
        <f ca="1">OFFSET('Gas Supply Factors'!$B$14,$O122-1,T$14)*$L122+OFFSET('Gas Supply Factors'!$B$14,$K122-1,T$14)*$H122</f>
        <v>0</v>
      </c>
      <c r="U122" s="20"/>
      <c r="V122" s="20">
        <f ca="1">OFFSET('Gas Supply Factors'!$B$14,$O122-1,V$14)*$L122+OFFSET('Gas Supply Factors'!$B$14,$K122-1,V$14)*$H122</f>
        <v>0</v>
      </c>
      <c r="W122" s="20"/>
      <c r="X122" s="20">
        <f ca="1">OFFSET('Gas Supply Factors'!$B$14,$O122-1,X$14)*$L122+OFFSET('Gas Supply Factors'!$B$14,$K122-1,X$14)*$H122</f>
        <v>0</v>
      </c>
      <c r="Z122" s="20">
        <f ca="1">OFFSET('Gas Supply Factors'!$B$14,$O122-1,Z$14)*$L122+OFFSET('Gas Supply Factors'!$B$14,$K122-1,Z$14)*$H122</f>
        <v>0</v>
      </c>
      <c r="AB122" s="20">
        <f t="shared" ca="1" si="38"/>
        <v>0</v>
      </c>
      <c r="AD122" s="25" t="str">
        <f t="shared" ca="1" si="21"/>
        <v/>
      </c>
    </row>
    <row r="123" spans="2:30" ht="13" x14ac:dyDescent="0.3">
      <c r="D123" s="1" t="s">
        <v>18</v>
      </c>
      <c r="T123" s="20"/>
      <c r="AD123" s="25" t="str">
        <f t="shared" si="21"/>
        <v/>
      </c>
    </row>
    <row r="124" spans="2:30" ht="13" x14ac:dyDescent="0.3">
      <c r="B124" s="18">
        <f>B122+1</f>
        <v>71</v>
      </c>
      <c r="D124" s="35" t="s">
        <v>110</v>
      </c>
      <c r="F124" s="48">
        <f ca="1">Function!P124</f>
        <v>0</v>
      </c>
      <c r="H124" s="76"/>
      <c r="L124" s="48">
        <f t="shared" ca="1" si="37"/>
        <v>0</v>
      </c>
      <c r="O124" s="70">
        <f>_xlfn.IFNA(MATCH(N124,'Gas Supply Factors'!$B$14:$B$387,0),0)</f>
        <v>0</v>
      </c>
      <c r="P124" s="20">
        <f ca="1">OFFSET('Gas Supply Factors'!$B$14,$O124-1,P$14)*$L124+OFFSET('Gas Supply Factors'!$B$14,$K124-1,P$14)*$H124</f>
        <v>0</v>
      </c>
      <c r="R124" s="20">
        <f ca="1">OFFSET('Gas Supply Factors'!$B$14,$O124-1,R$14)*$L124+OFFSET('Gas Supply Factors'!$B$14,$K124-1,R$14)*$H124</f>
        <v>0</v>
      </c>
      <c r="S124" s="20"/>
      <c r="T124" s="20">
        <f ca="1">OFFSET('Gas Supply Factors'!$B$14,$O124-1,T$14)*$L124+OFFSET('Gas Supply Factors'!$B$14,$K124-1,T$14)*$H124</f>
        <v>0</v>
      </c>
      <c r="U124" s="20"/>
      <c r="V124" s="20">
        <f ca="1">OFFSET('Gas Supply Factors'!$B$14,$O124-1,V$14)*$L124+OFFSET('Gas Supply Factors'!$B$14,$K124-1,V$14)*$H124</f>
        <v>0</v>
      </c>
      <c r="W124" s="20"/>
      <c r="X124" s="20">
        <f ca="1">OFFSET('Gas Supply Factors'!$B$14,$O124-1,X$14)*$L124+OFFSET('Gas Supply Factors'!$B$14,$K124-1,X$14)*$H124</f>
        <v>0</v>
      </c>
      <c r="Z124" s="20">
        <f ca="1">OFFSET('Gas Supply Factors'!$B$14,$O124-1,Z$14)*$L124+OFFSET('Gas Supply Factors'!$B$14,$K124-1,Z$14)*$H124</f>
        <v>0</v>
      </c>
      <c r="AB124" s="20">
        <f t="shared" ca="1" si="38"/>
        <v>0</v>
      </c>
      <c r="AD124" s="25" t="str">
        <f t="shared" ca="1" si="21"/>
        <v/>
      </c>
    </row>
    <row r="125" spans="2:30" ht="13" x14ac:dyDescent="0.3">
      <c r="B125" s="18">
        <f t="shared" ref="B125:B131" si="40">B124+1</f>
        <v>72</v>
      </c>
      <c r="D125" s="35" t="s">
        <v>111</v>
      </c>
      <c r="F125" s="48">
        <f ca="1">Function!P125</f>
        <v>0</v>
      </c>
      <c r="H125" s="76"/>
      <c r="L125" s="48">
        <f t="shared" ca="1" si="37"/>
        <v>0</v>
      </c>
      <c r="O125" s="70">
        <f>_xlfn.IFNA(MATCH(N125,'Gas Supply Factors'!$B$14:$B$387,0),0)</f>
        <v>0</v>
      </c>
      <c r="P125" s="20">
        <f ca="1">OFFSET('Gas Supply Factors'!$B$14,$O125-1,P$14)*$L125+OFFSET('Gas Supply Factors'!$B$14,$K125-1,P$14)*$H125</f>
        <v>0</v>
      </c>
      <c r="R125" s="20">
        <f ca="1">OFFSET('Gas Supply Factors'!$B$14,$O125-1,R$14)*$L125+OFFSET('Gas Supply Factors'!$B$14,$K125-1,R$14)*$H125</f>
        <v>0</v>
      </c>
      <c r="S125" s="20"/>
      <c r="T125" s="20">
        <f ca="1">OFFSET('Gas Supply Factors'!$B$14,$O125-1,T$14)*$L125+OFFSET('Gas Supply Factors'!$B$14,$K125-1,T$14)*$H125</f>
        <v>0</v>
      </c>
      <c r="U125" s="20"/>
      <c r="V125" s="20">
        <f ca="1">OFFSET('Gas Supply Factors'!$B$14,$O125-1,V$14)*$L125+OFFSET('Gas Supply Factors'!$B$14,$K125-1,V$14)*$H125</f>
        <v>0</v>
      </c>
      <c r="W125" s="20"/>
      <c r="X125" s="20">
        <f ca="1">OFFSET('Gas Supply Factors'!$B$14,$O125-1,X$14)*$L125+OFFSET('Gas Supply Factors'!$B$14,$K125-1,X$14)*$H125</f>
        <v>0</v>
      </c>
      <c r="Z125" s="20">
        <f ca="1">OFFSET('Gas Supply Factors'!$B$14,$O125-1,Z$14)*$L125+OFFSET('Gas Supply Factors'!$B$14,$K125-1,Z$14)*$H125</f>
        <v>0</v>
      </c>
      <c r="AB125" s="20">
        <f t="shared" ca="1" si="38"/>
        <v>0</v>
      </c>
      <c r="AD125" s="25" t="str">
        <f t="shared" ca="1" si="21"/>
        <v/>
      </c>
    </row>
    <row r="126" spans="2:30" ht="13" x14ac:dyDescent="0.3">
      <c r="B126" s="18">
        <f t="shared" si="40"/>
        <v>73</v>
      </c>
      <c r="D126" s="35" t="s">
        <v>113</v>
      </c>
      <c r="F126" s="48">
        <f ca="1">Function!P126</f>
        <v>0</v>
      </c>
      <c r="H126" s="76"/>
      <c r="L126" s="48">
        <f t="shared" ca="1" si="37"/>
        <v>0</v>
      </c>
      <c r="O126" s="70">
        <f>_xlfn.IFNA(MATCH(N126,'Gas Supply Factors'!$B$14:$B$387,0),0)</f>
        <v>0</v>
      </c>
      <c r="P126" s="20">
        <f ca="1">OFFSET('Gas Supply Factors'!$B$14,$O126-1,P$14)*$L126+OFFSET('Gas Supply Factors'!$B$14,$K126-1,P$14)*$H126</f>
        <v>0</v>
      </c>
      <c r="R126" s="20">
        <f ca="1">OFFSET('Gas Supply Factors'!$B$14,$O126-1,R$14)*$L126+OFFSET('Gas Supply Factors'!$B$14,$K126-1,R$14)*$H126</f>
        <v>0</v>
      </c>
      <c r="S126" s="20"/>
      <c r="T126" s="20">
        <f ca="1">OFFSET('Gas Supply Factors'!$B$14,$O126-1,T$14)*$L126+OFFSET('Gas Supply Factors'!$B$14,$K126-1,T$14)*$H126</f>
        <v>0</v>
      </c>
      <c r="U126" s="20"/>
      <c r="V126" s="20">
        <f ca="1">OFFSET('Gas Supply Factors'!$B$14,$O126-1,V$14)*$L126+OFFSET('Gas Supply Factors'!$B$14,$K126-1,V$14)*$H126</f>
        <v>0</v>
      </c>
      <c r="W126" s="20"/>
      <c r="X126" s="20">
        <f ca="1">OFFSET('Gas Supply Factors'!$B$14,$O126-1,X$14)*$L126+OFFSET('Gas Supply Factors'!$B$14,$K126-1,X$14)*$H126</f>
        <v>0</v>
      </c>
      <c r="Z126" s="20">
        <f ca="1">OFFSET('Gas Supply Factors'!$B$14,$O126-1,Z$14)*$L126+OFFSET('Gas Supply Factors'!$B$14,$K126-1,Z$14)*$H126</f>
        <v>0</v>
      </c>
      <c r="AB126" s="20">
        <f t="shared" ca="1" si="38"/>
        <v>0</v>
      </c>
      <c r="AD126" s="25" t="str">
        <f t="shared" ca="1" si="21"/>
        <v/>
      </c>
    </row>
    <row r="127" spans="2:30" ht="13" x14ac:dyDescent="0.3">
      <c r="B127" s="18">
        <f t="shared" si="40"/>
        <v>74</v>
      </c>
      <c r="D127" s="35" t="s">
        <v>114</v>
      </c>
      <c r="F127" s="48">
        <f ca="1">Function!P127</f>
        <v>0</v>
      </c>
      <c r="H127" s="76"/>
      <c r="L127" s="48">
        <f t="shared" ca="1" si="37"/>
        <v>0</v>
      </c>
      <c r="O127" s="70">
        <f>_xlfn.IFNA(MATCH(N127,'Gas Supply Factors'!$B$14:$B$387,0),0)</f>
        <v>0</v>
      </c>
      <c r="P127" s="20">
        <f ca="1">OFFSET('Gas Supply Factors'!$B$14,$O127-1,P$14)*$L127+OFFSET('Gas Supply Factors'!$B$14,$K127-1,P$14)*$H127</f>
        <v>0</v>
      </c>
      <c r="R127" s="20">
        <f ca="1">OFFSET('Gas Supply Factors'!$B$14,$O127-1,R$14)*$L127+OFFSET('Gas Supply Factors'!$B$14,$K127-1,R$14)*$H127</f>
        <v>0</v>
      </c>
      <c r="S127" s="20"/>
      <c r="T127" s="20">
        <f ca="1">OFFSET('Gas Supply Factors'!$B$14,$O127-1,T$14)*$L127+OFFSET('Gas Supply Factors'!$B$14,$K127-1,T$14)*$H127</f>
        <v>0</v>
      </c>
      <c r="U127" s="20"/>
      <c r="V127" s="20">
        <f ca="1">OFFSET('Gas Supply Factors'!$B$14,$O127-1,V$14)*$L127+OFFSET('Gas Supply Factors'!$B$14,$K127-1,V$14)*$H127</f>
        <v>0</v>
      </c>
      <c r="W127" s="20"/>
      <c r="X127" s="20">
        <f ca="1">OFFSET('Gas Supply Factors'!$B$14,$O127-1,X$14)*$L127+OFFSET('Gas Supply Factors'!$B$14,$K127-1,X$14)*$H127</f>
        <v>0</v>
      </c>
      <c r="Z127" s="20">
        <f ca="1">OFFSET('Gas Supply Factors'!$B$14,$O127-1,Z$14)*$L127+OFFSET('Gas Supply Factors'!$B$14,$K127-1,Z$14)*$H127</f>
        <v>0</v>
      </c>
      <c r="AB127" s="20">
        <f t="shared" ca="1" si="38"/>
        <v>0</v>
      </c>
      <c r="AD127" s="25" t="str">
        <f t="shared" ca="1" si="21"/>
        <v/>
      </c>
    </row>
    <row r="128" spans="2:30" ht="13" x14ac:dyDescent="0.3">
      <c r="B128" s="18">
        <f t="shared" si="40"/>
        <v>75</v>
      </c>
      <c r="D128" s="35" t="s">
        <v>39</v>
      </c>
      <c r="F128" s="48">
        <f ca="1">Function!P128</f>
        <v>0</v>
      </c>
      <c r="H128" s="76"/>
      <c r="L128" s="48">
        <f t="shared" ca="1" si="37"/>
        <v>0</v>
      </c>
      <c r="O128" s="70">
        <f>_xlfn.IFNA(MATCH(N128,'Gas Supply Factors'!$B$14:$B$387,0),0)</f>
        <v>0</v>
      </c>
      <c r="P128" s="20">
        <f ca="1">OFFSET('Gas Supply Factors'!$B$14,$O128-1,P$14)*$L128+OFFSET('Gas Supply Factors'!$B$14,$K128-1,P$14)*$H128</f>
        <v>0</v>
      </c>
      <c r="R128" s="20">
        <f ca="1">OFFSET('Gas Supply Factors'!$B$14,$O128-1,R$14)*$L128+OFFSET('Gas Supply Factors'!$B$14,$K128-1,R$14)*$H128</f>
        <v>0</v>
      </c>
      <c r="S128" s="20"/>
      <c r="T128" s="20">
        <f ca="1">OFFSET('Gas Supply Factors'!$B$14,$O128-1,T$14)*$L128+OFFSET('Gas Supply Factors'!$B$14,$K128-1,T$14)*$H128</f>
        <v>0</v>
      </c>
      <c r="U128" s="20"/>
      <c r="V128" s="20">
        <f ca="1">OFFSET('Gas Supply Factors'!$B$14,$O128-1,V$14)*$L128+OFFSET('Gas Supply Factors'!$B$14,$K128-1,V$14)*$H128</f>
        <v>0</v>
      </c>
      <c r="W128" s="20"/>
      <c r="X128" s="20">
        <f ca="1">OFFSET('Gas Supply Factors'!$B$14,$O128-1,X$14)*$L128+OFFSET('Gas Supply Factors'!$B$14,$K128-1,X$14)*$H128</f>
        <v>0</v>
      </c>
      <c r="Z128" s="20">
        <f ca="1">OFFSET('Gas Supply Factors'!$B$14,$O128-1,Z$14)*$L128+OFFSET('Gas Supply Factors'!$B$14,$K128-1,Z$14)*$H128</f>
        <v>0</v>
      </c>
      <c r="AB128" s="20">
        <f t="shared" ca="1" si="38"/>
        <v>0</v>
      </c>
      <c r="AD128" s="25" t="str">
        <f t="shared" ca="1" si="21"/>
        <v/>
      </c>
    </row>
    <row r="129" spans="2:30" ht="13" x14ac:dyDescent="0.3">
      <c r="B129" s="18">
        <f t="shared" si="40"/>
        <v>76</v>
      </c>
      <c r="D129" s="35" t="s">
        <v>116</v>
      </c>
      <c r="F129" s="48">
        <f ca="1">Function!P129</f>
        <v>0</v>
      </c>
      <c r="H129" s="76"/>
      <c r="L129" s="48">
        <f t="shared" ca="1" si="37"/>
        <v>0</v>
      </c>
      <c r="O129" s="70">
        <f>_xlfn.IFNA(MATCH(N129,'Gas Supply Factors'!$B$14:$B$387,0),0)</f>
        <v>0</v>
      </c>
      <c r="P129" s="20">
        <f ca="1">OFFSET('Gas Supply Factors'!$B$14,$O129-1,P$14)*$L129+OFFSET('Gas Supply Factors'!$B$14,$K129-1,P$14)*$H129</f>
        <v>0</v>
      </c>
      <c r="R129" s="20">
        <f ca="1">OFFSET('Gas Supply Factors'!$B$14,$O129-1,R$14)*$L129+OFFSET('Gas Supply Factors'!$B$14,$K129-1,R$14)*$H129</f>
        <v>0</v>
      </c>
      <c r="S129" s="20"/>
      <c r="T129" s="20">
        <f ca="1">OFFSET('Gas Supply Factors'!$B$14,$O129-1,T$14)*$L129+OFFSET('Gas Supply Factors'!$B$14,$K129-1,T$14)*$H129</f>
        <v>0</v>
      </c>
      <c r="U129" s="20"/>
      <c r="V129" s="20">
        <f ca="1">OFFSET('Gas Supply Factors'!$B$14,$O129-1,V$14)*$L129+OFFSET('Gas Supply Factors'!$B$14,$K129-1,V$14)*$H129</f>
        <v>0</v>
      </c>
      <c r="W129" s="20"/>
      <c r="X129" s="20">
        <f ca="1">OFFSET('Gas Supply Factors'!$B$14,$O129-1,X$14)*$L129+OFFSET('Gas Supply Factors'!$B$14,$K129-1,X$14)*$H129</f>
        <v>0</v>
      </c>
      <c r="Z129" s="20">
        <f ca="1">OFFSET('Gas Supply Factors'!$B$14,$O129-1,Z$14)*$L129+OFFSET('Gas Supply Factors'!$B$14,$K129-1,Z$14)*$H129</f>
        <v>0</v>
      </c>
      <c r="AB129" s="20">
        <f t="shared" ca="1" si="38"/>
        <v>0</v>
      </c>
      <c r="AD129" s="25" t="str">
        <f t="shared" ca="1" si="21"/>
        <v/>
      </c>
    </row>
    <row r="130" spans="2:30" ht="13" x14ac:dyDescent="0.3">
      <c r="B130" s="18">
        <f t="shared" si="40"/>
        <v>77</v>
      </c>
      <c r="D130" s="35" t="s">
        <v>117</v>
      </c>
      <c r="F130" s="48">
        <f ca="1">Function!P130</f>
        <v>0</v>
      </c>
      <c r="H130" s="76"/>
      <c r="L130" s="48">
        <f t="shared" ca="1" si="37"/>
        <v>0</v>
      </c>
      <c r="O130" s="70">
        <f>_xlfn.IFNA(MATCH(N130,'Gas Supply Factors'!$B$14:$B$387,0),0)</f>
        <v>0</v>
      </c>
      <c r="P130" s="20">
        <f ca="1">OFFSET('Gas Supply Factors'!$B$14,$O130-1,P$14)*$L130+OFFSET('Gas Supply Factors'!$B$14,$K130-1,P$14)*$H130</f>
        <v>0</v>
      </c>
      <c r="R130" s="20">
        <f ca="1">OFFSET('Gas Supply Factors'!$B$14,$O130-1,R$14)*$L130+OFFSET('Gas Supply Factors'!$B$14,$K130-1,R$14)*$H130</f>
        <v>0</v>
      </c>
      <c r="S130" s="20"/>
      <c r="T130" s="20">
        <f ca="1">OFFSET('Gas Supply Factors'!$B$14,$O130-1,T$14)*$L130+OFFSET('Gas Supply Factors'!$B$14,$K130-1,T$14)*$H130</f>
        <v>0</v>
      </c>
      <c r="U130" s="20"/>
      <c r="V130" s="20">
        <f ca="1">OFFSET('Gas Supply Factors'!$B$14,$O130-1,V$14)*$L130+OFFSET('Gas Supply Factors'!$B$14,$K130-1,V$14)*$H130</f>
        <v>0</v>
      </c>
      <c r="W130" s="20"/>
      <c r="X130" s="20">
        <f ca="1">OFFSET('Gas Supply Factors'!$B$14,$O130-1,X$14)*$L130+OFFSET('Gas Supply Factors'!$B$14,$K130-1,X$14)*$H130</f>
        <v>0</v>
      </c>
      <c r="Z130" s="20">
        <f ca="1">OFFSET('Gas Supply Factors'!$B$14,$O130-1,Z$14)*$L130+OFFSET('Gas Supply Factors'!$B$14,$K130-1,Z$14)*$H130</f>
        <v>0</v>
      </c>
      <c r="AB130" s="20">
        <f t="shared" ca="1" si="38"/>
        <v>0</v>
      </c>
      <c r="AD130" s="25" t="str">
        <f t="shared" ca="1" si="21"/>
        <v/>
      </c>
    </row>
    <row r="131" spans="2:30" ht="13" x14ac:dyDescent="0.3">
      <c r="B131" s="18">
        <f t="shared" si="40"/>
        <v>78</v>
      </c>
      <c r="D131" s="35" t="s">
        <v>118</v>
      </c>
      <c r="F131" s="48">
        <f ca="1">Function!P131</f>
        <v>0</v>
      </c>
      <c r="H131" s="76"/>
      <c r="L131" s="48">
        <f t="shared" ca="1" si="37"/>
        <v>0</v>
      </c>
      <c r="O131" s="70">
        <f>_xlfn.IFNA(MATCH(N131,'Gas Supply Factors'!$B$14:$B$387,0),0)</f>
        <v>0</v>
      </c>
      <c r="P131" s="20">
        <f ca="1">OFFSET('Gas Supply Factors'!$B$14,$O131-1,P$14)*$L131+OFFSET('Gas Supply Factors'!$B$14,$K131-1,P$14)*$H131</f>
        <v>0</v>
      </c>
      <c r="R131" s="20">
        <f ca="1">OFFSET('Gas Supply Factors'!$B$14,$O131-1,R$14)*$L131+OFFSET('Gas Supply Factors'!$B$14,$K131-1,R$14)*$H131</f>
        <v>0</v>
      </c>
      <c r="S131" s="20"/>
      <c r="T131" s="20">
        <f ca="1">OFFSET('Gas Supply Factors'!$B$14,$O131-1,T$14)*$L131+OFFSET('Gas Supply Factors'!$B$14,$K131-1,T$14)*$H131</f>
        <v>0</v>
      </c>
      <c r="U131" s="20"/>
      <c r="V131" s="20">
        <f ca="1">OFFSET('Gas Supply Factors'!$B$14,$O131-1,V$14)*$L131+OFFSET('Gas Supply Factors'!$B$14,$K131-1,V$14)*$H131</f>
        <v>0</v>
      </c>
      <c r="W131" s="20"/>
      <c r="X131" s="20">
        <f ca="1">OFFSET('Gas Supply Factors'!$B$14,$O131-1,X$14)*$L131+OFFSET('Gas Supply Factors'!$B$14,$K131-1,X$14)*$H131</f>
        <v>0</v>
      </c>
      <c r="Z131" s="20">
        <f ca="1">OFFSET('Gas Supply Factors'!$B$14,$O131-1,Z$14)*$L131+OFFSET('Gas Supply Factors'!$B$14,$K131-1,Z$14)*$H131</f>
        <v>0</v>
      </c>
      <c r="AB131" s="20">
        <f t="shared" ca="1" si="38"/>
        <v>0</v>
      </c>
      <c r="AD131" s="25" t="str">
        <f t="shared" ca="1" si="21"/>
        <v/>
      </c>
    </row>
    <row r="132" spans="2:30" ht="13" x14ac:dyDescent="0.3">
      <c r="D132" s="1" t="s">
        <v>19</v>
      </c>
      <c r="T132" s="20"/>
      <c r="AD132" s="25" t="str">
        <f t="shared" si="21"/>
        <v/>
      </c>
    </row>
    <row r="133" spans="2:30" ht="13" x14ac:dyDescent="0.3">
      <c r="B133" s="18">
        <f>B131+1</f>
        <v>79</v>
      </c>
      <c r="D133" s="1" t="s">
        <v>119</v>
      </c>
      <c r="F133" s="48">
        <f ca="1">Function!P133</f>
        <v>0</v>
      </c>
      <c r="L133" s="48">
        <f t="shared" ca="1" si="37"/>
        <v>0</v>
      </c>
      <c r="O133" s="70">
        <f>_xlfn.IFNA(MATCH(N133,'Gas Supply Factors'!$B$14:$B$387,0),0)</f>
        <v>0</v>
      </c>
      <c r="P133" s="20">
        <f ca="1">OFFSET('Gas Supply Factors'!$B$14,$O133-1,P$14)*$L133+OFFSET('Gas Supply Factors'!$B$14,$K133-1,P$14)*$H133</f>
        <v>0</v>
      </c>
      <c r="R133" s="20">
        <f ca="1">OFFSET('Gas Supply Factors'!$B$14,$O133-1,R$14)*$L133+OFFSET('Gas Supply Factors'!$B$14,$K133-1,R$14)*$H133</f>
        <v>0</v>
      </c>
      <c r="S133" s="20"/>
      <c r="T133" s="20">
        <f ca="1">OFFSET('Gas Supply Factors'!$B$14,$O133-1,T$14)*$L133+OFFSET('Gas Supply Factors'!$B$14,$K133-1,T$14)*$H133</f>
        <v>0</v>
      </c>
      <c r="U133" s="20"/>
      <c r="V133" s="20">
        <f ca="1">OFFSET('Gas Supply Factors'!$B$14,$O133-1,V$14)*$L133+OFFSET('Gas Supply Factors'!$B$14,$K133-1,V$14)*$H133</f>
        <v>0</v>
      </c>
      <c r="W133" s="20"/>
      <c r="X133" s="20">
        <f ca="1">OFFSET('Gas Supply Factors'!$B$14,$O133-1,X$14)*$L133+OFFSET('Gas Supply Factors'!$B$14,$K133-1,X$14)*$H133</f>
        <v>0</v>
      </c>
      <c r="Z133" s="20">
        <f ca="1">OFFSET('Gas Supply Factors'!$B$14,$O133-1,Z$14)*$L133+OFFSET('Gas Supply Factors'!$B$14,$K133-1,Z$14)*$H133</f>
        <v>0</v>
      </c>
      <c r="AD133" s="25" t="str">
        <f t="shared" ca="1" si="21"/>
        <v/>
      </c>
    </row>
    <row r="134" spans="2:30" ht="13" x14ac:dyDescent="0.3">
      <c r="B134" s="18">
        <f>B133+1</f>
        <v>80</v>
      </c>
      <c r="D134" s="35" t="s">
        <v>120</v>
      </c>
      <c r="F134" s="48">
        <f ca="1">Function!P134</f>
        <v>0</v>
      </c>
      <c r="H134" s="76"/>
      <c r="L134" s="48">
        <f t="shared" ca="1" si="37"/>
        <v>0</v>
      </c>
      <c r="O134" s="70">
        <f>_xlfn.IFNA(MATCH(N134,'Gas Supply Factors'!$B$14:$B$387,0),0)</f>
        <v>0</v>
      </c>
      <c r="P134" s="20">
        <f ca="1">OFFSET('Gas Supply Factors'!$B$14,$O134-1,P$14)*$L134+OFFSET('Gas Supply Factors'!$B$14,$K134-1,P$14)*$H134</f>
        <v>0</v>
      </c>
      <c r="R134" s="20">
        <f ca="1">OFFSET('Gas Supply Factors'!$B$14,$O134-1,R$14)*$L134+OFFSET('Gas Supply Factors'!$B$14,$K134-1,R$14)*$H134</f>
        <v>0</v>
      </c>
      <c r="S134" s="20"/>
      <c r="T134" s="20">
        <f ca="1">OFFSET('Gas Supply Factors'!$B$14,$O134-1,T$14)*$L134+OFFSET('Gas Supply Factors'!$B$14,$K134-1,T$14)*$H134</f>
        <v>0</v>
      </c>
      <c r="U134" s="20"/>
      <c r="V134" s="20">
        <f ca="1">OFFSET('Gas Supply Factors'!$B$14,$O134-1,V$14)*$L134+OFFSET('Gas Supply Factors'!$B$14,$K134-1,V$14)*$H134</f>
        <v>0</v>
      </c>
      <c r="W134" s="20"/>
      <c r="X134" s="20">
        <f ca="1">OFFSET('Gas Supply Factors'!$B$14,$O134-1,X$14)*$L134+OFFSET('Gas Supply Factors'!$B$14,$K134-1,X$14)*$H134</f>
        <v>0</v>
      </c>
      <c r="Z134" s="20">
        <f ca="1">OFFSET('Gas Supply Factors'!$B$14,$O134-1,Z$14)*$L134+OFFSET('Gas Supply Factors'!$B$14,$K134-1,Z$14)*$H134</f>
        <v>0</v>
      </c>
      <c r="AB134" s="20">
        <f t="shared" ref="AB134:AB136" ca="1" si="41">P134+R134+V134+X134+Z134+T134</f>
        <v>0</v>
      </c>
      <c r="AD134" s="25" t="str">
        <f t="shared" ca="1" si="21"/>
        <v/>
      </c>
    </row>
    <row r="135" spans="2:30" ht="13" x14ac:dyDescent="0.3">
      <c r="B135" s="18">
        <f t="shared" ref="B135:B136" si="42">B134+1</f>
        <v>81</v>
      </c>
      <c r="D135" s="35" t="s">
        <v>114</v>
      </c>
      <c r="F135" s="48">
        <f ca="1">Function!P135</f>
        <v>0</v>
      </c>
      <c r="H135" s="76"/>
      <c r="L135" s="48">
        <f t="shared" ca="1" si="37"/>
        <v>0</v>
      </c>
      <c r="O135" s="70">
        <f>_xlfn.IFNA(MATCH(N135,'Gas Supply Factors'!$B$14:$B$387,0),0)</f>
        <v>0</v>
      </c>
      <c r="P135" s="20">
        <f ca="1">OFFSET('Gas Supply Factors'!$B$14,$O135-1,P$14)*$L135+OFFSET('Gas Supply Factors'!$B$14,$K135-1,P$14)*$H135</f>
        <v>0</v>
      </c>
      <c r="R135" s="20">
        <f ca="1">OFFSET('Gas Supply Factors'!$B$14,$O135-1,R$14)*$L135+OFFSET('Gas Supply Factors'!$B$14,$K135-1,R$14)*$H135</f>
        <v>0</v>
      </c>
      <c r="S135" s="20"/>
      <c r="T135" s="20">
        <f ca="1">OFFSET('Gas Supply Factors'!$B$14,$O135-1,T$14)*$L135+OFFSET('Gas Supply Factors'!$B$14,$K135-1,T$14)*$H135</f>
        <v>0</v>
      </c>
      <c r="U135" s="20"/>
      <c r="V135" s="20">
        <f ca="1">OFFSET('Gas Supply Factors'!$B$14,$O135-1,V$14)*$L135+OFFSET('Gas Supply Factors'!$B$14,$K135-1,V$14)*$H135</f>
        <v>0</v>
      </c>
      <c r="W135" s="20"/>
      <c r="X135" s="20">
        <f ca="1">OFFSET('Gas Supply Factors'!$B$14,$O135-1,X$14)*$L135+OFFSET('Gas Supply Factors'!$B$14,$K135-1,X$14)*$H135</f>
        <v>0</v>
      </c>
      <c r="Z135" s="20">
        <f ca="1">OFFSET('Gas Supply Factors'!$B$14,$O135-1,Z$14)*$L135+OFFSET('Gas Supply Factors'!$B$14,$K135-1,Z$14)*$H135</f>
        <v>0</v>
      </c>
      <c r="AB135" s="20">
        <f t="shared" ca="1" si="41"/>
        <v>0</v>
      </c>
      <c r="AD135" s="25" t="str">
        <f t="shared" ca="1" si="21"/>
        <v/>
      </c>
    </row>
    <row r="136" spans="2:30" ht="13" x14ac:dyDescent="0.3">
      <c r="B136" s="18">
        <f t="shared" si="42"/>
        <v>82</v>
      </c>
      <c r="D136" s="35" t="s">
        <v>39</v>
      </c>
      <c r="F136" s="48">
        <f ca="1">Function!P136</f>
        <v>0</v>
      </c>
      <c r="H136" s="76"/>
      <c r="L136" s="48">
        <f t="shared" ca="1" si="37"/>
        <v>0</v>
      </c>
      <c r="O136" s="70">
        <f>_xlfn.IFNA(MATCH(N136,'Gas Supply Factors'!$B$14:$B$387,0),0)</f>
        <v>0</v>
      </c>
      <c r="P136" s="20">
        <f ca="1">OFFSET('Gas Supply Factors'!$B$14,$O136-1,P$14)*$L136+OFFSET('Gas Supply Factors'!$B$14,$K136-1,P$14)*$H136</f>
        <v>0</v>
      </c>
      <c r="R136" s="20">
        <f ca="1">OFFSET('Gas Supply Factors'!$B$14,$O136-1,R$14)*$L136+OFFSET('Gas Supply Factors'!$B$14,$K136-1,R$14)*$H136</f>
        <v>0</v>
      </c>
      <c r="S136" s="20"/>
      <c r="T136" s="20">
        <f ca="1">OFFSET('Gas Supply Factors'!$B$14,$O136-1,T$14)*$L136+OFFSET('Gas Supply Factors'!$B$14,$K136-1,T$14)*$H136</f>
        <v>0</v>
      </c>
      <c r="U136" s="20"/>
      <c r="V136" s="20">
        <f ca="1">OFFSET('Gas Supply Factors'!$B$14,$O136-1,V$14)*$L136+OFFSET('Gas Supply Factors'!$B$14,$K136-1,V$14)*$H136</f>
        <v>0</v>
      </c>
      <c r="W136" s="20"/>
      <c r="X136" s="20">
        <f ca="1">OFFSET('Gas Supply Factors'!$B$14,$O136-1,X$14)*$L136+OFFSET('Gas Supply Factors'!$B$14,$K136-1,X$14)*$H136</f>
        <v>0</v>
      </c>
      <c r="Z136" s="20">
        <f ca="1">OFFSET('Gas Supply Factors'!$B$14,$O136-1,Z$14)*$L136+OFFSET('Gas Supply Factors'!$B$14,$K136-1,Z$14)*$H136</f>
        <v>0</v>
      </c>
      <c r="AB136" s="20">
        <f t="shared" ca="1" si="41"/>
        <v>0</v>
      </c>
      <c r="AD136" s="25" t="str">
        <f t="shared" ca="1" si="21"/>
        <v/>
      </c>
    </row>
    <row r="137" spans="2:30" ht="13" x14ac:dyDescent="0.3">
      <c r="D137" s="1" t="s">
        <v>20</v>
      </c>
      <c r="T137" s="20"/>
      <c r="AD137" s="25" t="str">
        <f t="shared" si="21"/>
        <v/>
      </c>
    </row>
    <row r="138" spans="2:30" ht="13" x14ac:dyDescent="0.3">
      <c r="B138" s="18">
        <f>B136+1</f>
        <v>83</v>
      </c>
      <c r="D138" s="1" t="s">
        <v>121</v>
      </c>
      <c r="F138" s="48">
        <f ca="1">Function!P138</f>
        <v>0</v>
      </c>
      <c r="L138" s="48">
        <f t="shared" ca="1" si="37"/>
        <v>0</v>
      </c>
      <c r="O138" s="70">
        <f>_xlfn.IFNA(MATCH(N138,'Gas Supply Factors'!$B$14:$B$387,0),0)</f>
        <v>0</v>
      </c>
      <c r="P138" s="20">
        <f ca="1">OFFSET('Gas Supply Factors'!$B$14,$O138-1,P$14)*$L138+OFFSET('Gas Supply Factors'!$B$14,$K138-1,P$14)*$H138</f>
        <v>0</v>
      </c>
      <c r="R138" s="20">
        <f ca="1">OFFSET('Gas Supply Factors'!$B$14,$O138-1,R$14)*$L138+OFFSET('Gas Supply Factors'!$B$14,$K138-1,R$14)*$H138</f>
        <v>0</v>
      </c>
      <c r="S138" s="20"/>
      <c r="T138" s="20">
        <f ca="1">OFFSET('Gas Supply Factors'!$B$14,$O138-1,T$14)*$L138+OFFSET('Gas Supply Factors'!$B$14,$K138-1,T$14)*$H138</f>
        <v>0</v>
      </c>
      <c r="U138" s="20"/>
      <c r="V138" s="20">
        <f ca="1">OFFSET('Gas Supply Factors'!$B$14,$O138-1,V$14)*$L138+OFFSET('Gas Supply Factors'!$B$14,$K138-1,V$14)*$H138</f>
        <v>0</v>
      </c>
      <c r="W138" s="20"/>
      <c r="X138" s="20">
        <f ca="1">OFFSET('Gas Supply Factors'!$B$14,$O138-1,X$14)*$L138+OFFSET('Gas Supply Factors'!$B$14,$K138-1,X$14)*$H138</f>
        <v>0</v>
      </c>
      <c r="Z138" s="20">
        <f ca="1">OFFSET('Gas Supply Factors'!$B$14,$O138-1,Z$14)*$L138+OFFSET('Gas Supply Factors'!$B$14,$K138-1,Z$14)*$H138</f>
        <v>0</v>
      </c>
      <c r="AD138" s="25" t="str">
        <f t="shared" ca="1" si="21"/>
        <v/>
      </c>
    </row>
    <row r="139" spans="2:30" ht="13" x14ac:dyDescent="0.3">
      <c r="B139" s="18">
        <f>B138+1</f>
        <v>84</v>
      </c>
      <c r="D139" s="35" t="s">
        <v>122</v>
      </c>
      <c r="F139" s="48">
        <f ca="1">Function!P139</f>
        <v>0</v>
      </c>
      <c r="H139" s="76"/>
      <c r="L139" s="48">
        <f t="shared" ca="1" si="37"/>
        <v>0</v>
      </c>
      <c r="O139" s="70">
        <f>_xlfn.IFNA(MATCH(N139,'Gas Supply Factors'!$B$14:$B$387,0),0)</f>
        <v>0</v>
      </c>
      <c r="P139" s="20">
        <f ca="1">OFFSET('Gas Supply Factors'!$B$14,$O139-1,P$14)*$L139+OFFSET('Gas Supply Factors'!$B$14,$K139-1,P$14)*$H139</f>
        <v>0</v>
      </c>
      <c r="R139" s="20">
        <f ca="1">OFFSET('Gas Supply Factors'!$B$14,$O139-1,R$14)*$L139+OFFSET('Gas Supply Factors'!$B$14,$K139-1,R$14)*$H139</f>
        <v>0</v>
      </c>
      <c r="S139" s="20"/>
      <c r="T139" s="20">
        <f ca="1">OFFSET('Gas Supply Factors'!$B$14,$O139-1,T$14)*$L139+OFFSET('Gas Supply Factors'!$B$14,$K139-1,T$14)*$H139</f>
        <v>0</v>
      </c>
      <c r="U139" s="20"/>
      <c r="V139" s="20">
        <f ca="1">OFFSET('Gas Supply Factors'!$B$14,$O139-1,V$14)*$L139+OFFSET('Gas Supply Factors'!$B$14,$K139-1,V$14)*$H139</f>
        <v>0</v>
      </c>
      <c r="W139" s="20"/>
      <c r="X139" s="20">
        <f ca="1">OFFSET('Gas Supply Factors'!$B$14,$O139-1,X$14)*$L139+OFFSET('Gas Supply Factors'!$B$14,$K139-1,X$14)*$H139</f>
        <v>0</v>
      </c>
      <c r="Z139" s="20">
        <f ca="1">OFFSET('Gas Supply Factors'!$B$14,$O139-1,Z$14)*$L139+OFFSET('Gas Supply Factors'!$B$14,$K139-1,Z$14)*$H139</f>
        <v>0</v>
      </c>
      <c r="AB139" s="20">
        <f t="shared" ref="AB139:AB143" ca="1" si="43">P139+R139+V139+X139+Z139+T139</f>
        <v>0</v>
      </c>
      <c r="AD139" s="25" t="str">
        <f t="shared" ca="1" si="21"/>
        <v/>
      </c>
    </row>
    <row r="140" spans="2:30" ht="13" x14ac:dyDescent="0.3">
      <c r="B140" s="18">
        <f t="shared" ref="B140:B143" si="44">B139+1</f>
        <v>85</v>
      </c>
      <c r="D140" s="35" t="s">
        <v>123</v>
      </c>
      <c r="F140" s="48">
        <f ca="1">Function!P140</f>
        <v>0</v>
      </c>
      <c r="H140" s="76"/>
      <c r="L140" s="48">
        <f t="shared" ca="1" si="37"/>
        <v>0</v>
      </c>
      <c r="O140" s="70">
        <f>_xlfn.IFNA(MATCH(N140,'Gas Supply Factors'!$B$14:$B$387,0),0)</f>
        <v>0</v>
      </c>
      <c r="P140" s="20">
        <f ca="1">OFFSET('Gas Supply Factors'!$B$14,$O140-1,P$14)*$L140+OFFSET('Gas Supply Factors'!$B$14,$K140-1,P$14)*$H140</f>
        <v>0</v>
      </c>
      <c r="R140" s="20">
        <f ca="1">OFFSET('Gas Supply Factors'!$B$14,$O140-1,R$14)*$L140+OFFSET('Gas Supply Factors'!$B$14,$K140-1,R$14)*$H140</f>
        <v>0</v>
      </c>
      <c r="S140" s="20"/>
      <c r="T140" s="20">
        <f ca="1">OFFSET('Gas Supply Factors'!$B$14,$O140-1,T$14)*$L140+OFFSET('Gas Supply Factors'!$B$14,$K140-1,T$14)*$H140</f>
        <v>0</v>
      </c>
      <c r="U140" s="20"/>
      <c r="V140" s="20">
        <f ca="1">OFFSET('Gas Supply Factors'!$B$14,$O140-1,V$14)*$L140+OFFSET('Gas Supply Factors'!$B$14,$K140-1,V$14)*$H140</f>
        <v>0</v>
      </c>
      <c r="W140" s="20"/>
      <c r="X140" s="20">
        <f ca="1">OFFSET('Gas Supply Factors'!$B$14,$O140-1,X$14)*$L140+OFFSET('Gas Supply Factors'!$B$14,$K140-1,X$14)*$H140</f>
        <v>0</v>
      </c>
      <c r="Z140" s="20">
        <f ca="1">OFFSET('Gas Supply Factors'!$B$14,$O140-1,Z$14)*$L140+OFFSET('Gas Supply Factors'!$B$14,$K140-1,Z$14)*$H140</f>
        <v>0</v>
      </c>
      <c r="AB140" s="20">
        <f t="shared" ca="1" si="43"/>
        <v>0</v>
      </c>
      <c r="AD140" s="25" t="str">
        <f t="shared" ca="1" si="21"/>
        <v/>
      </c>
    </row>
    <row r="141" spans="2:30" ht="13" x14ac:dyDescent="0.3">
      <c r="B141" s="18">
        <f t="shared" si="44"/>
        <v>86</v>
      </c>
      <c r="D141" s="35" t="s">
        <v>124</v>
      </c>
      <c r="F141" s="48">
        <f ca="1">Function!P141</f>
        <v>0</v>
      </c>
      <c r="H141" s="76"/>
      <c r="L141" s="48">
        <f t="shared" ca="1" si="37"/>
        <v>0</v>
      </c>
      <c r="O141" s="70">
        <f>_xlfn.IFNA(MATCH(N141,'Gas Supply Factors'!$B$14:$B$387,0),0)</f>
        <v>0</v>
      </c>
      <c r="P141" s="20">
        <f ca="1">OFFSET('Gas Supply Factors'!$B$14,$O141-1,P$14)*$L141+OFFSET('Gas Supply Factors'!$B$14,$K141-1,P$14)*$H141</f>
        <v>0</v>
      </c>
      <c r="R141" s="20">
        <f ca="1">OFFSET('Gas Supply Factors'!$B$14,$O141-1,R$14)*$L141+OFFSET('Gas Supply Factors'!$B$14,$K141-1,R$14)*$H141</f>
        <v>0</v>
      </c>
      <c r="S141" s="20"/>
      <c r="T141" s="20">
        <f ca="1">OFFSET('Gas Supply Factors'!$B$14,$O141-1,T$14)*$L141+OFFSET('Gas Supply Factors'!$B$14,$K141-1,T$14)*$H141</f>
        <v>0</v>
      </c>
      <c r="U141" s="20"/>
      <c r="V141" s="20">
        <f ca="1">OFFSET('Gas Supply Factors'!$B$14,$O141-1,V$14)*$L141+OFFSET('Gas Supply Factors'!$B$14,$K141-1,V$14)*$H141</f>
        <v>0</v>
      </c>
      <c r="W141" s="20"/>
      <c r="X141" s="20">
        <f ca="1">OFFSET('Gas Supply Factors'!$B$14,$O141-1,X$14)*$L141+OFFSET('Gas Supply Factors'!$B$14,$K141-1,X$14)*$H141</f>
        <v>0</v>
      </c>
      <c r="Z141" s="20">
        <f ca="1">OFFSET('Gas Supply Factors'!$B$14,$O141-1,Z$14)*$L141+OFFSET('Gas Supply Factors'!$B$14,$K141-1,Z$14)*$H141</f>
        <v>0</v>
      </c>
      <c r="AB141" s="20">
        <f t="shared" ca="1" si="43"/>
        <v>0</v>
      </c>
      <c r="AD141" s="25" t="str">
        <f t="shared" ca="1" si="21"/>
        <v/>
      </c>
    </row>
    <row r="142" spans="2:30" ht="13" x14ac:dyDescent="0.3">
      <c r="B142" s="18">
        <f t="shared" si="44"/>
        <v>87</v>
      </c>
      <c r="D142" s="35" t="s">
        <v>39</v>
      </c>
      <c r="F142" s="48">
        <f ca="1">Function!P142</f>
        <v>0</v>
      </c>
      <c r="H142" s="76"/>
      <c r="L142" s="48">
        <f t="shared" ca="1" si="37"/>
        <v>0</v>
      </c>
      <c r="O142" s="70">
        <f>_xlfn.IFNA(MATCH(N142,'Gas Supply Factors'!$B$14:$B$387,0),0)</f>
        <v>0</v>
      </c>
      <c r="P142" s="20">
        <f ca="1">OFFSET('Gas Supply Factors'!$B$14,$O142-1,P$14)*$L142+OFFSET('Gas Supply Factors'!$B$14,$K142-1,P$14)*$H142</f>
        <v>0</v>
      </c>
      <c r="R142" s="20">
        <f ca="1">OFFSET('Gas Supply Factors'!$B$14,$O142-1,R$14)*$L142+OFFSET('Gas Supply Factors'!$B$14,$K142-1,R$14)*$H142</f>
        <v>0</v>
      </c>
      <c r="S142" s="20"/>
      <c r="T142" s="20">
        <f ca="1">OFFSET('Gas Supply Factors'!$B$14,$O142-1,T$14)*$L142+OFFSET('Gas Supply Factors'!$B$14,$K142-1,T$14)*$H142</f>
        <v>0</v>
      </c>
      <c r="U142" s="20"/>
      <c r="V142" s="20">
        <f ca="1">OFFSET('Gas Supply Factors'!$B$14,$O142-1,V$14)*$L142+OFFSET('Gas Supply Factors'!$B$14,$K142-1,V$14)*$H142</f>
        <v>0</v>
      </c>
      <c r="W142" s="20"/>
      <c r="X142" s="20">
        <f ca="1">OFFSET('Gas Supply Factors'!$B$14,$O142-1,X$14)*$L142+OFFSET('Gas Supply Factors'!$B$14,$K142-1,X$14)*$H142</f>
        <v>0</v>
      </c>
      <c r="Z142" s="20">
        <f ca="1">OFFSET('Gas Supply Factors'!$B$14,$O142-1,Z$14)*$L142+OFFSET('Gas Supply Factors'!$B$14,$K142-1,Z$14)*$H142</f>
        <v>0</v>
      </c>
      <c r="AB142" s="20">
        <f t="shared" ca="1" si="43"/>
        <v>0</v>
      </c>
      <c r="AD142" s="25" t="str">
        <f t="shared" ca="1" si="21"/>
        <v/>
      </c>
    </row>
    <row r="143" spans="2:30" ht="13" x14ac:dyDescent="0.3">
      <c r="B143" s="18">
        <f t="shared" si="44"/>
        <v>88</v>
      </c>
      <c r="D143" s="35" t="s">
        <v>125</v>
      </c>
      <c r="F143" s="48">
        <f ca="1">Function!P143</f>
        <v>0</v>
      </c>
      <c r="H143" s="76"/>
      <c r="L143" s="48">
        <f t="shared" ca="1" si="37"/>
        <v>0</v>
      </c>
      <c r="O143" s="70">
        <f>_xlfn.IFNA(MATCH(N143,'Gas Supply Factors'!$B$14:$B$387,0),0)</f>
        <v>0</v>
      </c>
      <c r="P143" s="20">
        <f ca="1">OFFSET('Gas Supply Factors'!$B$14,$O143-1,P$14)*$L143+OFFSET('Gas Supply Factors'!$B$14,$K143-1,P$14)*$H143</f>
        <v>0</v>
      </c>
      <c r="R143" s="20">
        <f ca="1">OFFSET('Gas Supply Factors'!$B$14,$O143-1,R$14)*$L143+OFFSET('Gas Supply Factors'!$B$14,$K143-1,R$14)*$H143</f>
        <v>0</v>
      </c>
      <c r="S143" s="20"/>
      <c r="T143" s="20">
        <f ca="1">OFFSET('Gas Supply Factors'!$B$14,$O143-1,T$14)*$L143+OFFSET('Gas Supply Factors'!$B$14,$K143-1,T$14)*$H143</f>
        <v>0</v>
      </c>
      <c r="U143" s="20"/>
      <c r="V143" s="20">
        <f ca="1">OFFSET('Gas Supply Factors'!$B$14,$O143-1,V$14)*$L143+OFFSET('Gas Supply Factors'!$B$14,$K143-1,V$14)*$H143</f>
        <v>0</v>
      </c>
      <c r="W143" s="20"/>
      <c r="X143" s="20">
        <f ca="1">OFFSET('Gas Supply Factors'!$B$14,$O143-1,X$14)*$L143+OFFSET('Gas Supply Factors'!$B$14,$K143-1,X$14)*$H143</f>
        <v>0</v>
      </c>
      <c r="Z143" s="20">
        <f ca="1">OFFSET('Gas Supply Factors'!$B$14,$O143-1,Z$14)*$L143+OFFSET('Gas Supply Factors'!$B$14,$K143-1,Z$14)*$H143</f>
        <v>0</v>
      </c>
      <c r="AB143" s="20">
        <f t="shared" ca="1" si="43"/>
        <v>0</v>
      </c>
      <c r="AD143" s="25" t="str">
        <f t="shared" ca="1" si="21"/>
        <v/>
      </c>
    </row>
    <row r="144" spans="2:30" ht="13" x14ac:dyDescent="0.3">
      <c r="D144" s="1" t="s">
        <v>126</v>
      </c>
      <c r="T144" s="20"/>
      <c r="AD144" s="25" t="str">
        <f t="shared" si="21"/>
        <v/>
      </c>
    </row>
    <row r="145" spans="2:30" ht="13" x14ac:dyDescent="0.3">
      <c r="B145" s="18">
        <f>B143+1</f>
        <v>89</v>
      </c>
      <c r="D145" s="35" t="s">
        <v>127</v>
      </c>
      <c r="F145" s="48">
        <f ca="1">Function!P145</f>
        <v>2546.4739944630078</v>
      </c>
      <c r="H145" s="76"/>
      <c r="L145" s="48">
        <f t="shared" ca="1" si="37"/>
        <v>2546.4739944630078</v>
      </c>
      <c r="N145" s="2" t="s">
        <v>186</v>
      </c>
      <c r="O145" s="70">
        <f>_xlfn.IFNA(MATCH(N145,'Gas Supply Factors'!$B$14:$B$387,0),0)</f>
        <v>1</v>
      </c>
      <c r="P145" s="20">
        <f ca="1">OFFSET('Gas Supply Factors'!$B$14,$O145-1,P$14)*$L145+OFFSET('Gas Supply Factors'!$B$14,$K145-1,P$14)*$H145</f>
        <v>0</v>
      </c>
      <c r="R145" s="20">
        <f ca="1">OFFSET('Gas Supply Factors'!$B$14,$O145-1,R$14)*$L145+OFFSET('Gas Supply Factors'!$B$14,$K145-1,R$14)*$H145</f>
        <v>0</v>
      </c>
      <c r="S145" s="20"/>
      <c r="T145" s="20">
        <f ca="1">OFFSET('Gas Supply Factors'!$B$14,$O145-1,T$14)*$L145+OFFSET('Gas Supply Factors'!$B$14,$K145-1,T$14)*$H145</f>
        <v>0</v>
      </c>
      <c r="U145" s="20"/>
      <c r="V145" s="20">
        <f ca="1">OFFSET('Gas Supply Factors'!$B$14,$O145-1,V$14)*$L145+OFFSET('Gas Supply Factors'!$B$14,$K145-1,V$14)*$H145</f>
        <v>0</v>
      </c>
      <c r="W145" s="20"/>
      <c r="X145" s="20">
        <f ca="1">OFFSET('Gas Supply Factors'!$B$14,$O145-1,X$14)*$L145+OFFSET('Gas Supply Factors'!$B$14,$K145-1,X$14)*$H145</f>
        <v>0</v>
      </c>
      <c r="Z145" s="20">
        <f ca="1">OFFSET('Gas Supply Factors'!$B$14,$O145-1,Z$14)*$L145+OFFSET('Gas Supply Factors'!$B$14,$K145-1,Z$14)*$H145</f>
        <v>2546.4739944630078</v>
      </c>
      <c r="AB145" s="20">
        <f t="shared" ref="AB145" ca="1" si="45">P145+R145+V145+X145+Z145+T145</f>
        <v>2546.4739944630078</v>
      </c>
      <c r="AD145" s="25" t="str">
        <f t="shared" ca="1" si="21"/>
        <v/>
      </c>
    </row>
    <row r="146" spans="2:30" ht="13" x14ac:dyDescent="0.3">
      <c r="D146" s="1" t="s">
        <v>130</v>
      </c>
      <c r="T146" s="20"/>
      <c r="AD146" s="25" t="str">
        <f t="shared" si="21"/>
        <v/>
      </c>
    </row>
    <row r="147" spans="2:30" ht="13" x14ac:dyDescent="0.3">
      <c r="B147" s="18">
        <f>B145+1</f>
        <v>90</v>
      </c>
      <c r="D147" s="35" t="s">
        <v>131</v>
      </c>
      <c r="F147" s="48">
        <f ca="1">Function!P147</f>
        <v>0</v>
      </c>
      <c r="H147" s="76"/>
      <c r="L147" s="48">
        <f t="shared" ca="1" si="37"/>
        <v>0</v>
      </c>
      <c r="O147" s="70">
        <f>_xlfn.IFNA(MATCH(N147,'Gas Supply Factors'!$B$14:$B$387,0),0)</f>
        <v>0</v>
      </c>
      <c r="P147" s="20">
        <f ca="1">OFFSET('Gas Supply Factors'!$B$14,$O147-1,P$14)*$L147+OFFSET('Gas Supply Factors'!$B$14,$K147-1,P$14)*$H147</f>
        <v>0</v>
      </c>
      <c r="R147" s="20">
        <f ca="1">OFFSET('Gas Supply Factors'!$B$14,$O147-1,R$14)*$L147+OFFSET('Gas Supply Factors'!$B$14,$K147-1,R$14)*$H147</f>
        <v>0</v>
      </c>
      <c r="S147" s="20"/>
      <c r="T147" s="20">
        <f ca="1">OFFSET('Gas Supply Factors'!$B$14,$O147-1,T$14)*$L147+OFFSET('Gas Supply Factors'!$B$14,$K147-1,T$14)*$H147</f>
        <v>0</v>
      </c>
      <c r="U147" s="20"/>
      <c r="V147" s="20">
        <f ca="1">OFFSET('Gas Supply Factors'!$B$14,$O147-1,V$14)*$L147+OFFSET('Gas Supply Factors'!$B$14,$K147-1,V$14)*$H147</f>
        <v>0</v>
      </c>
      <c r="W147" s="20"/>
      <c r="X147" s="20">
        <f ca="1">OFFSET('Gas Supply Factors'!$B$14,$O147-1,X$14)*$L147+OFFSET('Gas Supply Factors'!$B$14,$K147-1,X$14)*$H147</f>
        <v>0</v>
      </c>
      <c r="Z147" s="20">
        <f ca="1">OFFSET('Gas Supply Factors'!$B$14,$O147-1,Z$14)*$L147+OFFSET('Gas Supply Factors'!$B$14,$K147-1,Z$14)*$H147</f>
        <v>0</v>
      </c>
      <c r="AB147" s="20">
        <f t="shared" ref="AB147:AB149" ca="1" si="46">P147+R147+V147+X147+Z147+T147</f>
        <v>0</v>
      </c>
      <c r="AD147" s="25" t="str">
        <f t="shared" ca="1" si="21"/>
        <v/>
      </c>
    </row>
    <row r="148" spans="2:30" ht="13" x14ac:dyDescent="0.3">
      <c r="B148" s="18">
        <f>B147+1</f>
        <v>91</v>
      </c>
      <c r="D148" s="35" t="s">
        <v>132</v>
      </c>
      <c r="F148" s="48">
        <f ca="1">Function!P148</f>
        <v>0</v>
      </c>
      <c r="H148" s="76"/>
      <c r="L148" s="48">
        <f t="shared" ca="1" si="37"/>
        <v>0</v>
      </c>
      <c r="O148" s="70">
        <f>_xlfn.IFNA(MATCH(N148,'Gas Supply Factors'!$B$14:$B$387,0),0)</f>
        <v>0</v>
      </c>
      <c r="P148" s="20">
        <f ca="1">OFFSET('Gas Supply Factors'!$B$14,$O148-1,P$14)*$L148+OFFSET('Gas Supply Factors'!$B$14,$K148-1,P$14)*$H148</f>
        <v>0</v>
      </c>
      <c r="R148" s="20">
        <f ca="1">OFFSET('Gas Supply Factors'!$B$14,$O148-1,R$14)*$L148+OFFSET('Gas Supply Factors'!$B$14,$K148-1,R$14)*$H148</f>
        <v>0</v>
      </c>
      <c r="S148" s="20"/>
      <c r="T148" s="20">
        <f ca="1">OFFSET('Gas Supply Factors'!$B$14,$O148-1,T$14)*$L148+OFFSET('Gas Supply Factors'!$B$14,$K148-1,T$14)*$H148</f>
        <v>0</v>
      </c>
      <c r="U148" s="20"/>
      <c r="V148" s="20">
        <f ca="1">OFFSET('Gas Supply Factors'!$B$14,$O148-1,V$14)*$L148+OFFSET('Gas Supply Factors'!$B$14,$K148-1,V$14)*$H148</f>
        <v>0</v>
      </c>
      <c r="W148" s="20"/>
      <c r="X148" s="20">
        <f ca="1">OFFSET('Gas Supply Factors'!$B$14,$O148-1,X$14)*$L148+OFFSET('Gas Supply Factors'!$B$14,$K148-1,X$14)*$H148</f>
        <v>0</v>
      </c>
      <c r="Z148" s="20">
        <f ca="1">OFFSET('Gas Supply Factors'!$B$14,$O148-1,Z$14)*$L148+OFFSET('Gas Supply Factors'!$B$14,$K148-1,Z$14)*$H148</f>
        <v>0</v>
      </c>
      <c r="AB148" s="20">
        <f t="shared" ca="1" si="46"/>
        <v>0</v>
      </c>
      <c r="AD148" s="25" t="str">
        <f t="shared" ca="1" si="21"/>
        <v/>
      </c>
    </row>
    <row r="149" spans="2:30" ht="13" x14ac:dyDescent="0.3">
      <c r="B149" s="18">
        <f t="shared" ref="B149" si="47">B148+1</f>
        <v>92</v>
      </c>
      <c r="D149" s="35" t="s">
        <v>133</v>
      </c>
      <c r="F149" s="48">
        <f ca="1">Function!P149</f>
        <v>0</v>
      </c>
      <c r="H149" s="76"/>
      <c r="L149" s="48">
        <f t="shared" ca="1" si="37"/>
        <v>0</v>
      </c>
      <c r="O149" s="70">
        <f>_xlfn.IFNA(MATCH(N149,'Gas Supply Factors'!$B$14:$B$387,0),0)</f>
        <v>0</v>
      </c>
      <c r="P149" s="20">
        <f ca="1">OFFSET('Gas Supply Factors'!$B$14,$O149-1,P$14)*$L149+OFFSET('Gas Supply Factors'!$B$14,$K149-1,P$14)*$H149</f>
        <v>0</v>
      </c>
      <c r="R149" s="20">
        <f ca="1">OFFSET('Gas Supply Factors'!$B$14,$O149-1,R$14)*$L149+OFFSET('Gas Supply Factors'!$B$14,$K149-1,R$14)*$H149</f>
        <v>0</v>
      </c>
      <c r="S149" s="20"/>
      <c r="T149" s="20">
        <f ca="1">OFFSET('Gas Supply Factors'!$B$14,$O149-1,T$14)*$L149+OFFSET('Gas Supply Factors'!$B$14,$K149-1,T$14)*$H149</f>
        <v>0</v>
      </c>
      <c r="U149" s="20"/>
      <c r="V149" s="20">
        <f ca="1">OFFSET('Gas Supply Factors'!$B$14,$O149-1,V$14)*$L149+OFFSET('Gas Supply Factors'!$B$14,$K149-1,V$14)*$H149</f>
        <v>0</v>
      </c>
      <c r="W149" s="20"/>
      <c r="X149" s="20">
        <f ca="1">OFFSET('Gas Supply Factors'!$B$14,$O149-1,X$14)*$L149+OFFSET('Gas Supply Factors'!$B$14,$K149-1,X$14)*$H149</f>
        <v>0</v>
      </c>
      <c r="Z149" s="20">
        <f ca="1">OFFSET('Gas Supply Factors'!$B$14,$O149-1,Z$14)*$L149+OFFSET('Gas Supply Factors'!$B$14,$K149-1,Z$14)*$H149</f>
        <v>0</v>
      </c>
      <c r="AB149" s="20">
        <f t="shared" ca="1" si="46"/>
        <v>0</v>
      </c>
      <c r="AD149" s="25" t="str">
        <f t="shared" ca="1" si="21"/>
        <v/>
      </c>
    </row>
    <row r="150" spans="2:30" ht="13" x14ac:dyDescent="0.3">
      <c r="D150" s="1" t="s">
        <v>134</v>
      </c>
      <c r="T150" s="20"/>
      <c r="AD150" s="25" t="str">
        <f t="shared" si="21"/>
        <v/>
      </c>
    </row>
    <row r="151" spans="2:30" ht="13" x14ac:dyDescent="0.3">
      <c r="B151" s="18">
        <f>B149+1</f>
        <v>93</v>
      </c>
      <c r="D151" s="35" t="s">
        <v>111</v>
      </c>
      <c r="F151" s="48">
        <f ca="1">Function!P151</f>
        <v>1295.4715209674002</v>
      </c>
      <c r="H151" s="76"/>
      <c r="L151" s="48">
        <f t="shared" ca="1" si="37"/>
        <v>1295.4715209674002</v>
      </c>
      <c r="N151" s="2" t="s">
        <v>186</v>
      </c>
      <c r="O151" s="70">
        <f>_xlfn.IFNA(MATCH(N151,'Gas Supply Factors'!$B$14:$B$387,0),0)</f>
        <v>1</v>
      </c>
      <c r="P151" s="20">
        <f ca="1">OFFSET('Gas Supply Factors'!$B$14,$O151-1,P$14)*$L151+OFFSET('Gas Supply Factors'!$B$14,$K151-1,P$14)*$H151</f>
        <v>0</v>
      </c>
      <c r="R151" s="20">
        <f ca="1">OFFSET('Gas Supply Factors'!$B$14,$O151-1,R$14)*$L151+OFFSET('Gas Supply Factors'!$B$14,$K151-1,R$14)*$H151</f>
        <v>0</v>
      </c>
      <c r="S151" s="20"/>
      <c r="T151" s="20">
        <f ca="1">OFFSET('Gas Supply Factors'!$B$14,$O151-1,T$14)*$L151+OFFSET('Gas Supply Factors'!$B$14,$K151-1,T$14)*$H151</f>
        <v>0</v>
      </c>
      <c r="U151" s="20"/>
      <c r="V151" s="20">
        <f ca="1">OFFSET('Gas Supply Factors'!$B$14,$O151-1,V$14)*$L151+OFFSET('Gas Supply Factors'!$B$14,$K151-1,V$14)*$H151</f>
        <v>0</v>
      </c>
      <c r="W151" s="20"/>
      <c r="X151" s="20">
        <f ca="1">OFFSET('Gas Supply Factors'!$B$14,$O151-1,X$14)*$L151+OFFSET('Gas Supply Factors'!$B$14,$K151-1,X$14)*$H151</f>
        <v>0</v>
      </c>
      <c r="Z151" s="20">
        <f ca="1">OFFSET('Gas Supply Factors'!$B$14,$O151-1,Z$14)*$L151+OFFSET('Gas Supply Factors'!$B$14,$K151-1,Z$14)*$H151</f>
        <v>1295.4715209674002</v>
      </c>
      <c r="AB151" s="20">
        <f t="shared" ref="AB151:AB157" ca="1" si="48">P151+R151+V151+X151+Z151+T151</f>
        <v>1295.4715209674002</v>
      </c>
      <c r="AD151" s="25" t="str">
        <f t="shared" ca="1" si="21"/>
        <v/>
      </c>
    </row>
    <row r="152" spans="2:30" ht="13" x14ac:dyDescent="0.3">
      <c r="B152" s="18">
        <f>B151+1</f>
        <v>94</v>
      </c>
      <c r="D152" s="35" t="s">
        <v>136</v>
      </c>
      <c r="F152" s="48">
        <f ca="1">Function!P152</f>
        <v>0</v>
      </c>
      <c r="H152" s="76"/>
      <c r="L152" s="48">
        <f t="shared" ca="1" si="37"/>
        <v>0</v>
      </c>
      <c r="O152" s="70">
        <f>_xlfn.IFNA(MATCH(N152,'Gas Supply Factors'!$B$14:$B$387,0),0)</f>
        <v>0</v>
      </c>
      <c r="P152" s="20">
        <f ca="1">OFFSET('Gas Supply Factors'!$B$14,$O152-1,P$14)*$L152+OFFSET('Gas Supply Factors'!$B$14,$K152-1,P$14)*$H152</f>
        <v>0</v>
      </c>
      <c r="R152" s="20">
        <f ca="1">OFFSET('Gas Supply Factors'!$B$14,$O152-1,R$14)*$L152+OFFSET('Gas Supply Factors'!$B$14,$K152-1,R$14)*$H152</f>
        <v>0</v>
      </c>
      <c r="S152" s="20"/>
      <c r="T152" s="20">
        <f ca="1">OFFSET('Gas Supply Factors'!$B$14,$O152-1,T$14)*$L152+OFFSET('Gas Supply Factors'!$B$14,$K152-1,T$14)*$H152</f>
        <v>0</v>
      </c>
      <c r="U152" s="20"/>
      <c r="V152" s="20">
        <f ca="1">OFFSET('Gas Supply Factors'!$B$14,$O152-1,V$14)*$L152+OFFSET('Gas Supply Factors'!$B$14,$K152-1,V$14)*$H152</f>
        <v>0</v>
      </c>
      <c r="W152" s="20"/>
      <c r="X152" s="20">
        <f ca="1">OFFSET('Gas Supply Factors'!$B$14,$O152-1,X$14)*$L152+OFFSET('Gas Supply Factors'!$B$14,$K152-1,X$14)*$H152</f>
        <v>0</v>
      </c>
      <c r="Z152" s="20">
        <f ca="1">OFFSET('Gas Supply Factors'!$B$14,$O152-1,Z$14)*$L152+OFFSET('Gas Supply Factors'!$B$14,$K152-1,Z$14)*$H152</f>
        <v>0</v>
      </c>
      <c r="AB152" s="20">
        <f t="shared" ca="1" si="48"/>
        <v>0</v>
      </c>
      <c r="AD152" s="25" t="str">
        <f t="shared" ca="1" si="21"/>
        <v/>
      </c>
    </row>
    <row r="153" spans="2:30" ht="13" x14ac:dyDescent="0.3">
      <c r="B153" s="18">
        <f>B152+1</f>
        <v>95</v>
      </c>
      <c r="D153" s="35" t="s">
        <v>137</v>
      </c>
      <c r="F153" s="48">
        <f ca="1">Function!P153</f>
        <v>0</v>
      </c>
      <c r="H153" s="76"/>
      <c r="L153" s="48">
        <f t="shared" ca="1" si="37"/>
        <v>0</v>
      </c>
      <c r="O153" s="70">
        <f>_xlfn.IFNA(MATCH(N153,'Gas Supply Factors'!$B$14:$B$387,0),0)</f>
        <v>0</v>
      </c>
      <c r="P153" s="20">
        <f ca="1">OFFSET('Gas Supply Factors'!$B$14,$O153-1,P$14)*$L153+OFFSET('Gas Supply Factors'!$B$14,$K153-1,P$14)*$H153</f>
        <v>0</v>
      </c>
      <c r="R153" s="20">
        <f ca="1">OFFSET('Gas Supply Factors'!$B$14,$O153-1,R$14)*$L153+OFFSET('Gas Supply Factors'!$B$14,$K153-1,R$14)*$H153</f>
        <v>0</v>
      </c>
      <c r="S153" s="20"/>
      <c r="T153" s="20">
        <f ca="1">OFFSET('Gas Supply Factors'!$B$14,$O153-1,T$14)*$L153+OFFSET('Gas Supply Factors'!$B$14,$K153-1,T$14)*$H153</f>
        <v>0</v>
      </c>
      <c r="U153" s="20"/>
      <c r="V153" s="20">
        <f ca="1">OFFSET('Gas Supply Factors'!$B$14,$O153-1,V$14)*$L153+OFFSET('Gas Supply Factors'!$B$14,$K153-1,V$14)*$H153</f>
        <v>0</v>
      </c>
      <c r="W153" s="20"/>
      <c r="X153" s="20">
        <f ca="1">OFFSET('Gas Supply Factors'!$B$14,$O153-1,X$14)*$L153+OFFSET('Gas Supply Factors'!$B$14,$K153-1,X$14)*$H153</f>
        <v>0</v>
      </c>
      <c r="Z153" s="20">
        <f ca="1">OFFSET('Gas Supply Factors'!$B$14,$O153-1,Z$14)*$L153+OFFSET('Gas Supply Factors'!$B$14,$K153-1,Z$14)*$H153</f>
        <v>0</v>
      </c>
      <c r="AB153" s="20">
        <f t="shared" ca="1" si="48"/>
        <v>0</v>
      </c>
      <c r="AD153" s="25" t="str">
        <f t="shared" ref="AD153:AD180" ca="1" si="49">IF(ROUND(F153,4)=ROUND(AB153,4), "", "check")</f>
        <v/>
      </c>
    </row>
    <row r="154" spans="2:30" ht="13" x14ac:dyDescent="0.3">
      <c r="B154" s="18">
        <f t="shared" ref="B154:B157" si="50">B153+1</f>
        <v>96</v>
      </c>
      <c r="D154" s="35" t="s">
        <v>138</v>
      </c>
      <c r="F154" s="48">
        <f ca="1">Function!P154</f>
        <v>0</v>
      </c>
      <c r="H154" s="76"/>
      <c r="L154" s="48">
        <f t="shared" ca="1" si="37"/>
        <v>0</v>
      </c>
      <c r="O154" s="70">
        <f>_xlfn.IFNA(MATCH(N154,'Gas Supply Factors'!$B$14:$B$387,0),0)</f>
        <v>0</v>
      </c>
      <c r="P154" s="20">
        <f ca="1">OFFSET('Gas Supply Factors'!$B$14,$O154-1,P$14)*$L154+OFFSET('Gas Supply Factors'!$B$14,$K154-1,P$14)*$H154</f>
        <v>0</v>
      </c>
      <c r="R154" s="20">
        <f ca="1">OFFSET('Gas Supply Factors'!$B$14,$O154-1,R$14)*$L154+OFFSET('Gas Supply Factors'!$B$14,$K154-1,R$14)*$H154</f>
        <v>0</v>
      </c>
      <c r="S154" s="20"/>
      <c r="T154" s="20">
        <f ca="1">OFFSET('Gas Supply Factors'!$B$14,$O154-1,T$14)*$L154+OFFSET('Gas Supply Factors'!$B$14,$K154-1,T$14)*$H154</f>
        <v>0</v>
      </c>
      <c r="U154" s="20"/>
      <c r="V154" s="20">
        <f ca="1">OFFSET('Gas Supply Factors'!$B$14,$O154-1,V$14)*$L154+OFFSET('Gas Supply Factors'!$B$14,$K154-1,V$14)*$H154</f>
        <v>0</v>
      </c>
      <c r="W154" s="20"/>
      <c r="X154" s="20">
        <f ca="1">OFFSET('Gas Supply Factors'!$B$14,$O154-1,X$14)*$L154+OFFSET('Gas Supply Factors'!$B$14,$K154-1,X$14)*$H154</f>
        <v>0</v>
      </c>
      <c r="Z154" s="20">
        <f ca="1">OFFSET('Gas Supply Factors'!$B$14,$O154-1,Z$14)*$L154+OFFSET('Gas Supply Factors'!$B$14,$K154-1,Z$14)*$H154</f>
        <v>0</v>
      </c>
      <c r="AB154" s="20">
        <f t="shared" ca="1" si="48"/>
        <v>0</v>
      </c>
      <c r="AD154" s="25" t="str">
        <f t="shared" ca="1" si="49"/>
        <v/>
      </c>
    </row>
    <row r="155" spans="2:30" ht="13" x14ac:dyDescent="0.3">
      <c r="B155" s="18">
        <f t="shared" si="50"/>
        <v>97</v>
      </c>
      <c r="D155" s="35" t="s">
        <v>139</v>
      </c>
      <c r="F155" s="48">
        <f ca="1">Function!P155</f>
        <v>0</v>
      </c>
      <c r="H155" s="76"/>
      <c r="L155" s="48">
        <f t="shared" ca="1" si="37"/>
        <v>0</v>
      </c>
      <c r="O155" s="70">
        <f>_xlfn.IFNA(MATCH(N155,'Gas Supply Factors'!$B$14:$B$387,0),0)</f>
        <v>0</v>
      </c>
      <c r="P155" s="20">
        <f ca="1">OFFSET('Gas Supply Factors'!$B$14,$O155-1,P$14)*$L155+OFFSET('Gas Supply Factors'!$B$14,$K155-1,P$14)*$H155</f>
        <v>0</v>
      </c>
      <c r="R155" s="20">
        <f ca="1">OFFSET('Gas Supply Factors'!$B$14,$O155-1,R$14)*$L155+OFFSET('Gas Supply Factors'!$B$14,$K155-1,R$14)*$H155</f>
        <v>0</v>
      </c>
      <c r="S155" s="20"/>
      <c r="T155" s="20">
        <f ca="1">OFFSET('Gas Supply Factors'!$B$14,$O155-1,T$14)*$L155+OFFSET('Gas Supply Factors'!$B$14,$K155-1,T$14)*$H155</f>
        <v>0</v>
      </c>
      <c r="U155" s="20"/>
      <c r="V155" s="20">
        <f ca="1">OFFSET('Gas Supply Factors'!$B$14,$O155-1,V$14)*$L155+OFFSET('Gas Supply Factors'!$B$14,$K155-1,V$14)*$H155</f>
        <v>0</v>
      </c>
      <c r="W155" s="20"/>
      <c r="X155" s="20">
        <f ca="1">OFFSET('Gas Supply Factors'!$B$14,$O155-1,X$14)*$L155+OFFSET('Gas Supply Factors'!$B$14,$K155-1,X$14)*$H155</f>
        <v>0</v>
      </c>
      <c r="Z155" s="20">
        <f ca="1">OFFSET('Gas Supply Factors'!$B$14,$O155-1,Z$14)*$L155+OFFSET('Gas Supply Factors'!$B$14,$K155-1,Z$14)*$H155</f>
        <v>0</v>
      </c>
      <c r="AB155" s="20">
        <f t="shared" ca="1" si="48"/>
        <v>0</v>
      </c>
      <c r="AD155" s="25" t="str">
        <f t="shared" ca="1" si="49"/>
        <v/>
      </c>
    </row>
    <row r="156" spans="2:30" ht="13" x14ac:dyDescent="0.3">
      <c r="B156" s="18">
        <f t="shared" si="50"/>
        <v>98</v>
      </c>
      <c r="D156" s="35" t="s">
        <v>140</v>
      </c>
      <c r="F156" s="48">
        <f ca="1">Function!P156</f>
        <v>0</v>
      </c>
      <c r="H156" s="76"/>
      <c r="L156" s="48">
        <f t="shared" ca="1" si="37"/>
        <v>0</v>
      </c>
      <c r="O156" s="70">
        <f>_xlfn.IFNA(MATCH(N156,'Gas Supply Factors'!$B$14:$B$387,0),0)</f>
        <v>0</v>
      </c>
      <c r="P156" s="20">
        <f ca="1">OFFSET('Gas Supply Factors'!$B$14,$O156-1,P$14)*$L156+OFFSET('Gas Supply Factors'!$B$14,$K156-1,P$14)*$H156</f>
        <v>0</v>
      </c>
      <c r="R156" s="20">
        <f ca="1">OFFSET('Gas Supply Factors'!$B$14,$O156-1,R$14)*$L156+OFFSET('Gas Supply Factors'!$B$14,$K156-1,R$14)*$H156</f>
        <v>0</v>
      </c>
      <c r="S156" s="20"/>
      <c r="T156" s="20">
        <f ca="1">OFFSET('Gas Supply Factors'!$B$14,$O156-1,T$14)*$L156+OFFSET('Gas Supply Factors'!$B$14,$K156-1,T$14)*$H156</f>
        <v>0</v>
      </c>
      <c r="U156" s="20"/>
      <c r="V156" s="20">
        <f ca="1">OFFSET('Gas Supply Factors'!$B$14,$O156-1,V$14)*$L156+OFFSET('Gas Supply Factors'!$B$14,$K156-1,V$14)*$H156</f>
        <v>0</v>
      </c>
      <c r="W156" s="20"/>
      <c r="X156" s="20">
        <f ca="1">OFFSET('Gas Supply Factors'!$B$14,$O156-1,X$14)*$L156+OFFSET('Gas Supply Factors'!$B$14,$K156-1,X$14)*$H156</f>
        <v>0</v>
      </c>
      <c r="Z156" s="20">
        <f ca="1">OFFSET('Gas Supply Factors'!$B$14,$O156-1,Z$14)*$L156+OFFSET('Gas Supply Factors'!$B$14,$K156-1,Z$14)*$H156</f>
        <v>0</v>
      </c>
      <c r="AB156" s="20">
        <f t="shared" ca="1" si="48"/>
        <v>0</v>
      </c>
      <c r="AD156" s="25" t="str">
        <f t="shared" ca="1" si="49"/>
        <v/>
      </c>
    </row>
    <row r="157" spans="2:30" ht="13" x14ac:dyDescent="0.3">
      <c r="B157" s="18">
        <f t="shared" si="50"/>
        <v>99</v>
      </c>
      <c r="D157" s="35" t="s">
        <v>141</v>
      </c>
      <c r="F157" s="48">
        <f ca="1">Function!P157</f>
        <v>10151.221525209376</v>
      </c>
      <c r="H157" s="76"/>
      <c r="L157" s="48">
        <f t="shared" ca="1" si="37"/>
        <v>10151.221525209376</v>
      </c>
      <c r="N157" s="2" t="s">
        <v>186</v>
      </c>
      <c r="O157" s="70">
        <f>_xlfn.IFNA(MATCH(N157,'Gas Supply Factors'!$B$14:$B$387,0),0)</f>
        <v>1</v>
      </c>
      <c r="P157" s="20">
        <f ca="1">OFFSET('Gas Supply Factors'!$B$14,$O157-1,P$14)*$L157+OFFSET('Gas Supply Factors'!$B$14,$K157-1,P$14)*$H157</f>
        <v>0</v>
      </c>
      <c r="R157" s="20">
        <f ca="1">OFFSET('Gas Supply Factors'!$B$14,$O157-1,R$14)*$L157+OFFSET('Gas Supply Factors'!$B$14,$K157-1,R$14)*$H157</f>
        <v>0</v>
      </c>
      <c r="S157" s="20"/>
      <c r="T157" s="20">
        <f ca="1">OFFSET('Gas Supply Factors'!$B$14,$O157-1,T$14)*$L157+OFFSET('Gas Supply Factors'!$B$14,$K157-1,T$14)*$H157</f>
        <v>0</v>
      </c>
      <c r="U157" s="20"/>
      <c r="V157" s="20">
        <f ca="1">OFFSET('Gas Supply Factors'!$B$14,$O157-1,V$14)*$L157+OFFSET('Gas Supply Factors'!$B$14,$K157-1,V$14)*$H157</f>
        <v>0</v>
      </c>
      <c r="W157" s="20"/>
      <c r="X157" s="20">
        <f ca="1">OFFSET('Gas Supply Factors'!$B$14,$O157-1,X$14)*$L157+OFFSET('Gas Supply Factors'!$B$14,$K157-1,X$14)*$H157</f>
        <v>0</v>
      </c>
      <c r="Z157" s="20">
        <f ca="1">OFFSET('Gas Supply Factors'!$B$14,$O157-1,Z$14)*$L157+OFFSET('Gas Supply Factors'!$B$14,$K157-1,Z$14)*$H157</f>
        <v>10151.221525209376</v>
      </c>
      <c r="AB157" s="20">
        <f t="shared" ca="1" si="48"/>
        <v>10151.221525209376</v>
      </c>
      <c r="AD157" s="25" t="str">
        <f t="shared" ca="1" si="49"/>
        <v/>
      </c>
    </row>
    <row r="158" spans="2:30" ht="13" x14ac:dyDescent="0.3">
      <c r="D158" s="1" t="s">
        <v>143</v>
      </c>
      <c r="T158" s="20"/>
      <c r="AD158" s="25" t="str">
        <f t="shared" si="49"/>
        <v/>
      </c>
    </row>
    <row r="159" spans="2:30" ht="13" x14ac:dyDescent="0.3">
      <c r="B159" s="18">
        <f>B157+1</f>
        <v>100</v>
      </c>
      <c r="D159" s="35" t="s">
        <v>144</v>
      </c>
      <c r="F159" s="48">
        <f ca="1">Function!P159</f>
        <v>2104.1517941099964</v>
      </c>
      <c r="H159" s="76"/>
      <c r="L159" s="48">
        <f t="shared" ca="1" si="37"/>
        <v>2104.1517941099964</v>
      </c>
      <c r="N159" s="2" t="s">
        <v>186</v>
      </c>
      <c r="O159" s="70">
        <f>_xlfn.IFNA(MATCH(N159,'Gas Supply Factors'!$B$14:$B$387,0),0)</f>
        <v>1</v>
      </c>
      <c r="P159" s="20">
        <f ca="1">OFFSET('Gas Supply Factors'!$B$14,$O159-1,P$14)*$L159+OFFSET('Gas Supply Factors'!$B$14,$K159-1,P$14)*$H159</f>
        <v>0</v>
      </c>
      <c r="R159" s="20">
        <f ca="1">OFFSET('Gas Supply Factors'!$B$14,$O159-1,R$14)*$L159+OFFSET('Gas Supply Factors'!$B$14,$K159-1,R$14)*$H159</f>
        <v>0</v>
      </c>
      <c r="S159" s="20"/>
      <c r="T159" s="20">
        <f ca="1">OFFSET('Gas Supply Factors'!$B$14,$O159-1,T$14)*$L159+OFFSET('Gas Supply Factors'!$B$14,$K159-1,T$14)*$H159</f>
        <v>0</v>
      </c>
      <c r="U159" s="20"/>
      <c r="V159" s="20">
        <f ca="1">OFFSET('Gas Supply Factors'!$B$14,$O159-1,V$14)*$L159+OFFSET('Gas Supply Factors'!$B$14,$K159-1,V$14)*$H159</f>
        <v>0</v>
      </c>
      <c r="W159" s="20"/>
      <c r="X159" s="20">
        <f ca="1">OFFSET('Gas Supply Factors'!$B$14,$O159-1,X$14)*$L159+OFFSET('Gas Supply Factors'!$B$14,$K159-1,X$14)*$H159</f>
        <v>0</v>
      </c>
      <c r="Z159" s="20">
        <f ca="1">OFFSET('Gas Supply Factors'!$B$14,$O159-1,Z$14)*$L159+OFFSET('Gas Supply Factors'!$B$14,$K159-1,Z$14)*$H159</f>
        <v>2104.1517941099964</v>
      </c>
      <c r="AB159" s="20">
        <f t="shared" ref="AB159:AB160" ca="1" si="51">P159+R159+V159+X159+Z159+T159</f>
        <v>2104.1517941099964</v>
      </c>
      <c r="AD159" s="25" t="str">
        <f t="shared" ca="1" si="49"/>
        <v/>
      </c>
    </row>
    <row r="160" spans="2:30" ht="13" x14ac:dyDescent="0.3">
      <c r="B160" s="18">
        <f>B159+1</f>
        <v>101</v>
      </c>
      <c r="D160" s="35" t="s">
        <v>147</v>
      </c>
      <c r="F160" s="48">
        <f ca="1">Function!P160</f>
        <v>4758.6044086021757</v>
      </c>
      <c r="H160" s="37"/>
      <c r="L160" s="48">
        <f t="shared" ca="1" si="37"/>
        <v>4758.6044086021757</v>
      </c>
      <c r="N160" s="2" t="s">
        <v>186</v>
      </c>
      <c r="O160" s="70">
        <f>_xlfn.IFNA(MATCH(N160,'Gas Supply Factors'!$B$14:$B$387,0),0)</f>
        <v>1</v>
      </c>
      <c r="P160" s="20">
        <f ca="1">OFFSET('Gas Supply Factors'!$B$14,$O160-1,P$14)*$L160+OFFSET('Gas Supply Factors'!$B$14,$K160-1,P$14)*$H160</f>
        <v>0</v>
      </c>
      <c r="R160" s="20">
        <f ca="1">OFFSET('Gas Supply Factors'!$B$14,$O160-1,R$14)*$L160+OFFSET('Gas Supply Factors'!$B$14,$K160-1,R$14)*$H160</f>
        <v>0</v>
      </c>
      <c r="S160" s="20"/>
      <c r="T160" s="20">
        <f ca="1">OFFSET('Gas Supply Factors'!$B$14,$O160-1,T$14)*$L160+OFFSET('Gas Supply Factors'!$B$14,$K160-1,T$14)*$H160</f>
        <v>0</v>
      </c>
      <c r="U160" s="20"/>
      <c r="V160" s="20">
        <f ca="1">OFFSET('Gas Supply Factors'!$B$14,$O160-1,V$14)*$L160+OFFSET('Gas Supply Factors'!$B$14,$K160-1,V$14)*$H160</f>
        <v>0</v>
      </c>
      <c r="W160" s="20"/>
      <c r="X160" s="20">
        <f ca="1">OFFSET('Gas Supply Factors'!$B$14,$O160-1,X$14)*$L160+OFFSET('Gas Supply Factors'!$B$14,$K160-1,X$14)*$H160</f>
        <v>0</v>
      </c>
      <c r="Z160" s="20">
        <f ca="1">OFFSET('Gas Supply Factors'!$B$14,$O160-1,Z$14)*$L160+OFFSET('Gas Supply Factors'!$B$14,$K160-1,Z$14)*$H160</f>
        <v>4758.6044086021757</v>
      </c>
      <c r="AB160" s="22">
        <f t="shared" ca="1" si="51"/>
        <v>4758.6044086021757</v>
      </c>
      <c r="AD160" s="25" t="str">
        <f t="shared" ca="1" si="49"/>
        <v/>
      </c>
    </row>
    <row r="161" spans="2:30" ht="13" x14ac:dyDescent="0.3">
      <c r="U161" s="20"/>
      <c r="W161" s="20"/>
      <c r="AD161" s="25" t="str">
        <f t="shared" si="49"/>
        <v/>
      </c>
    </row>
    <row r="162" spans="2:30" ht="13" x14ac:dyDescent="0.3">
      <c r="B162" s="18">
        <f>B160+1</f>
        <v>102</v>
      </c>
      <c r="D162" s="1" t="s">
        <v>150</v>
      </c>
      <c r="F162" s="78">
        <f ca="1">SUM(F115:F160)</f>
        <v>2268393.9371493408</v>
      </c>
      <c r="H162" s="78">
        <f>SUM(H115:H160)</f>
        <v>0</v>
      </c>
      <c r="L162" s="78">
        <f ca="1">SUM(L115:L160)</f>
        <v>2268393.9371493408</v>
      </c>
      <c r="P162" s="11">
        <f ca="1">SUM(P115:P160)</f>
        <v>1878311.1040714213</v>
      </c>
      <c r="R162" s="11">
        <f ca="1">SUM(R115:R160)</f>
        <v>161486.41315728414</v>
      </c>
      <c r="S162" s="13"/>
      <c r="T162" s="11">
        <f ca="1">SUM(T115:T160)</f>
        <v>40328.527901042762</v>
      </c>
      <c r="U162" s="20"/>
      <c r="V162" s="11">
        <f ca="1">SUM(V115:V160)</f>
        <v>152523.42553920622</v>
      </c>
      <c r="W162" s="20"/>
      <c r="X162" s="11">
        <f ca="1">SUM(X115:X160)</f>
        <v>14888.543237034275</v>
      </c>
      <c r="Z162" s="11">
        <f ca="1">SUM(Z115:Z160)</f>
        <v>20855.923243351954</v>
      </c>
      <c r="AB162" s="11">
        <f ca="1">SUM(AB115:AB160)</f>
        <v>2268393.9371493408</v>
      </c>
      <c r="AD162" s="25" t="str">
        <f t="shared" ca="1" si="49"/>
        <v/>
      </c>
    </row>
    <row r="163" spans="2:30" ht="13" x14ac:dyDescent="0.3">
      <c r="U163" s="20"/>
      <c r="W163" s="20"/>
      <c r="AD163" s="25" t="str">
        <f t="shared" si="49"/>
        <v/>
      </c>
    </row>
    <row r="164" spans="2:30" ht="13.5" thickBot="1" x14ac:dyDescent="0.35">
      <c r="B164" s="18">
        <f>B162+1</f>
        <v>103</v>
      </c>
      <c r="D164" s="1" t="s">
        <v>151</v>
      </c>
      <c r="F164" s="80">
        <f ca="1">F162+F104+F109+F108+F97</f>
        <v>2268393.9371493408</v>
      </c>
      <c r="H164" s="80">
        <f>H162+H104+H109+H108+H97</f>
        <v>0</v>
      </c>
      <c r="L164" s="80">
        <f ca="1">L162+L104+L109+L108+L97</f>
        <v>2268393.9371493408</v>
      </c>
      <c r="P164" s="34">
        <f ca="1">P162+P104+P109+P108+P97</f>
        <v>1878311.1040714213</v>
      </c>
      <c r="R164" s="34">
        <f ca="1">R162+R104+R109+R108+R97</f>
        <v>161486.41315728414</v>
      </c>
      <c r="S164" s="8"/>
      <c r="T164" s="34">
        <f ca="1">T162+T104+T109+T108+T97</f>
        <v>40328.527901042762</v>
      </c>
      <c r="U164" s="20"/>
      <c r="V164" s="34">
        <f ca="1">V162+V104+V109+V108+V97</f>
        <v>152523.42553920622</v>
      </c>
      <c r="W164" s="20"/>
      <c r="X164" s="34">
        <f ca="1">X162+X104+X109+X108+X97</f>
        <v>14888.543237034275</v>
      </c>
      <c r="Z164" s="34">
        <f ca="1">Z162+Z104+Z109+Z108+Z97</f>
        <v>20855.923243351954</v>
      </c>
      <c r="AB164" s="34">
        <f ca="1">AB162+AB104+AB109+AB108+AB97</f>
        <v>2268393.9371493408</v>
      </c>
      <c r="AD164" s="25" t="str">
        <f t="shared" ca="1" si="49"/>
        <v/>
      </c>
    </row>
    <row r="165" spans="2:30" ht="13.5" thickTop="1" x14ac:dyDescent="0.3">
      <c r="F165" s="48"/>
      <c r="H165" s="48"/>
      <c r="L165" s="48"/>
      <c r="P165" s="21"/>
      <c r="R165" s="21"/>
      <c r="T165" s="21"/>
      <c r="U165" s="20"/>
      <c r="V165" s="21"/>
      <c r="W165" s="20"/>
      <c r="X165" s="21"/>
      <c r="Z165" s="21"/>
      <c r="AB165" s="21"/>
      <c r="AD165" s="25" t="str">
        <f t="shared" si="49"/>
        <v/>
      </c>
    </row>
    <row r="166" spans="2:30" ht="13" x14ac:dyDescent="0.3">
      <c r="F166" s="48"/>
      <c r="H166" s="48"/>
      <c r="L166" s="48"/>
      <c r="U166" s="20"/>
      <c r="W166" s="20"/>
      <c r="AD166" s="25" t="str">
        <f t="shared" si="49"/>
        <v/>
      </c>
    </row>
    <row r="167" spans="2:30" ht="13" x14ac:dyDescent="0.3">
      <c r="F167" s="48"/>
      <c r="H167" s="48"/>
      <c r="L167" s="48"/>
      <c r="U167" s="20"/>
      <c r="W167" s="20"/>
      <c r="AD167" s="25" t="str">
        <f t="shared" si="49"/>
        <v/>
      </c>
    </row>
    <row r="168" spans="2:30" ht="13" x14ac:dyDescent="0.3">
      <c r="D168" s="6" t="s">
        <v>152</v>
      </c>
      <c r="U168" s="20"/>
      <c r="W168" s="20"/>
      <c r="AD168" s="25" t="str">
        <f t="shared" si="49"/>
        <v/>
      </c>
    </row>
    <row r="169" spans="2:30" ht="13" x14ac:dyDescent="0.3">
      <c r="D169" s="6"/>
      <c r="F169" s="48"/>
      <c r="H169" s="76"/>
      <c r="L169" s="48"/>
      <c r="N169" s="2"/>
      <c r="O169" s="70"/>
      <c r="P169" s="20"/>
      <c r="R169" s="20"/>
      <c r="S169" s="20"/>
      <c r="T169" s="20"/>
      <c r="U169" s="20"/>
      <c r="V169" s="20"/>
      <c r="W169" s="20"/>
      <c r="X169" s="20"/>
      <c r="Z169" s="20"/>
      <c r="AB169" s="20"/>
      <c r="AD169" s="25" t="str">
        <f t="shared" si="49"/>
        <v/>
      </c>
    </row>
    <row r="170" spans="2:30" ht="13" x14ac:dyDescent="0.3">
      <c r="B170" s="18">
        <f>B164+1</f>
        <v>104</v>
      </c>
      <c r="D170" s="1" t="s">
        <v>153</v>
      </c>
      <c r="F170" s="48">
        <f ca="1">Function!P170</f>
        <v>2942.6114096800702</v>
      </c>
      <c r="H170" s="76"/>
      <c r="L170" s="48">
        <f t="shared" ref="L170:L176" ca="1" si="52">F170-H170</f>
        <v>2942.6114096800702</v>
      </c>
      <c r="N170" s="2" t="s">
        <v>186</v>
      </c>
      <c r="O170" s="70">
        <f>_xlfn.IFNA(MATCH(N170,'Gas Supply Factors'!$B$14:$B$387,0),0)</f>
        <v>1</v>
      </c>
      <c r="P170" s="20">
        <f ca="1">OFFSET('Gas Supply Factors'!$B$14,$O170-1,P$14)*$L170+OFFSET('Gas Supply Factors'!$B$14,$K170-1,P$14)*$H170</f>
        <v>0</v>
      </c>
      <c r="R170" s="20">
        <f ca="1">OFFSET('Gas Supply Factors'!$B$14,$O170-1,R$14)*$L170+OFFSET('Gas Supply Factors'!$B$14,$K170-1,R$14)*$H170</f>
        <v>0</v>
      </c>
      <c r="S170" s="20"/>
      <c r="T170" s="20">
        <f ca="1">OFFSET('Gas Supply Factors'!$B$14,$O170-1,T$14)*$L170+OFFSET('Gas Supply Factors'!$B$14,$K170-1,T$14)*$H170</f>
        <v>0</v>
      </c>
      <c r="U170" s="20"/>
      <c r="V170" s="20">
        <f ca="1">OFFSET('Gas Supply Factors'!$B$14,$O170-1,V$14)*$L170+OFFSET('Gas Supply Factors'!$B$14,$K170-1,V$14)*$H170</f>
        <v>0</v>
      </c>
      <c r="W170" s="20"/>
      <c r="X170" s="20">
        <f ca="1">OFFSET('Gas Supply Factors'!$B$14,$O170-1,X$14)*$L170+OFFSET('Gas Supply Factors'!$B$14,$K170-1,X$14)*$H170</f>
        <v>0</v>
      </c>
      <c r="Z170" s="20">
        <f ca="1">OFFSET('Gas Supply Factors'!$B$14,$O170-1,Z$14)*$L170+OFFSET('Gas Supply Factors'!$B$14,$K170-1,Z$14)*$H170</f>
        <v>2942.6114096800702</v>
      </c>
      <c r="AB170" s="20">
        <f t="shared" ref="AB170:AB176" ca="1" si="53">P170+R170+V170+X170+Z170+T170</f>
        <v>2942.6114096800702</v>
      </c>
      <c r="AD170" s="25" t="str">
        <f t="shared" ca="1" si="49"/>
        <v/>
      </c>
    </row>
    <row r="171" spans="2:30" ht="13" x14ac:dyDescent="0.3">
      <c r="B171" s="18">
        <f t="shared" ref="B171:B176" si="54">B170+1</f>
        <v>105</v>
      </c>
      <c r="D171" s="1" t="s">
        <v>154</v>
      </c>
      <c r="F171" s="48">
        <f ca="1">Function!P171</f>
        <v>2421.6385455058507</v>
      </c>
      <c r="H171" s="76"/>
      <c r="J171" s="2"/>
      <c r="L171" s="48">
        <f t="shared" ca="1" si="52"/>
        <v>2421.6385455058507</v>
      </c>
      <c r="N171" s="2" t="s">
        <v>186</v>
      </c>
      <c r="O171" s="70">
        <f>_xlfn.IFNA(MATCH(N171,'Gas Supply Factors'!$B$14:$B$387,0),0)</f>
        <v>1</v>
      </c>
      <c r="P171" s="20">
        <f ca="1">OFFSET('Gas Supply Factors'!$B$14,$O171-1,P$14)*$L171+OFFSET('Gas Supply Factors'!$B$14,$K171-1,P$14)*$H171</f>
        <v>0</v>
      </c>
      <c r="R171" s="20">
        <f ca="1">OFFSET('Gas Supply Factors'!$B$14,$O171-1,R$14)*$L171+OFFSET('Gas Supply Factors'!$B$14,$K171-1,R$14)*$H171</f>
        <v>0</v>
      </c>
      <c r="S171" s="20"/>
      <c r="T171" s="20">
        <f ca="1">OFFSET('Gas Supply Factors'!$B$14,$O171-1,T$14)*$L171+OFFSET('Gas Supply Factors'!$B$14,$K171-1,T$14)*$H171</f>
        <v>0</v>
      </c>
      <c r="U171" s="20"/>
      <c r="V171" s="20">
        <f ca="1">OFFSET('Gas Supply Factors'!$B$14,$O171-1,V$14)*$L171+OFFSET('Gas Supply Factors'!$B$14,$K171-1,V$14)*$H171</f>
        <v>0</v>
      </c>
      <c r="W171" s="20"/>
      <c r="X171" s="20">
        <f ca="1">OFFSET('Gas Supply Factors'!$B$14,$O171-1,X$14)*$L171+OFFSET('Gas Supply Factors'!$B$14,$K171-1,X$14)*$H171</f>
        <v>0</v>
      </c>
      <c r="Z171" s="20">
        <f ca="1">OFFSET('Gas Supply Factors'!$B$14,$O171-1,Z$14)*$L171+OFFSET('Gas Supply Factors'!$B$14,$K171-1,Z$14)*$H171</f>
        <v>2421.6385455058507</v>
      </c>
      <c r="AB171" s="20">
        <f t="shared" ca="1" si="53"/>
        <v>2421.6385455058507</v>
      </c>
      <c r="AD171" s="25" t="str">
        <f t="shared" ca="1" si="49"/>
        <v/>
      </c>
    </row>
    <row r="172" spans="2:30" ht="13" x14ac:dyDescent="0.3">
      <c r="B172" s="18">
        <f t="shared" si="54"/>
        <v>106</v>
      </c>
      <c r="D172" s="1" t="s">
        <v>155</v>
      </c>
      <c r="F172" s="48">
        <f ca="1">Function!P172</f>
        <v>15336.5926054518</v>
      </c>
      <c r="H172" s="76"/>
      <c r="J172" s="2"/>
      <c r="L172" s="48">
        <f t="shared" ca="1" si="52"/>
        <v>15336.5926054518</v>
      </c>
      <c r="N172" s="2" t="s">
        <v>187</v>
      </c>
      <c r="O172" s="70">
        <f>_xlfn.IFNA(MATCH(N172,'Gas Supply Factors'!$B$14:$B$387,0),0)</f>
        <v>7</v>
      </c>
      <c r="P172" s="20">
        <f ca="1">OFFSET('Gas Supply Factors'!$B$14,$O172-1,P$14)*$L172+OFFSET('Gas Supply Factors'!$B$14,$K172-1,P$14)*$H172</f>
        <v>0</v>
      </c>
      <c r="R172" s="20">
        <f ca="1">OFFSET('Gas Supply Factors'!$B$14,$O172-1,R$14)*$L172+OFFSET('Gas Supply Factors'!$B$14,$K172-1,R$14)*$H172</f>
        <v>7887.1774852340614</v>
      </c>
      <c r="S172" s="20"/>
      <c r="T172" s="20">
        <f ca="1">OFFSET('Gas Supply Factors'!$B$14,$O172-1,T$14)*$L172+OFFSET('Gas Supply Factors'!$B$14,$K172-1,T$14)*$H172</f>
        <v>0</v>
      </c>
      <c r="U172" s="20"/>
      <c r="V172" s="20">
        <f ca="1">OFFSET('Gas Supply Factors'!$B$14,$O172-1,V$14)*$L172+OFFSET('Gas Supply Factors'!$B$14,$K172-1,V$14)*$H172</f>
        <v>7449.4151202177381</v>
      </c>
      <c r="W172" s="20"/>
      <c r="X172" s="20">
        <f ca="1">OFFSET('Gas Supply Factors'!$B$14,$O172-1,X$14)*$L172+OFFSET('Gas Supply Factors'!$B$14,$K172-1,X$14)*$H172</f>
        <v>0</v>
      </c>
      <c r="Z172" s="20">
        <f ca="1">OFFSET('Gas Supply Factors'!$B$14,$O172-1,Z$14)*$L172+OFFSET('Gas Supply Factors'!$B$14,$K172-1,Z$14)*$H172</f>
        <v>0</v>
      </c>
      <c r="AB172" s="20">
        <f t="shared" ca="1" si="53"/>
        <v>15336.592605451799</v>
      </c>
      <c r="AD172" s="25" t="str">
        <f t="shared" ca="1" si="49"/>
        <v/>
      </c>
    </row>
    <row r="173" spans="2:30" ht="13" x14ac:dyDescent="0.3">
      <c r="B173" s="18">
        <f t="shared" si="54"/>
        <v>107</v>
      </c>
      <c r="D173" s="1" t="s">
        <v>156</v>
      </c>
      <c r="F173" s="48">
        <f ca="1">Function!P173</f>
        <v>0</v>
      </c>
      <c r="H173" s="76"/>
      <c r="J173" s="2"/>
      <c r="L173" s="48">
        <f t="shared" ca="1" si="52"/>
        <v>0</v>
      </c>
      <c r="O173" s="70">
        <f>_xlfn.IFNA(MATCH(N173,'Gas Supply Factors'!$B$14:$B$387,0),0)</f>
        <v>0</v>
      </c>
      <c r="P173" s="20">
        <f ca="1">OFFSET('Gas Supply Factors'!$B$14,$O173-1,P$14)*$L173+OFFSET('Gas Supply Factors'!$B$14,$K173-1,P$14)*$H173</f>
        <v>0</v>
      </c>
      <c r="R173" s="20">
        <f ca="1">OFFSET('Gas Supply Factors'!$B$14,$O173-1,R$14)*$L173+OFFSET('Gas Supply Factors'!$B$14,$K173-1,R$14)*$H173</f>
        <v>0</v>
      </c>
      <c r="S173" s="20"/>
      <c r="T173" s="20">
        <f ca="1">OFFSET('Gas Supply Factors'!$B$14,$O173-1,T$14)*$L173+OFFSET('Gas Supply Factors'!$B$14,$K173-1,T$14)*$H173</f>
        <v>0</v>
      </c>
      <c r="U173" s="20"/>
      <c r="V173" s="20">
        <f ca="1">OFFSET('Gas Supply Factors'!$B$14,$O173-1,V$14)*$L173+OFFSET('Gas Supply Factors'!$B$14,$K173-1,V$14)*$H173</f>
        <v>0</v>
      </c>
      <c r="W173" s="20"/>
      <c r="X173" s="20">
        <f ca="1">OFFSET('Gas Supply Factors'!$B$14,$O173-1,X$14)*$L173+OFFSET('Gas Supply Factors'!$B$14,$K173-1,X$14)*$H173</f>
        <v>0</v>
      </c>
      <c r="Z173" s="20">
        <f ca="1">OFFSET('Gas Supply Factors'!$B$14,$O173-1,Z$14)*$L173+OFFSET('Gas Supply Factors'!$B$14,$K173-1,Z$14)*$H173</f>
        <v>0</v>
      </c>
      <c r="AB173" s="20">
        <f t="shared" ca="1" si="53"/>
        <v>0</v>
      </c>
      <c r="AD173" s="25" t="str">
        <f t="shared" ca="1" si="49"/>
        <v/>
      </c>
    </row>
    <row r="174" spans="2:30" ht="13" x14ac:dyDescent="0.3">
      <c r="B174" s="18">
        <f t="shared" si="54"/>
        <v>108</v>
      </c>
      <c r="D174" s="1" t="s">
        <v>157</v>
      </c>
      <c r="F174" s="48">
        <f ca="1">Function!P174</f>
        <v>0</v>
      </c>
      <c r="H174" s="76"/>
      <c r="J174" s="2"/>
      <c r="L174" s="48">
        <f t="shared" ca="1" si="52"/>
        <v>0</v>
      </c>
      <c r="O174" s="70">
        <f>_xlfn.IFNA(MATCH(N174,'Gas Supply Factors'!$B$14:$B$387,0),0)</f>
        <v>0</v>
      </c>
      <c r="P174" s="20">
        <f ca="1">OFFSET('Gas Supply Factors'!$B$14,$O174-1,P$14)*$L174+OFFSET('Gas Supply Factors'!$B$14,$K174-1,P$14)*$H174</f>
        <v>0</v>
      </c>
      <c r="R174" s="20">
        <f ca="1">OFFSET('Gas Supply Factors'!$B$14,$O174-1,R$14)*$L174+OFFSET('Gas Supply Factors'!$B$14,$K174-1,R$14)*$H174</f>
        <v>0</v>
      </c>
      <c r="S174" s="20"/>
      <c r="T174" s="20">
        <f ca="1">OFFSET('Gas Supply Factors'!$B$14,$O174-1,T$14)*$L174+OFFSET('Gas Supply Factors'!$B$14,$K174-1,T$14)*$H174</f>
        <v>0</v>
      </c>
      <c r="U174" s="20"/>
      <c r="V174" s="20">
        <f ca="1">OFFSET('Gas Supply Factors'!$B$14,$O174-1,V$14)*$L174+OFFSET('Gas Supply Factors'!$B$14,$K174-1,V$14)*$H174</f>
        <v>0</v>
      </c>
      <c r="W174" s="20"/>
      <c r="X174" s="20">
        <f ca="1">OFFSET('Gas Supply Factors'!$B$14,$O174-1,X$14)*$L174+OFFSET('Gas Supply Factors'!$B$14,$K174-1,X$14)*$H174</f>
        <v>0</v>
      </c>
      <c r="Z174" s="20">
        <f ca="1">OFFSET('Gas Supply Factors'!$B$14,$O174-1,Z$14)*$L174+OFFSET('Gas Supply Factors'!$B$14,$K174-1,Z$14)*$H174</f>
        <v>0</v>
      </c>
      <c r="AB174" s="20">
        <f t="shared" ca="1" si="53"/>
        <v>0</v>
      </c>
      <c r="AD174" s="25" t="str">
        <f t="shared" ca="1" si="49"/>
        <v/>
      </c>
    </row>
    <row r="175" spans="2:30" ht="13" x14ac:dyDescent="0.3">
      <c r="B175" s="18">
        <f t="shared" si="54"/>
        <v>109</v>
      </c>
      <c r="D175" s="1" t="s">
        <v>158</v>
      </c>
      <c r="F175" s="48">
        <f ca="1">Function!P175</f>
        <v>0</v>
      </c>
      <c r="H175" s="76"/>
      <c r="J175" s="2"/>
      <c r="L175" s="48">
        <f t="shared" ca="1" si="52"/>
        <v>0</v>
      </c>
      <c r="O175" s="70">
        <f>_xlfn.IFNA(MATCH(N175,'Gas Supply Factors'!$B$14:$B$387,0),0)</f>
        <v>0</v>
      </c>
      <c r="P175" s="20">
        <f ca="1">OFFSET('Gas Supply Factors'!$B$14,$O175-1,P$14)*$L175+OFFSET('Gas Supply Factors'!$B$14,$K175-1,P$14)*$H175</f>
        <v>0</v>
      </c>
      <c r="R175" s="20">
        <f ca="1">OFFSET('Gas Supply Factors'!$B$14,$O175-1,R$14)*$L175+OFFSET('Gas Supply Factors'!$B$14,$K175-1,R$14)*$H175</f>
        <v>0</v>
      </c>
      <c r="S175" s="20"/>
      <c r="T175" s="20">
        <f ca="1">OFFSET('Gas Supply Factors'!$B$14,$O175-1,T$14)*$L175+OFFSET('Gas Supply Factors'!$B$14,$K175-1,T$14)*$H175</f>
        <v>0</v>
      </c>
      <c r="U175" s="20"/>
      <c r="V175" s="20">
        <f ca="1">OFFSET('Gas Supply Factors'!$B$14,$O175-1,V$14)*$L175+OFFSET('Gas Supply Factors'!$B$14,$K175-1,V$14)*$H175</f>
        <v>0</v>
      </c>
      <c r="W175" s="20"/>
      <c r="X175" s="20">
        <f ca="1">OFFSET('Gas Supply Factors'!$B$14,$O175-1,X$14)*$L175+OFFSET('Gas Supply Factors'!$B$14,$K175-1,X$14)*$H175</f>
        <v>0</v>
      </c>
      <c r="Z175" s="20">
        <f ca="1">OFFSET('Gas Supply Factors'!$B$14,$O175-1,Z$14)*$L175+OFFSET('Gas Supply Factors'!$B$14,$K175-1,Z$14)*$H175</f>
        <v>0</v>
      </c>
      <c r="AB175" s="20">
        <f t="shared" ca="1" si="53"/>
        <v>0</v>
      </c>
      <c r="AD175" s="25" t="str">
        <f t="shared" ca="1" si="49"/>
        <v/>
      </c>
    </row>
    <row r="176" spans="2:30" ht="13" x14ac:dyDescent="0.3">
      <c r="B176" s="18">
        <f t="shared" si="54"/>
        <v>110</v>
      </c>
      <c r="D176" s="1" t="s">
        <v>159</v>
      </c>
      <c r="F176" s="48">
        <f ca="1">Function!P176</f>
        <v>0</v>
      </c>
      <c r="H176" s="76"/>
      <c r="J176" s="2"/>
      <c r="L176" s="48">
        <f t="shared" ca="1" si="52"/>
        <v>0</v>
      </c>
      <c r="O176" s="70">
        <f>_xlfn.IFNA(MATCH(N176,'Gas Supply Factors'!$B$14:$B$387,0),0)</f>
        <v>0</v>
      </c>
      <c r="P176" s="20">
        <f ca="1">OFFSET('Gas Supply Factors'!$B$14,$O176-1,P$14)*$L176+OFFSET('Gas Supply Factors'!$B$14,$K176-1,P$14)*$H176</f>
        <v>0</v>
      </c>
      <c r="R176" s="20">
        <f ca="1">OFFSET('Gas Supply Factors'!$B$14,$O176-1,R$14)*$L176+OFFSET('Gas Supply Factors'!$B$14,$K176-1,R$14)*$H176</f>
        <v>0</v>
      </c>
      <c r="S176" s="20"/>
      <c r="T176" s="20">
        <f ca="1">OFFSET('Gas Supply Factors'!$B$14,$O176-1,T$14)*$L176+OFFSET('Gas Supply Factors'!$B$14,$K176-1,T$14)*$H176</f>
        <v>0</v>
      </c>
      <c r="U176" s="20"/>
      <c r="V176" s="20">
        <f ca="1">OFFSET('Gas Supply Factors'!$B$14,$O176-1,V$14)*$L176+OFFSET('Gas Supply Factors'!$B$14,$K176-1,V$14)*$H176</f>
        <v>0</v>
      </c>
      <c r="W176" s="20"/>
      <c r="X176" s="20">
        <f ca="1">OFFSET('Gas Supply Factors'!$B$14,$O176-1,X$14)*$L176+OFFSET('Gas Supply Factors'!$B$14,$K176-1,X$14)*$H176</f>
        <v>0</v>
      </c>
      <c r="Z176" s="20">
        <f ca="1">OFFSET('Gas Supply Factors'!$B$14,$O176-1,Z$14)*$L176+OFFSET('Gas Supply Factors'!$B$14,$K176-1,Z$14)*$H176</f>
        <v>0</v>
      </c>
      <c r="AB176" s="20">
        <f t="shared" ca="1" si="53"/>
        <v>0</v>
      </c>
      <c r="AD176" s="25" t="str">
        <f t="shared" ca="1" si="49"/>
        <v/>
      </c>
    </row>
    <row r="177" spans="2:30" ht="13" x14ac:dyDescent="0.3">
      <c r="T177" s="20"/>
      <c r="U177" s="20"/>
      <c r="W177" s="20"/>
      <c r="AD177" s="25" t="str">
        <f t="shared" si="49"/>
        <v/>
      </c>
    </row>
    <row r="178" spans="2:30" ht="13" x14ac:dyDescent="0.3">
      <c r="B178" s="18">
        <f>B176+1</f>
        <v>111</v>
      </c>
      <c r="D178" s="1" t="s">
        <v>160</v>
      </c>
      <c r="F178" s="40">
        <f ca="1">SUM(F170:F176)</f>
        <v>20700.84256063772</v>
      </c>
      <c r="H178" s="40">
        <f>SUM(H170:H176)</f>
        <v>0</v>
      </c>
      <c r="J178" s="2"/>
      <c r="L178" s="40">
        <f ca="1">SUM(L170:L176)</f>
        <v>20700.84256063772</v>
      </c>
      <c r="P178" s="10">
        <f ca="1">SUM(P170:P176)</f>
        <v>0</v>
      </c>
      <c r="R178" s="10">
        <f ca="1">SUM(R170:R176)</f>
        <v>7887.1774852340614</v>
      </c>
      <c r="S178" s="8"/>
      <c r="T178" s="10">
        <f ca="1">SUM(T170:T176)</f>
        <v>0</v>
      </c>
      <c r="U178" s="20"/>
      <c r="V178" s="10">
        <f ca="1">SUM(V170:V176)</f>
        <v>7449.4151202177381</v>
      </c>
      <c r="W178" s="20"/>
      <c r="X178" s="10">
        <f ca="1">SUM(X170:X176)</f>
        <v>0</v>
      </c>
      <c r="Z178" s="10">
        <f ca="1">SUM(Z170:Z176)</f>
        <v>5364.249955185921</v>
      </c>
      <c r="AB178" s="10">
        <f ca="1">SUM(AB170:AB176)</f>
        <v>20700.84256063772</v>
      </c>
      <c r="AD178" s="25" t="str">
        <f t="shared" ca="1" si="49"/>
        <v/>
      </c>
    </row>
    <row r="179" spans="2:30" ht="13" x14ac:dyDescent="0.3">
      <c r="U179" s="20"/>
      <c r="W179" s="20"/>
      <c r="AD179" s="25" t="str">
        <f t="shared" si="49"/>
        <v/>
      </c>
    </row>
    <row r="180" spans="2:30" ht="13.5" thickBot="1" x14ac:dyDescent="0.35">
      <c r="B180" s="18">
        <f>B178+1</f>
        <v>112</v>
      </c>
      <c r="D180" s="1" t="s">
        <v>161</v>
      </c>
      <c r="F180" s="80">
        <f ca="1">F164-F178</f>
        <v>2247693.094588703</v>
      </c>
      <c r="H180" s="80">
        <f>H164-H178</f>
        <v>0</v>
      </c>
      <c r="L180" s="80">
        <f ca="1">L164-L178</f>
        <v>2247693.094588703</v>
      </c>
      <c r="P180" s="34">
        <f ca="1">P164-P178</f>
        <v>1878311.1040714213</v>
      </c>
      <c r="R180" s="34">
        <f ca="1">R164-R178</f>
        <v>153599.23567205007</v>
      </c>
      <c r="S180" s="8"/>
      <c r="T180" s="34">
        <f ca="1">T164-T178</f>
        <v>40328.527901042762</v>
      </c>
      <c r="U180" s="20"/>
      <c r="V180" s="34">
        <f ca="1">V164-V178</f>
        <v>145074.01041898847</v>
      </c>
      <c r="W180" s="20"/>
      <c r="X180" s="34">
        <f ca="1">X164-X178</f>
        <v>14888.543237034275</v>
      </c>
      <c r="Z180" s="34">
        <f ca="1">Z164-Z178</f>
        <v>15491.673288166032</v>
      </c>
      <c r="AB180" s="34">
        <f ca="1">AB164-AB178</f>
        <v>2247693.094588703</v>
      </c>
      <c r="AD180" s="25" t="str">
        <f t="shared" ca="1" si="49"/>
        <v/>
      </c>
    </row>
    <row r="181" spans="2:30" ht="13" thickTop="1" x14ac:dyDescent="0.25">
      <c r="D181" s="1" t="s">
        <v>188</v>
      </c>
      <c r="U181" s="20"/>
      <c r="W181" s="20"/>
    </row>
    <row r="182" spans="2:30" x14ac:dyDescent="0.25">
      <c r="W182" s="20"/>
    </row>
    <row r="183" spans="2:30" x14ac:dyDescent="0.25">
      <c r="W183" s="20"/>
    </row>
    <row r="184" spans="2:30" x14ac:dyDescent="0.25">
      <c r="W184" s="20"/>
    </row>
  </sheetData>
  <mergeCells count="3">
    <mergeCell ref="B5:AB5"/>
    <mergeCell ref="B6:AB6"/>
    <mergeCell ref="B7:AB7"/>
  </mergeCells>
  <pageMargins left="0.7" right="0.7" top="0.75" bottom="0.75" header="0.3" footer="0.3"/>
  <pageSetup scale="48" fitToHeight="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9939-AA1C-4E96-B1B3-AB63A7045F3E}">
  <sheetPr>
    <tabColor theme="0" tint="-0.249977111117893"/>
  </sheetPr>
  <dimension ref="A6:AD45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8" width="10.81640625" style="31" customWidth="1"/>
    <col min="19" max="19" width="15.81640625" style="31" customWidth="1"/>
    <col min="2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482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 t="s">
        <v>426</v>
      </c>
      <c r="R10" s="2" t="s">
        <v>426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477</v>
      </c>
      <c r="O11" s="33" t="s">
        <v>478</v>
      </c>
      <c r="P11" s="33" t="s">
        <v>479</v>
      </c>
      <c r="Q11" s="33" t="s">
        <v>480</v>
      </c>
      <c r="R11" s="33" t="s">
        <v>481</v>
      </c>
      <c r="S11" s="2"/>
      <c r="T11" s="2"/>
      <c r="U11" s="2"/>
      <c r="V11" s="2"/>
      <c r="W11" s="2"/>
      <c r="X11" s="2"/>
      <c r="Y11" s="2"/>
      <c r="Z11" s="2"/>
      <c r="AA11" s="81"/>
      <c r="AB11" s="2"/>
      <c r="AC11" s="2"/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2" t="s">
        <v>27</v>
      </c>
      <c r="O12" s="81" t="s">
        <v>28</v>
      </c>
      <c r="P12" s="81" t="s">
        <v>29</v>
      </c>
      <c r="Q12" s="81" t="s">
        <v>30</v>
      </c>
      <c r="R12" s="81" t="s">
        <v>180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>
        <v>10</v>
      </c>
      <c r="R13" s="114">
        <v>11</v>
      </c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'Total Allocation -Ex'!D15-'Total Allocation - Ex Gas'!D15</f>
        <v>0</v>
      </c>
      <c r="F15" s="76">
        <f>'Total Allocation -Ex'!F15-'Total Allocation - Ex Gas'!F15</f>
        <v>0</v>
      </c>
      <c r="J15" s="76">
        <f ca="1">D15-F15</f>
        <v>0</v>
      </c>
      <c r="L15" s="2" t="s">
        <v>445</v>
      </c>
      <c r="N15" s="76">
        <f ca="1">IF($J15&lt;&gt;0,VLOOKUP($L15,'Allocation Factors - Ex'!$B$13:$U$163,5,FALSE)*$J15,0)+IF($F15&lt;&gt;0,VLOOKUP($H15,'Allocation Factors - Ex'!$B$13:$U$163,5,FALSE)*$F15,0)</f>
        <v>0</v>
      </c>
      <c r="O15" s="76">
        <f ca="1">IF($J15&lt;&gt;0,VLOOKUP($L15,'Allocation Factors - Ex'!$B$13:$U$163,6,FALSE)*$J15,0)+IF($F15&lt;&gt;0,VLOOKUP($H15,'Allocation Factors - Ex'!$B$13:$U$163,6,FALSE)*$F15,0)</f>
        <v>0</v>
      </c>
      <c r="P15" s="76">
        <f ca="1">IF($J15&lt;&gt;0,VLOOKUP($L15,'Allocation Factors - Ex'!$B$13:$U$163,7,FALSE)*$J15,0)+IF($F15&lt;&gt;0,VLOOKUP($H15,'Allocation Factors - Ex'!$B$13:$U$163,7,FALSE)*$F15,0)</f>
        <v>0</v>
      </c>
      <c r="Q15" s="76">
        <f ca="1">IF($J15&lt;&gt;0,VLOOKUP($L15,'Allocation Factors - Ex'!$B$13:$U$163,8,FALSE)*$J15,0)+IF($F15&lt;&gt;0,VLOOKUP($H15,'Allocation Factors - Ex'!$B$13:$U$163,8,FALSE)*$F15,0)</f>
        <v>0</v>
      </c>
      <c r="R15" s="76">
        <v>0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48"/>
    </row>
    <row r="16" spans="1:30" x14ac:dyDescent="0.25">
      <c r="A16" s="2">
        <f>A15+1</f>
        <v>2</v>
      </c>
      <c r="B16" s="31" t="s">
        <v>351</v>
      </c>
      <c r="D16" s="76">
        <f ca="1">'Total Allocation -Ex'!D16-'Total Allocation - Ex Gas'!D16</f>
        <v>0</v>
      </c>
      <c r="E16" s="71"/>
      <c r="F16" s="76">
        <f>'Total Allocation -Ex'!F16-'Total Allocation - Ex Gas'!F16</f>
        <v>0</v>
      </c>
      <c r="J16" s="76">
        <f ca="1">D16-F16</f>
        <v>0</v>
      </c>
      <c r="L16" s="2" t="s">
        <v>446</v>
      </c>
      <c r="N16" s="76">
        <f ca="1">IF($J16&lt;&gt;0,VLOOKUP($L16,'Allocation Factors - Ex'!$B$13:$U$163,5,FALSE)*$J16,0)+IF($F16&lt;&gt;0,VLOOKUP($H16,'Allocation Factors - Ex'!$B$13:$U$163,5,FALSE)*$F16,0)</f>
        <v>0</v>
      </c>
      <c r="O16" s="76">
        <f ca="1">IF($J16&lt;&gt;0,VLOOKUP($L16,'Allocation Factors - Ex'!$B$13:$U$163,6,FALSE)*$J16,0)+IF($F16&lt;&gt;0,VLOOKUP($H16,'Allocation Factors - Ex'!$B$13:$U$163,6,FALSE)*$F16,0)</f>
        <v>0</v>
      </c>
      <c r="P16" s="76">
        <f ca="1">IF($J16&lt;&gt;0,VLOOKUP($L16,'Allocation Factors - Ex'!$B$13:$U$163,7,FALSE)*$J16,0)+IF($F16&lt;&gt;0,VLOOKUP($H16,'Allocation Factors - Ex'!$B$13:$U$163,7,FALSE)*$F16,0)</f>
        <v>0</v>
      </c>
      <c r="Q16" s="76">
        <f ca="1">IF($J16&lt;&gt;0,VLOOKUP($L16,'Allocation Factors - Ex'!$B$13:$U$163,8,FALSE)*$J16,0)+IF($F16&lt;&gt;0,VLOOKUP($H16,'Allocation Factors - Ex'!$B$13:$U$163,8,FALSE)*$F16,0)</f>
        <v>0</v>
      </c>
      <c r="R16" s="76">
        <v>0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'Total Allocation -Ex'!D17-'Total Allocation - Ex Gas'!D17</f>
        <v>0</v>
      </c>
      <c r="F17" s="76">
        <f>'Total Allocation -Ex'!F17-'Total Allocation - Ex Gas'!F17</f>
        <v>0</v>
      </c>
      <c r="J17" s="76">
        <f t="shared" ref="J17:J20" ca="1" si="1">D17-F17</f>
        <v>0</v>
      </c>
      <c r="L17" s="2" t="s">
        <v>447</v>
      </c>
      <c r="N17" s="76">
        <f ca="1">IF($J17&lt;&gt;0,VLOOKUP($L17,'Allocation Factors - Ex'!$B$13:$U$163,5,FALSE)*$J17,0)+IF($F17&lt;&gt;0,VLOOKUP($H17,'Allocation Factors - Ex'!$B$13:$U$163,5,FALSE)*$F17,0)</f>
        <v>0</v>
      </c>
      <c r="O17" s="76">
        <f ca="1">IF($J17&lt;&gt;0,VLOOKUP($L17,'Allocation Factors - Ex'!$B$13:$U$163,6,FALSE)*$J17,0)+IF($F17&lt;&gt;0,VLOOKUP($H17,'Allocation Factors - Ex'!$B$13:$U$163,6,FALSE)*$F17,0)</f>
        <v>0</v>
      </c>
      <c r="P17" s="76">
        <f ca="1">IF($J17&lt;&gt;0,VLOOKUP($L17,'Allocation Factors - Ex'!$B$13:$U$163,7,FALSE)*$J17,0)+IF($F17&lt;&gt;0,VLOOKUP($H17,'Allocation Factors - Ex'!$B$13:$U$163,7,FALSE)*$F17,0)</f>
        <v>0</v>
      </c>
      <c r="Q17" s="76">
        <f ca="1">IF($J17&lt;&gt;0,VLOOKUP($L17,'Allocation Factors - Ex'!$B$13:$U$163,8,FALSE)*$J17,0)+IF($F17&lt;&gt;0,VLOOKUP($H17,'Allocation Factors - Ex'!$B$13:$U$163,8,FALSE)*$F17,0)</f>
        <v>0</v>
      </c>
      <c r="R17" s="76">
        <v>0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'Total Allocation -Ex'!D18-'Total Allocation - Ex Gas'!D18</f>
        <v>0</v>
      </c>
      <c r="F18" s="76">
        <f>'Total Allocation -Ex'!F18-'Total Allocation - Ex Gas'!F18</f>
        <v>0</v>
      </c>
      <c r="H18" s="2" t="s">
        <v>448</v>
      </c>
      <c r="J18" s="76">
        <f t="shared" ca="1" si="1"/>
        <v>0</v>
      </c>
      <c r="L18" s="2" t="s">
        <v>449</v>
      </c>
      <c r="N18" s="76">
        <f ca="1">IF($J18&lt;&gt;0,VLOOKUP($L18,'Allocation Factors - Ex'!$B$13:$U$163,5,FALSE)*$J18,0)+IF($F18&lt;&gt;0,VLOOKUP($H18,'Allocation Factors - Ex'!$B$13:$U$163,5,FALSE)*$F18,0)</f>
        <v>0</v>
      </c>
      <c r="O18" s="76">
        <f ca="1">IF($J18&lt;&gt;0,VLOOKUP($L18,'Allocation Factors - Ex'!$B$13:$U$163,6,FALSE)*$J18,0)+IF($F18&lt;&gt;0,VLOOKUP($H18,'Allocation Factors - Ex'!$B$13:$U$163,6,FALSE)*$F18,0)</f>
        <v>0</v>
      </c>
      <c r="P18" s="76">
        <f ca="1">IF($J18&lt;&gt;0,VLOOKUP($L18,'Allocation Factors - Ex'!$B$13:$U$163,7,FALSE)*$J18,0)+IF($F18&lt;&gt;0,VLOOKUP($H18,'Allocation Factors - Ex'!$B$13:$U$163,7,FALSE)*$F18,0)</f>
        <v>0</v>
      </c>
      <c r="Q18" s="76">
        <f ca="1">IF($J18&lt;&gt;0,VLOOKUP($L18,'Allocation Factors - Ex'!$B$13:$U$163,8,FALSE)*$J18,0)+IF($F18&lt;&gt;0,VLOOKUP($H18,'Allocation Factors - Ex'!$B$13:$U$163,8,FALSE)*$F18,0)</f>
        <v>0</v>
      </c>
      <c r="R18" s="76">
        <v>0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'Total Allocation -Ex'!D19-'Total Allocation - Ex Gas'!D19</f>
        <v>0</v>
      </c>
      <c r="F19" s="76">
        <f>'Total Allocation -Ex'!F19-'Total Allocation - Ex Gas'!F19</f>
        <v>0</v>
      </c>
      <c r="J19" s="76">
        <f t="shared" ca="1" si="1"/>
        <v>0</v>
      </c>
      <c r="L19" s="2" t="s">
        <v>450</v>
      </c>
      <c r="N19" s="76">
        <f ca="1">IF($J19&lt;&gt;0,VLOOKUP($L19,'Allocation Factors - Ex'!$B$13:$U$163,5,FALSE)*$J19,0)+IF($F19&lt;&gt;0,VLOOKUP($H19,'Allocation Factors - Ex'!$B$13:$U$163,5,FALSE)*$F19,0)</f>
        <v>0</v>
      </c>
      <c r="O19" s="76">
        <f ca="1">IF($J19&lt;&gt;0,VLOOKUP($L19,'Allocation Factors - Ex'!$B$13:$U$163,6,FALSE)*$J19,0)+IF($F19&lt;&gt;0,VLOOKUP($H19,'Allocation Factors - Ex'!$B$13:$U$163,6,FALSE)*$F19,0)</f>
        <v>0</v>
      </c>
      <c r="P19" s="76">
        <f ca="1">IF($J19&lt;&gt;0,VLOOKUP($L19,'Allocation Factors - Ex'!$B$13:$U$163,7,FALSE)*$J19,0)+IF($F19&lt;&gt;0,VLOOKUP($H19,'Allocation Factors - Ex'!$B$13:$U$163,7,FALSE)*$F19,0)</f>
        <v>0</v>
      </c>
      <c r="Q19" s="76">
        <f ca="1">IF($J19&lt;&gt;0,VLOOKUP($L19,'Allocation Factors - Ex'!$B$13:$U$163,8,FALSE)*$J19,0)+IF($F19&lt;&gt;0,VLOOKUP($H19,'Allocation Factors - Ex'!$B$13:$U$163,8,FALSE)*$F19,0)</f>
        <v>0</v>
      </c>
      <c r="R19" s="76">
        <v>0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'Total Allocation -Ex'!D20-'Total Allocation - Ex Gas'!D20</f>
        <v>0</v>
      </c>
      <c r="F20" s="76">
        <f>'Total Allocation -Ex'!F20-'Total Allocation - Ex Gas'!F20</f>
        <v>0</v>
      </c>
      <c r="J20" s="76">
        <f t="shared" ca="1" si="1"/>
        <v>0</v>
      </c>
      <c r="L20" s="2" t="s">
        <v>445</v>
      </c>
      <c r="N20" s="76">
        <f ca="1">IF($J20&lt;&gt;0,VLOOKUP($L20,'Allocation Factors - Ex'!$B$13:$U$163,5,FALSE)*$J20,0)+IF($F20&lt;&gt;0,VLOOKUP($H20,'Allocation Factors - Ex'!$B$13:$U$163,5,FALSE)*$F20,0)</f>
        <v>0</v>
      </c>
      <c r="O20" s="76">
        <f ca="1">IF($J20&lt;&gt;0,VLOOKUP($L20,'Allocation Factors - Ex'!$B$13:$U$163,6,FALSE)*$J20,0)+IF($F20&lt;&gt;0,VLOOKUP($H20,'Allocation Factors - Ex'!$B$13:$U$163,6,FALSE)*$F20,0)</f>
        <v>0</v>
      </c>
      <c r="P20" s="76">
        <f ca="1">IF($J20&lt;&gt;0,VLOOKUP($L20,'Allocation Factors - Ex'!$B$13:$U$163,7,FALSE)*$J20,0)+IF($F20&lt;&gt;0,VLOOKUP($H20,'Allocation Factors - Ex'!$B$13:$U$163,7,FALSE)*$F20,0)</f>
        <v>0</v>
      </c>
      <c r="Q20" s="76">
        <f ca="1">IF($J20&lt;&gt;0,VLOOKUP($L20,'Allocation Factors - Ex'!$B$13:$U$163,8,FALSE)*$J20,0)+IF($F20&lt;&gt;0,VLOOKUP($H20,'Allocation Factors - Ex'!$B$13:$U$163,8,FALSE)*$F20,0)</f>
        <v>0</v>
      </c>
      <c r="R20" s="76">
        <v>0</v>
      </c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0</v>
      </c>
      <c r="F21" s="78">
        <f>SUM(F15:F20)</f>
        <v>0</v>
      </c>
      <c r="J21" s="40">
        <f ca="1">SUM(J15:J20)</f>
        <v>0</v>
      </c>
      <c r="N21" s="40">
        <f t="shared" ref="N21:Q21" ca="1" si="2">SUM(N15:N20)</f>
        <v>0</v>
      </c>
      <c r="O21" s="40">
        <f t="shared" ca="1" si="2"/>
        <v>0</v>
      </c>
      <c r="P21" s="40">
        <f t="shared" ca="1" si="2"/>
        <v>0</v>
      </c>
      <c r="Q21" s="40">
        <f t="shared" ca="1" si="2"/>
        <v>0</v>
      </c>
      <c r="R21" s="40">
        <f t="shared" ref="R21" si="3">SUM(R15:R20)</f>
        <v>0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</row>
    <row r="22" spans="1:30" x14ac:dyDescent="0.25">
      <c r="D22" s="76"/>
      <c r="N22" s="76"/>
      <c r="O22" s="76"/>
      <c r="P22" s="76"/>
      <c r="Q22" s="76"/>
      <c r="R22" s="7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48"/>
    </row>
    <row r="24" spans="1:30" x14ac:dyDescent="0.25">
      <c r="A24" s="2">
        <f>A21+1</f>
        <v>8</v>
      </c>
      <c r="B24" s="31" t="s">
        <v>363</v>
      </c>
      <c r="D24" s="76">
        <f ca="1">'Total Allocation -Ex'!D24-'Total Allocation - Ex Gas'!D24</f>
        <v>0</v>
      </c>
      <c r="F24" s="76">
        <f>'Total Allocation -Ex'!F24-'Total Allocation - Ex Gas'!F24</f>
        <v>0</v>
      </c>
      <c r="J24" s="76">
        <f ca="1">D24-F24</f>
        <v>0</v>
      </c>
      <c r="L24" s="2" t="s">
        <v>447</v>
      </c>
      <c r="N24" s="76">
        <f ca="1">IF($J24&lt;&gt;0,VLOOKUP($L24,'Allocation Factors - Ex'!$B$13:$U$163,5,FALSE)*$J24,0)+IF($F24&lt;&gt;0,VLOOKUP($H24,'Allocation Factors - Ex'!$B$13:$U$163,5,FALSE)*$F24,0)</f>
        <v>0</v>
      </c>
      <c r="O24" s="76">
        <f ca="1">IF($J24&lt;&gt;0,VLOOKUP($L24,'Allocation Factors - Ex'!$B$13:$U$163,6,FALSE)*$J24,0)+IF($F24&lt;&gt;0,VLOOKUP($H24,'Allocation Factors - Ex'!$B$13:$U$163,6,FALSE)*$F24,0)</f>
        <v>0</v>
      </c>
      <c r="P24" s="76">
        <f ca="1">IF($J24&lt;&gt;0,VLOOKUP($L24,'Allocation Factors - Ex'!$B$13:$U$163,7,FALSE)*$J24,0)+IF($F24&lt;&gt;0,VLOOKUP($H24,'Allocation Factors - Ex'!$B$13:$U$163,7,FALSE)*$F24,0)</f>
        <v>0</v>
      </c>
      <c r="Q24" s="76">
        <f ca="1">IF($J24&lt;&gt;0,VLOOKUP($L24,'Allocation Factors - Ex'!$B$13:$U$163,8,FALSE)*$J24,0)+IF($F24&lt;&gt;0,VLOOKUP($H24,'Allocation Factors - Ex'!$B$13:$U$163,8,FALSE)*$F24,0)</f>
        <v>0</v>
      </c>
      <c r="R24" s="76">
        <v>0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48"/>
    </row>
    <row r="25" spans="1:30" x14ac:dyDescent="0.25">
      <c r="A25" s="2">
        <f>A24+1</f>
        <v>9</v>
      </c>
      <c r="B25" s="31" t="s">
        <v>364</v>
      </c>
      <c r="D25" s="76">
        <f ca="1">'Total Allocation -Ex'!D25-'Total Allocation - Ex Gas'!D25</f>
        <v>0</v>
      </c>
      <c r="F25" s="76">
        <f>'Total Allocation -Ex'!F25-'Total Allocation - Ex Gas'!F25</f>
        <v>0</v>
      </c>
      <c r="H25" s="2" t="s">
        <v>451</v>
      </c>
      <c r="J25" s="76">
        <f t="shared" ref="J25:J27" ca="1" si="4">D25-F25</f>
        <v>0</v>
      </c>
      <c r="L25" s="2" t="s">
        <v>452</v>
      </c>
      <c r="N25" s="76">
        <f ca="1">IF($J25&lt;&gt;0,VLOOKUP($L25,'Allocation Factors - Ex'!$B$13:$U$163,5,FALSE)*$J25,0)+IF($F25&lt;&gt;0,VLOOKUP($H25,'Allocation Factors - Ex'!$B$13:$U$163,5,FALSE)*$F25,0)</f>
        <v>0</v>
      </c>
      <c r="O25" s="76">
        <f ca="1">IF($J25&lt;&gt;0,VLOOKUP($L25,'Allocation Factors - Ex'!$B$13:$U$163,6,FALSE)*$J25,0)+IF($F25&lt;&gt;0,VLOOKUP($H25,'Allocation Factors - Ex'!$B$13:$U$163,6,FALSE)*$F25,0)</f>
        <v>0</v>
      </c>
      <c r="P25" s="76">
        <f ca="1">IF($J25&lt;&gt;0,VLOOKUP($L25,'Allocation Factors - Ex'!$B$13:$U$163,7,FALSE)*$J25,0)+IF($F25&lt;&gt;0,VLOOKUP($H25,'Allocation Factors - Ex'!$B$13:$U$163,7,FALSE)*$F25,0)</f>
        <v>0</v>
      </c>
      <c r="Q25" s="76">
        <f ca="1">IF($J25&lt;&gt;0,VLOOKUP($L25,'Allocation Factors - Ex'!$B$13:$U$163,8,FALSE)*$J25,0)+IF($F25&lt;&gt;0,VLOOKUP($H25,'Allocation Factors - Ex'!$B$13:$U$163,8,FALSE)*$F25,0)</f>
        <v>0</v>
      </c>
      <c r="R25" s="76">
        <v>0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48"/>
    </row>
    <row r="26" spans="1:30" x14ac:dyDescent="0.25">
      <c r="A26" s="2">
        <f t="shared" ref="A26:A28" si="5">A25+1</f>
        <v>10</v>
      </c>
      <c r="B26" s="31" t="s">
        <v>367</v>
      </c>
      <c r="D26" s="76">
        <f ca="1">'Total Allocation -Ex'!D26-'Total Allocation - Ex Gas'!D26</f>
        <v>460.05784299084002</v>
      </c>
      <c r="F26" s="76">
        <f>'Total Allocation -Ex'!F26-'Total Allocation - Ex Gas'!F26</f>
        <v>0</v>
      </c>
      <c r="J26" s="76">
        <f t="shared" ca="1" si="4"/>
        <v>460.05784299084002</v>
      </c>
      <c r="L26" s="2" t="s">
        <v>453</v>
      </c>
      <c r="N26" s="76">
        <f ca="1">IF($J26&lt;&gt;0,VLOOKUP($L26,'Allocation Factors - Ex'!$B$13:$U$163,5,FALSE)*$J26,0)+IF($F26&lt;&gt;0,VLOOKUP($H26,'Allocation Factors - Ex'!$B$13:$U$163,5,FALSE)*$F26,0)</f>
        <v>0</v>
      </c>
      <c r="O26" s="76">
        <f ca="1">IF($J26&lt;&gt;0,VLOOKUP($L26,'Allocation Factors - Ex'!$B$13:$U$163,6,FALSE)*$J26,0)+IF($F26&lt;&gt;0,VLOOKUP($H26,'Allocation Factors - Ex'!$B$13:$U$163,6,FALSE)*$F26,0)</f>
        <v>454.26583321387227</v>
      </c>
      <c r="P26" s="76">
        <f ca="1">IF($J26&lt;&gt;0,VLOOKUP($L26,'Allocation Factors - Ex'!$B$13:$U$163,7,FALSE)*$J26,0)+IF($F26&lt;&gt;0,VLOOKUP($H26,'Allocation Factors - Ex'!$B$13:$U$163,7,FALSE)*$F26,0)</f>
        <v>4.0222614449731955</v>
      </c>
      <c r="Q26" s="76">
        <f ca="1">IF($J26&lt;&gt;0,VLOOKUP($L26,'Allocation Factors - Ex'!$B$13:$U$163,8,FALSE)*$J26,0)+IF($F26&lt;&gt;0,VLOOKUP($H26,'Allocation Factors - Ex'!$B$13:$U$163,8,FALSE)*$F26,0)</f>
        <v>1.7697483319945253</v>
      </c>
      <c r="R26" s="76">
        <v>0</v>
      </c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48"/>
    </row>
    <row r="27" spans="1:30" x14ac:dyDescent="0.25">
      <c r="A27" s="2">
        <f t="shared" si="5"/>
        <v>11</v>
      </c>
      <c r="B27" s="31" t="s">
        <v>369</v>
      </c>
      <c r="D27" s="76">
        <f ca="1">'Total Allocation -Ex'!D27-'Total Allocation - Ex Gas'!D27</f>
        <v>0</v>
      </c>
      <c r="F27" s="76">
        <f>'Total Allocation -Ex'!F27-'Total Allocation - Ex Gas'!F27</f>
        <v>0</v>
      </c>
      <c r="J27" s="76">
        <f t="shared" ca="1" si="4"/>
        <v>0</v>
      </c>
      <c r="L27" s="2" t="s">
        <v>454</v>
      </c>
      <c r="N27" s="76">
        <f ca="1">IF($J27&lt;&gt;0,VLOOKUP($L27,'Allocation Factors - Ex'!$B$13:$U$163,5,FALSE)*$J27,0)+IF($F27&lt;&gt;0,VLOOKUP($H27,'Allocation Factors - Ex'!$B$13:$U$163,5,FALSE)*$F27,0)</f>
        <v>0</v>
      </c>
      <c r="O27" s="76">
        <f ca="1">IF($J27&lt;&gt;0,VLOOKUP($L27,'Allocation Factors - Ex'!$B$13:$U$163,6,FALSE)*$J27,0)+IF($F27&lt;&gt;0,VLOOKUP($H27,'Allocation Factors - Ex'!$B$13:$U$163,6,FALSE)*$F27,0)</f>
        <v>0</v>
      </c>
      <c r="P27" s="76">
        <f ca="1">IF($J27&lt;&gt;0,VLOOKUP($L27,'Allocation Factors - Ex'!$B$13:$U$163,7,FALSE)*$J27,0)+IF($F27&lt;&gt;0,VLOOKUP($H27,'Allocation Factors - Ex'!$B$13:$U$163,7,FALSE)*$F27,0)</f>
        <v>0</v>
      </c>
      <c r="Q27" s="76">
        <f ca="1">IF($J27&lt;&gt;0,VLOOKUP($L27,'Allocation Factors - Ex'!$B$13:$U$163,8,FALSE)*$J27,0)+IF($F27&lt;&gt;0,VLOOKUP($H27,'Allocation Factors - Ex'!$B$13:$U$163,8,FALSE)*$F27,0)</f>
        <v>0</v>
      </c>
      <c r="R27" s="76">
        <v>0</v>
      </c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48"/>
    </row>
    <row r="28" spans="1:30" x14ac:dyDescent="0.25">
      <c r="A28" s="2">
        <f t="shared" si="5"/>
        <v>12</v>
      </c>
      <c r="B28" s="31" t="s">
        <v>371</v>
      </c>
      <c r="D28" s="40">
        <f ca="1">SUM(D24:D27)</f>
        <v>460.05784299084002</v>
      </c>
      <c r="F28" s="40">
        <f>SUM(F24:F27)</f>
        <v>0</v>
      </c>
      <c r="H28" s="115"/>
      <c r="J28" s="40">
        <f ca="1">SUM(J24:J27)</f>
        <v>460.05784299084002</v>
      </c>
      <c r="N28" s="40">
        <f t="shared" ref="N28:Q28" ca="1" si="6">SUM(N24:N27)</f>
        <v>0</v>
      </c>
      <c r="O28" s="40">
        <f t="shared" ca="1" si="6"/>
        <v>454.26583321387227</v>
      </c>
      <c r="P28" s="40">
        <f t="shared" ca="1" si="6"/>
        <v>4.0222614449731955</v>
      </c>
      <c r="Q28" s="40">
        <f t="shared" ca="1" si="6"/>
        <v>1.7697483319945253</v>
      </c>
      <c r="R28" s="40">
        <f t="shared" ref="R28" si="7">SUM(R24:R27)</f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0" x14ac:dyDescent="0.25">
      <c r="N29" s="76"/>
      <c r="O29" s="76"/>
      <c r="P29" s="76"/>
      <c r="Q29" s="76"/>
      <c r="R29" s="7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48"/>
    </row>
    <row r="31" spans="1:30" x14ac:dyDescent="0.25">
      <c r="A31" s="2">
        <f>A28+1</f>
        <v>13</v>
      </c>
      <c r="B31" s="31" t="s">
        <v>373</v>
      </c>
      <c r="D31" s="76">
        <f ca="1">'Total Allocation -Ex'!D31-'Total Allocation - Ex Gas'!D31</f>
        <v>4683.1560768178124</v>
      </c>
      <c r="F31" s="76">
        <f>'Total Allocation -Ex'!F31-'Total Allocation - Ex Gas'!F31</f>
        <v>0</v>
      </c>
      <c r="J31" s="76">
        <f ca="1">D31-F31</f>
        <v>4683.1560768178124</v>
      </c>
      <c r="L31" s="2" t="s">
        <v>455</v>
      </c>
      <c r="N31" s="76">
        <f ca="1">IF($J31&lt;&gt;0,VLOOKUP($L31,'Allocation Factors - Ex'!$B$13:$U$163,5,FALSE)*$J31,0)+IF($F31&lt;&gt;0,VLOOKUP($H31,'Allocation Factors - Ex'!$B$13:$U$163,5,FALSE)*$F31,0)</f>
        <v>0</v>
      </c>
      <c r="O31" s="76">
        <f ca="1">IF($J31&lt;&gt;0,VLOOKUP($L31,'Allocation Factors - Ex'!$B$13:$U$163,6,FALSE)*$J31,0)+IF($F31&lt;&gt;0,VLOOKUP($H31,'Allocation Factors - Ex'!$B$13:$U$163,6,FALSE)*$F31,0)</f>
        <v>4683.1560768178124</v>
      </c>
      <c r="P31" s="76">
        <f ca="1">IF($J31&lt;&gt;0,VLOOKUP($L31,'Allocation Factors - Ex'!$B$13:$U$163,7,FALSE)*$J31,0)+IF($F31&lt;&gt;0,VLOOKUP($H31,'Allocation Factors - Ex'!$B$13:$U$163,7,FALSE)*$F31,0)</f>
        <v>0</v>
      </c>
      <c r="Q31" s="76">
        <f ca="1">IF($J31&lt;&gt;0,VLOOKUP($L31,'Allocation Factors - Ex'!$B$13:$U$163,8,FALSE)*$J31,0)+IF($F31&lt;&gt;0,VLOOKUP($H31,'Allocation Factors - Ex'!$B$13:$U$163,8,FALSE)*$F31,0)</f>
        <v>0</v>
      </c>
      <c r="R31" s="76">
        <v>0</v>
      </c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48"/>
    </row>
    <row r="32" spans="1:30" x14ac:dyDescent="0.25">
      <c r="A32" s="2">
        <f>A31+1</f>
        <v>14</v>
      </c>
      <c r="B32" s="31" t="s">
        <v>375</v>
      </c>
      <c r="D32" s="76">
        <f ca="1">'Total Allocation -Ex'!D32-'Total Allocation - Ex Gas'!D32</f>
        <v>996.5653461040007</v>
      </c>
      <c r="F32" s="76">
        <f>'Total Allocation -Ex'!F32-'Total Allocation - Ex Gas'!F32</f>
        <v>0</v>
      </c>
      <c r="J32" s="76">
        <f t="shared" ref="J32:J38" ca="1" si="8">D32-F32</f>
        <v>996.5653461040007</v>
      </c>
      <c r="L32" s="2" t="s">
        <v>456</v>
      </c>
      <c r="N32" s="76">
        <f ca="1">IF($J32&lt;&gt;0,VLOOKUP($L32,'Allocation Factors - Ex'!$B$13:$U$163,5,FALSE)*$J32,0)+IF($F32&lt;&gt;0,VLOOKUP($H32,'Allocation Factors - Ex'!$B$13:$U$163,5,FALSE)*$F32,0)</f>
        <v>0</v>
      </c>
      <c r="O32" s="76">
        <f ca="1">IF($J32&lt;&gt;0,VLOOKUP($L32,'Allocation Factors - Ex'!$B$13:$U$163,6,FALSE)*$J32,0)+IF($F32&lt;&gt;0,VLOOKUP($H32,'Allocation Factors - Ex'!$B$13:$U$163,6,FALSE)*$F32,0)</f>
        <v>996.5653461040007</v>
      </c>
      <c r="P32" s="76">
        <f ca="1">IF($J32&lt;&gt;0,VLOOKUP($L32,'Allocation Factors - Ex'!$B$13:$U$163,7,FALSE)*$J32,0)+IF($F32&lt;&gt;0,VLOOKUP($H32,'Allocation Factors - Ex'!$B$13:$U$163,7,FALSE)*$F32,0)</f>
        <v>0</v>
      </c>
      <c r="Q32" s="76">
        <f ca="1">IF($J32&lt;&gt;0,VLOOKUP($L32,'Allocation Factors - Ex'!$B$13:$U$163,8,FALSE)*$J32,0)+IF($F32&lt;&gt;0,VLOOKUP($H32,'Allocation Factors - Ex'!$B$13:$U$163,8,FALSE)*$F32,0)</f>
        <v>0</v>
      </c>
      <c r="R32" s="76">
        <v>0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48"/>
    </row>
    <row r="33" spans="1:30" x14ac:dyDescent="0.25">
      <c r="A33" s="2">
        <f t="shared" ref="A33:A39" si="9">A32+1</f>
        <v>15</v>
      </c>
      <c r="B33" s="31" t="s">
        <v>377</v>
      </c>
      <c r="D33" s="76">
        <f ca="1">'Total Allocation -Ex'!D33-'Total Allocation - Ex Gas'!D33</f>
        <v>23651.555856816427</v>
      </c>
      <c r="F33" s="76">
        <f>'Total Allocation -Ex'!F33-'Total Allocation - Ex Gas'!F33</f>
        <v>0</v>
      </c>
      <c r="J33" s="76">
        <f t="shared" ca="1" si="8"/>
        <v>23651.555856816427</v>
      </c>
      <c r="L33" s="2" t="s">
        <v>457</v>
      </c>
      <c r="N33" s="76">
        <f ca="1">IF($J33&lt;&gt;0,VLOOKUP($L33,'Allocation Factors - Ex'!$B$13:$U$163,5,FALSE)*$J33,0)+IF($F33&lt;&gt;0,VLOOKUP($H33,'Allocation Factors - Ex'!$B$13:$U$163,5,FALSE)*$F33,0)</f>
        <v>0</v>
      </c>
      <c r="O33" s="76">
        <f ca="1">IF($J33&lt;&gt;0,VLOOKUP($L33,'Allocation Factors - Ex'!$B$13:$U$163,6,FALSE)*$J33,0)+IF($F33&lt;&gt;0,VLOOKUP($H33,'Allocation Factors - Ex'!$B$13:$U$163,6,FALSE)*$F33,0)</f>
        <v>23651.555856816427</v>
      </c>
      <c r="P33" s="76">
        <f ca="1">IF($J33&lt;&gt;0,VLOOKUP($L33,'Allocation Factors - Ex'!$B$13:$U$163,7,FALSE)*$J33,0)+IF($F33&lt;&gt;0,VLOOKUP($H33,'Allocation Factors - Ex'!$B$13:$U$163,7,FALSE)*$F33,0)</f>
        <v>0</v>
      </c>
      <c r="Q33" s="76">
        <f ca="1">IF($J33&lt;&gt;0,VLOOKUP($L33,'Allocation Factors - Ex'!$B$13:$U$163,8,FALSE)*$J33,0)+IF($F33&lt;&gt;0,VLOOKUP($H33,'Allocation Factors - Ex'!$B$13:$U$163,8,FALSE)*$F33,0)</f>
        <v>0</v>
      </c>
      <c r="R33" s="76">
        <v>0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8"/>
    </row>
    <row r="34" spans="1:30" x14ac:dyDescent="0.25">
      <c r="A34" s="2">
        <f t="shared" si="9"/>
        <v>16</v>
      </c>
      <c r="B34" s="31" t="s">
        <v>379</v>
      </c>
      <c r="D34" s="76">
        <f ca="1">'Total Allocation -Ex'!D34-'Total Allocation - Ex Gas'!D34</f>
        <v>66563.358443648132</v>
      </c>
      <c r="F34" s="76">
        <f>'Total Allocation -Ex'!F34-'Total Allocation - Ex Gas'!F34</f>
        <v>0</v>
      </c>
      <c r="J34" s="76">
        <f t="shared" ca="1" si="8"/>
        <v>66563.358443648132</v>
      </c>
      <c r="L34" s="2" t="s">
        <v>458</v>
      </c>
      <c r="N34" s="76">
        <f ca="1">IF($J34&lt;&gt;0,VLOOKUP($L34,'Allocation Factors - Ex'!$B$13:$U$163,5,FALSE)*$J34,0)+IF($F34&lt;&gt;0,VLOOKUP($H34,'Allocation Factors - Ex'!$B$13:$U$163,5,FALSE)*$F34,0)</f>
        <v>0</v>
      </c>
      <c r="O34" s="76">
        <f ca="1">IF($J34&lt;&gt;0,VLOOKUP($L34,'Allocation Factors - Ex'!$B$13:$U$163,6,FALSE)*$J34,0)+IF($F34&lt;&gt;0,VLOOKUP($H34,'Allocation Factors - Ex'!$B$13:$U$163,6,FALSE)*$F34,0)</f>
        <v>66563.358443648132</v>
      </c>
      <c r="P34" s="76">
        <f ca="1">IF($J34&lt;&gt;0,VLOOKUP($L34,'Allocation Factors - Ex'!$B$13:$U$163,7,FALSE)*$J34,0)+IF($F34&lt;&gt;0,VLOOKUP($H34,'Allocation Factors - Ex'!$B$13:$U$163,7,FALSE)*$F34,0)</f>
        <v>0</v>
      </c>
      <c r="Q34" s="76">
        <f ca="1">IF($J34&lt;&gt;0,VLOOKUP($L34,'Allocation Factors - Ex'!$B$13:$U$163,8,FALSE)*$J34,0)+IF($F34&lt;&gt;0,VLOOKUP($H34,'Allocation Factors - Ex'!$B$13:$U$163,8,FALSE)*$F34,0)</f>
        <v>0</v>
      </c>
      <c r="R34" s="76">
        <v>0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8"/>
    </row>
    <row r="35" spans="1:30" x14ac:dyDescent="0.25">
      <c r="A35" s="2">
        <f t="shared" si="9"/>
        <v>17</v>
      </c>
      <c r="B35" s="31" t="s">
        <v>381</v>
      </c>
      <c r="D35" s="76">
        <f ca="1">'Total Allocation -Ex'!D35-'Total Allocation - Ex Gas'!D35</f>
        <v>18341.833576983983</v>
      </c>
      <c r="F35" s="76">
        <f>'Total Allocation -Ex'!F35-'Total Allocation - Ex Gas'!F35</f>
        <v>0</v>
      </c>
      <c r="J35" s="76">
        <f t="shared" ca="1" si="8"/>
        <v>18341.833576983983</v>
      </c>
      <c r="L35" s="2" t="s">
        <v>459</v>
      </c>
      <c r="N35" s="76">
        <f ca="1">IF($J35&lt;&gt;0,VLOOKUP($L35,'Allocation Factors - Ex'!$B$13:$U$163,5,FALSE)*$J35,0)+IF($F35&lt;&gt;0,VLOOKUP($H35,'Allocation Factors - Ex'!$B$13:$U$163,5,FALSE)*$F35,0)</f>
        <v>0</v>
      </c>
      <c r="O35" s="76">
        <f ca="1">IF($J35&lt;&gt;0,VLOOKUP($L35,'Allocation Factors - Ex'!$B$13:$U$163,6,FALSE)*$J35,0)+IF($F35&lt;&gt;0,VLOOKUP($H35,'Allocation Factors - Ex'!$B$13:$U$163,6,FALSE)*$F35,0)</f>
        <v>18341.833576983983</v>
      </c>
      <c r="P35" s="76">
        <f ca="1">IF($J35&lt;&gt;0,VLOOKUP($L35,'Allocation Factors - Ex'!$B$13:$U$163,7,FALSE)*$J35,0)+IF($F35&lt;&gt;0,VLOOKUP($H35,'Allocation Factors - Ex'!$B$13:$U$163,7,FALSE)*$F35,0)</f>
        <v>0</v>
      </c>
      <c r="Q35" s="76">
        <f ca="1">IF($J35&lt;&gt;0,VLOOKUP($L35,'Allocation Factors - Ex'!$B$13:$U$163,8,FALSE)*$J35,0)+IF($F35&lt;&gt;0,VLOOKUP($H35,'Allocation Factors - Ex'!$B$13:$U$163,8,FALSE)*$F35,0)</f>
        <v>0</v>
      </c>
      <c r="R35" s="76">
        <v>0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48"/>
    </row>
    <row r="36" spans="1:30" x14ac:dyDescent="0.25">
      <c r="A36" s="2">
        <f t="shared" si="9"/>
        <v>18</v>
      </c>
      <c r="B36" s="31" t="s">
        <v>383</v>
      </c>
      <c r="D36" s="76">
        <f ca="1">'Total Allocation -Ex'!D36-'Total Allocation - Ex Gas'!D36</f>
        <v>0</v>
      </c>
      <c r="F36" s="76">
        <f>'Total Allocation -Ex'!F36-'Total Allocation - Ex Gas'!F36</f>
        <v>0</v>
      </c>
      <c r="J36" s="76">
        <f t="shared" ca="1" si="8"/>
        <v>0</v>
      </c>
      <c r="L36" s="2" t="s">
        <v>460</v>
      </c>
      <c r="N36" s="76">
        <f ca="1">IF($J36&lt;&gt;0,VLOOKUP($L36,'Allocation Factors - Ex'!$B$13:$U$163,5,FALSE)*$J36,0)+IF($F36&lt;&gt;0,VLOOKUP($H36,'Allocation Factors - Ex'!$B$13:$U$163,5,FALSE)*$F36,0)</f>
        <v>0</v>
      </c>
      <c r="O36" s="76">
        <f ca="1">IF($J36&lt;&gt;0,VLOOKUP($L36,'Allocation Factors - Ex'!$B$13:$U$163,6,FALSE)*$J36,0)+IF($F36&lt;&gt;0,VLOOKUP($H36,'Allocation Factors - Ex'!$B$13:$U$163,6,FALSE)*$F36,0)</f>
        <v>0</v>
      </c>
      <c r="P36" s="76">
        <f ca="1">IF($J36&lt;&gt;0,VLOOKUP($L36,'Allocation Factors - Ex'!$B$13:$U$163,7,FALSE)*$J36,0)+IF($F36&lt;&gt;0,VLOOKUP($H36,'Allocation Factors - Ex'!$B$13:$U$163,7,FALSE)*$F36,0)</f>
        <v>0</v>
      </c>
      <c r="Q36" s="76">
        <f ca="1">IF($J36&lt;&gt;0,VLOOKUP($L36,'Allocation Factors - Ex'!$B$13:$U$163,8,FALSE)*$J36,0)+IF($F36&lt;&gt;0,VLOOKUP($H36,'Allocation Factors - Ex'!$B$13:$U$163,8,FALSE)*$F36,0)</f>
        <v>0</v>
      </c>
      <c r="R36" s="76">
        <v>0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48"/>
    </row>
    <row r="37" spans="1:30" x14ac:dyDescent="0.25">
      <c r="A37" s="2">
        <f t="shared" si="9"/>
        <v>19</v>
      </c>
      <c r="B37" s="31" t="s">
        <v>385</v>
      </c>
      <c r="D37" s="76">
        <f ca="1">'Total Allocation -Ex'!D37-'Total Allocation - Ex Gas'!D37</f>
        <v>0</v>
      </c>
      <c r="F37" s="76">
        <f>'Total Allocation -Ex'!F37-'Total Allocation - Ex Gas'!F37</f>
        <v>0</v>
      </c>
      <c r="J37" s="76">
        <f t="shared" ca="1" si="8"/>
        <v>0</v>
      </c>
      <c r="L37" s="2" t="s">
        <v>461</v>
      </c>
      <c r="N37" s="76">
        <f ca="1">IF($J37&lt;&gt;0,VLOOKUP($L37,'Allocation Factors - Ex'!$B$13:$U$163,5,FALSE)*$J37,0)+IF($F37&lt;&gt;0,VLOOKUP($H37,'Allocation Factors - Ex'!$B$13:$U$163,5,FALSE)*$F37,0)</f>
        <v>0</v>
      </c>
      <c r="O37" s="76">
        <f ca="1">IF($J37&lt;&gt;0,VLOOKUP($L37,'Allocation Factors - Ex'!$B$13:$U$163,6,FALSE)*$J37,0)+IF($F37&lt;&gt;0,VLOOKUP($H37,'Allocation Factors - Ex'!$B$13:$U$163,6,FALSE)*$F37,0)</f>
        <v>0</v>
      </c>
      <c r="P37" s="76">
        <f ca="1">IF($J37&lt;&gt;0,VLOOKUP($L37,'Allocation Factors - Ex'!$B$13:$U$163,7,FALSE)*$J37,0)+IF($F37&lt;&gt;0,VLOOKUP($H37,'Allocation Factors - Ex'!$B$13:$U$163,7,FALSE)*$F37,0)</f>
        <v>0</v>
      </c>
      <c r="Q37" s="76">
        <f ca="1">IF($J37&lt;&gt;0,VLOOKUP($L37,'Allocation Factors - Ex'!$B$13:$U$163,8,FALSE)*$J37,0)+IF($F37&lt;&gt;0,VLOOKUP($H37,'Allocation Factors - Ex'!$B$13:$U$163,8,FALSE)*$F37,0)</f>
        <v>0</v>
      </c>
      <c r="R37" s="76">
        <v>0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48"/>
    </row>
    <row r="38" spans="1:30" x14ac:dyDescent="0.25">
      <c r="A38" s="2">
        <f t="shared" si="9"/>
        <v>20</v>
      </c>
      <c r="B38" s="31" t="s">
        <v>386</v>
      </c>
      <c r="D38" s="76">
        <f ca="1">'Total Allocation -Ex'!D38-'Total Allocation - Ex Gas'!D38</f>
        <v>0</v>
      </c>
      <c r="F38" s="76">
        <f>'Total Allocation -Ex'!F38-'Total Allocation - Ex Gas'!F38</f>
        <v>0</v>
      </c>
      <c r="H38" s="2" t="s">
        <v>462</v>
      </c>
      <c r="J38" s="76">
        <f t="shared" ca="1" si="8"/>
        <v>0</v>
      </c>
      <c r="L38" s="2" t="s">
        <v>463</v>
      </c>
      <c r="N38" s="76">
        <f ca="1">IF($J38&lt;&gt;0,VLOOKUP($L38,'Allocation Factors - Ex'!$B$13:$U$163,5,FALSE)*$J38,0)+IF($F38&lt;&gt;0,VLOOKUP($H38,'Allocation Factors - Ex'!$B$13:$U$163,5,FALSE)*$F38,0)</f>
        <v>0</v>
      </c>
      <c r="O38" s="76">
        <f ca="1">IF($J38&lt;&gt;0,VLOOKUP($L38,'Allocation Factors - Ex'!$B$13:$U$163,6,FALSE)*$J38,0)+IF($F38&lt;&gt;0,VLOOKUP($H38,'Allocation Factors - Ex'!$B$13:$U$163,6,FALSE)*$F38,0)</f>
        <v>0</v>
      </c>
      <c r="P38" s="76">
        <f ca="1">IF($J38&lt;&gt;0,VLOOKUP($L38,'Allocation Factors - Ex'!$B$13:$U$163,7,FALSE)*$J38,0)+IF($F38&lt;&gt;0,VLOOKUP($H38,'Allocation Factors - Ex'!$B$13:$U$163,7,FALSE)*$F38,0)</f>
        <v>0</v>
      </c>
      <c r="Q38" s="76">
        <f ca="1">IF($J38&lt;&gt;0,VLOOKUP($L38,'Allocation Factors - Ex'!$B$13:$U$163,8,FALSE)*$J38,0)+IF($F38&lt;&gt;0,VLOOKUP($H38,'Allocation Factors - Ex'!$B$13:$U$163,8,FALSE)*$F38,0)</f>
        <v>0</v>
      </c>
      <c r="R38" s="76">
        <v>0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48"/>
    </row>
    <row r="39" spans="1:30" x14ac:dyDescent="0.25">
      <c r="A39" s="2">
        <f t="shared" si="9"/>
        <v>21</v>
      </c>
      <c r="B39" s="31" t="s">
        <v>389</v>
      </c>
      <c r="D39" s="40">
        <f ca="1">SUM(D31:D38)</f>
        <v>114236.46930037034</v>
      </c>
      <c r="F39" s="40">
        <f>SUM(F31:F38)</f>
        <v>0</v>
      </c>
      <c r="J39" s="40">
        <f ca="1">SUM(J31:J38)</f>
        <v>114236.46930037034</v>
      </c>
      <c r="N39" s="40">
        <f t="shared" ref="N39:Q39" ca="1" si="10">SUM(N31:N38)</f>
        <v>0</v>
      </c>
      <c r="O39" s="40">
        <f t="shared" ca="1" si="10"/>
        <v>114236.46930037034</v>
      </c>
      <c r="P39" s="40">
        <f t="shared" ca="1" si="10"/>
        <v>0</v>
      </c>
      <c r="Q39" s="40">
        <f t="shared" ca="1" si="10"/>
        <v>0</v>
      </c>
      <c r="R39" s="40">
        <f t="shared" ref="R39" si="11">SUM(R31:R38)</f>
        <v>0</v>
      </c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</row>
    <row r="40" spans="1:30" x14ac:dyDescent="0.25">
      <c r="N40" s="76"/>
      <c r="O40" s="76"/>
      <c r="P40" s="76"/>
      <c r="Q40" s="76"/>
      <c r="R40" s="7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114696.52714336118</v>
      </c>
      <c r="F42" s="80">
        <f>F21+F28+F39</f>
        <v>0</v>
      </c>
      <c r="J42" s="80">
        <f ca="1">J21+J28+J39</f>
        <v>114696.52714336118</v>
      </c>
      <c r="N42" s="80">
        <f t="shared" ref="N42:Q42" ca="1" si="12">N21+N28+N39</f>
        <v>0</v>
      </c>
      <c r="O42" s="80">
        <f t="shared" ca="1" si="12"/>
        <v>114690.73513358421</v>
      </c>
      <c r="P42" s="80">
        <f t="shared" ca="1" si="12"/>
        <v>4.0222614449731955</v>
      </c>
      <c r="Q42" s="80">
        <f t="shared" ca="1" si="12"/>
        <v>1.7697483319945253</v>
      </c>
      <c r="R42" s="80">
        <f t="shared" ref="R42" si="13">R21+R28+R39</f>
        <v>0</v>
      </c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F816-FA54-4087-BEC7-EBF51149426B}">
  <sheetPr>
    <tabColor theme="0" tint="-0.249977111117893"/>
  </sheetPr>
  <dimension ref="A6:AD45"/>
  <sheetViews>
    <sheetView zoomScale="80" zoomScaleNormal="80" workbookViewId="0">
      <selection activeCell="L37" sqref="L37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24.1796875" style="2" customWidth="1"/>
    <col min="9" max="9" width="1.7265625" style="7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71" customWidth="1"/>
    <col min="14" max="18" width="10.81640625" style="31" customWidth="1"/>
    <col min="19" max="19" width="15.81640625" style="31" customWidth="1"/>
    <col min="20" max="16384" width="9.1796875" style="31"/>
  </cols>
  <sheetData>
    <row r="6" spans="1:30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0" x14ac:dyDescent="0.25">
      <c r="B7" s="158" t="s">
        <v>483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0" x14ac:dyDescent="0.25">
      <c r="D9" s="2" t="s">
        <v>337</v>
      </c>
    </row>
    <row r="10" spans="1:30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70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 t="s">
        <v>426</v>
      </c>
      <c r="R10" s="2" t="s">
        <v>426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70"/>
      <c r="J11" s="33" t="s">
        <v>343</v>
      </c>
      <c r="L11" s="33" t="s">
        <v>14</v>
      </c>
      <c r="N11" s="33" t="s">
        <v>477</v>
      </c>
      <c r="O11" s="33" t="s">
        <v>478</v>
      </c>
      <c r="P11" s="33" t="s">
        <v>479</v>
      </c>
      <c r="Q11" s="33" t="s">
        <v>480</v>
      </c>
      <c r="R11" s="33" t="s">
        <v>481</v>
      </c>
      <c r="S11" s="2"/>
      <c r="T11" s="2"/>
      <c r="U11" s="2"/>
      <c r="V11" s="2"/>
      <c r="W11" s="2"/>
      <c r="X11" s="2"/>
      <c r="Y11" s="2"/>
      <c r="Z11" s="2"/>
      <c r="AA11" s="81"/>
      <c r="AB11" s="2"/>
      <c r="AC11" s="2"/>
    </row>
    <row r="12" spans="1:30" x14ac:dyDescent="0.25">
      <c r="D12" s="81" t="s">
        <v>22</v>
      </c>
      <c r="F12" s="81" t="s">
        <v>23</v>
      </c>
      <c r="H12" s="81" t="s">
        <v>24</v>
      </c>
      <c r="I12" s="31"/>
      <c r="J12" s="81" t="s">
        <v>165</v>
      </c>
      <c r="L12" s="81" t="s">
        <v>26</v>
      </c>
      <c r="M12" s="31"/>
      <c r="N12" s="2" t="s">
        <v>27</v>
      </c>
      <c r="O12" s="81" t="s">
        <v>28</v>
      </c>
      <c r="P12" s="81" t="s">
        <v>29</v>
      </c>
      <c r="Q12" s="81" t="s">
        <v>30</v>
      </c>
      <c r="R12" s="81" t="s">
        <v>180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30" x14ac:dyDescent="0.25">
      <c r="D13" s="81"/>
      <c r="F13" s="81"/>
      <c r="H13" s="81"/>
      <c r="J13" s="81"/>
      <c r="L13" s="81"/>
      <c r="N13" s="114">
        <v>4</v>
      </c>
      <c r="O13" s="114">
        <v>6</v>
      </c>
      <c r="P13" s="114">
        <v>8</v>
      </c>
      <c r="Q13" s="114">
        <v>10</v>
      </c>
      <c r="R13" s="114">
        <v>11</v>
      </c>
    </row>
    <row r="14" spans="1:30" x14ac:dyDescent="0.25">
      <c r="B14" s="74" t="s">
        <v>348</v>
      </c>
    </row>
    <row r="15" spans="1:30" x14ac:dyDescent="0.25">
      <c r="A15" s="2">
        <v>1</v>
      </c>
      <c r="B15" s="31" t="s">
        <v>349</v>
      </c>
      <c r="D15" s="76">
        <f ca="1">'Rate Zone Allocation - Gas Cost'!S15</f>
        <v>0</v>
      </c>
      <c r="F15" s="76"/>
      <c r="J15" s="76">
        <f ca="1">D15-F15</f>
        <v>0</v>
      </c>
      <c r="L15" s="2" t="s">
        <v>445</v>
      </c>
      <c r="N15" s="76">
        <f ca="1">IF($J15&lt;&gt;0,VLOOKUP($L15,'Allocation Factors - Ex'!$B$13:$U$163,5,FALSE)*$J15,0)+IF($F15&lt;&gt;0,VLOOKUP($H15,'Allocation Factors - Ex'!$B$13:$U$163,5,FALSE)*$F15,0)</f>
        <v>0</v>
      </c>
      <c r="O15" s="76">
        <f ca="1">IF($J15&lt;&gt;0,VLOOKUP($L15,'Allocation Factors - Ex'!$B$13:$U$163,6,FALSE)*$J15,0)+IF($F15&lt;&gt;0,VLOOKUP($H15,'Allocation Factors - Ex'!$B$13:$U$163,6,FALSE)*$F15,0)</f>
        <v>0</v>
      </c>
      <c r="P15" s="76">
        <f ca="1">IF($J15&lt;&gt;0,VLOOKUP($L15,'Allocation Factors - Ex'!$B$13:$U$163,7,FALSE)*$J15,0)+IF($F15&lt;&gt;0,VLOOKUP($H15,'Allocation Factors - Ex'!$B$13:$U$163,7,FALSE)*$F15,0)</f>
        <v>0</v>
      </c>
      <c r="Q15" s="76">
        <f ca="1">IF($J15&lt;&gt;0,VLOOKUP($L15,'Allocation Factors - Ex'!$B$13:$U$163,8,FALSE)*$J15,0)+IF($F15&lt;&gt;0,VLOOKUP($H15,'Allocation Factors - Ex'!$B$13:$U$163,8,FALSE)*$F15,0)</f>
        <v>0</v>
      </c>
      <c r="R15" s="76">
        <v>0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48"/>
    </row>
    <row r="16" spans="1:30" x14ac:dyDescent="0.25">
      <c r="A16" s="2">
        <f>A15+1</f>
        <v>2</v>
      </c>
      <c r="B16" s="31" t="s">
        <v>351</v>
      </c>
      <c r="D16" s="76">
        <f ca="1">'Rate Zone Allocation - Gas Cost'!S16</f>
        <v>0</v>
      </c>
      <c r="E16" s="71"/>
      <c r="F16" s="76"/>
      <c r="J16" s="76">
        <f ca="1">D16-F16</f>
        <v>0</v>
      </c>
      <c r="L16" s="2" t="s">
        <v>446</v>
      </c>
      <c r="N16" s="76">
        <f ca="1">IF($J16&lt;&gt;0,VLOOKUP($L16,'Allocation Factors - Ex'!$B$13:$U$163,5,FALSE)*$J16,0)+IF($F16&lt;&gt;0,VLOOKUP($H16,'Allocation Factors - Ex'!$B$13:$U$163,5,FALSE)*$F16,0)</f>
        <v>0</v>
      </c>
      <c r="O16" s="76">
        <f ca="1">IF($J16&lt;&gt;0,VLOOKUP($L16,'Allocation Factors - Ex'!$B$13:$U$163,6,FALSE)*$J16,0)+IF($F16&lt;&gt;0,VLOOKUP($H16,'Allocation Factors - Ex'!$B$13:$U$163,6,FALSE)*$F16,0)</f>
        <v>0</v>
      </c>
      <c r="P16" s="76">
        <f ca="1">IF($J16&lt;&gt;0,VLOOKUP($L16,'Allocation Factors - Ex'!$B$13:$U$163,7,FALSE)*$J16,0)+IF($F16&lt;&gt;0,VLOOKUP($H16,'Allocation Factors - Ex'!$B$13:$U$163,7,FALSE)*$F16,0)</f>
        <v>0</v>
      </c>
      <c r="Q16" s="76">
        <f ca="1">IF($J16&lt;&gt;0,VLOOKUP($L16,'Allocation Factors - Ex'!$B$13:$U$163,8,FALSE)*$J16,0)+IF($F16&lt;&gt;0,VLOOKUP($H16,'Allocation Factors - Ex'!$B$13:$U$163,8,FALSE)*$F16,0)</f>
        <v>0</v>
      </c>
      <c r="R16" s="76">
        <v>0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48"/>
    </row>
    <row r="17" spans="1:30" x14ac:dyDescent="0.25">
      <c r="A17" s="2">
        <f t="shared" ref="A17:A21" si="0">A16+1</f>
        <v>3</v>
      </c>
      <c r="B17" s="31" t="s">
        <v>353</v>
      </c>
      <c r="D17" s="76">
        <f ca="1">'Rate Zone Allocation - Gas Cost'!S17</f>
        <v>0</v>
      </c>
      <c r="F17" s="76"/>
      <c r="J17" s="76">
        <f t="shared" ref="J17:J20" ca="1" si="1">D17-F17</f>
        <v>0</v>
      </c>
      <c r="L17" s="2" t="s">
        <v>447</v>
      </c>
      <c r="N17" s="76">
        <f ca="1">IF($J17&lt;&gt;0,VLOOKUP($L17,'Allocation Factors - Ex'!$B$13:$U$163,5,FALSE)*$J17,0)+IF($F17&lt;&gt;0,VLOOKUP($H17,'Allocation Factors - Ex'!$B$13:$U$163,5,FALSE)*$F17,0)</f>
        <v>0</v>
      </c>
      <c r="O17" s="76">
        <f ca="1">IF($J17&lt;&gt;0,VLOOKUP($L17,'Allocation Factors - Ex'!$B$13:$U$163,6,FALSE)*$J17,0)+IF($F17&lt;&gt;0,VLOOKUP($H17,'Allocation Factors - Ex'!$B$13:$U$163,6,FALSE)*$F17,0)</f>
        <v>0</v>
      </c>
      <c r="P17" s="76">
        <f ca="1">IF($J17&lt;&gt;0,VLOOKUP($L17,'Allocation Factors - Ex'!$B$13:$U$163,7,FALSE)*$J17,0)+IF($F17&lt;&gt;0,VLOOKUP($H17,'Allocation Factors - Ex'!$B$13:$U$163,7,FALSE)*$F17,0)</f>
        <v>0</v>
      </c>
      <c r="Q17" s="76">
        <f ca="1">IF($J17&lt;&gt;0,VLOOKUP($L17,'Allocation Factors - Ex'!$B$13:$U$163,8,FALSE)*$J17,0)+IF($F17&lt;&gt;0,VLOOKUP($H17,'Allocation Factors - Ex'!$B$13:$U$163,8,FALSE)*$F17,0)</f>
        <v>0</v>
      </c>
      <c r="R17" s="76">
        <v>0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48"/>
    </row>
    <row r="18" spans="1:30" x14ac:dyDescent="0.25">
      <c r="A18" s="2">
        <f t="shared" si="0"/>
        <v>4</v>
      </c>
      <c r="B18" s="31" t="s">
        <v>355</v>
      </c>
      <c r="D18" s="76">
        <f ca="1">'Rate Zone Allocation - Gas Cost'!S18</f>
        <v>0</v>
      </c>
      <c r="F18" s="76"/>
      <c r="H18" s="2" t="s">
        <v>448</v>
      </c>
      <c r="J18" s="76">
        <f t="shared" ca="1" si="1"/>
        <v>0</v>
      </c>
      <c r="L18" s="2" t="s">
        <v>449</v>
      </c>
      <c r="N18" s="76">
        <f ca="1">IF($J18&lt;&gt;0,VLOOKUP($L18,'Allocation Factors - Ex'!$B$13:$U$163,5,FALSE)*$J18,0)+IF($F18&lt;&gt;0,VLOOKUP($H18,'Allocation Factors - Ex'!$B$13:$U$163,5,FALSE)*$F18,0)</f>
        <v>0</v>
      </c>
      <c r="O18" s="76">
        <f ca="1">IF($J18&lt;&gt;0,VLOOKUP($L18,'Allocation Factors - Ex'!$B$13:$U$163,6,FALSE)*$J18,0)+IF($F18&lt;&gt;0,VLOOKUP($H18,'Allocation Factors - Ex'!$B$13:$U$163,6,FALSE)*$F18,0)</f>
        <v>0</v>
      </c>
      <c r="P18" s="76">
        <f ca="1">IF($J18&lt;&gt;0,VLOOKUP($L18,'Allocation Factors - Ex'!$B$13:$U$163,7,FALSE)*$J18,0)+IF($F18&lt;&gt;0,VLOOKUP($H18,'Allocation Factors - Ex'!$B$13:$U$163,7,FALSE)*$F18,0)</f>
        <v>0</v>
      </c>
      <c r="Q18" s="76">
        <f ca="1">IF($J18&lt;&gt;0,VLOOKUP($L18,'Allocation Factors - Ex'!$B$13:$U$163,8,FALSE)*$J18,0)+IF($F18&lt;&gt;0,VLOOKUP($H18,'Allocation Factors - Ex'!$B$13:$U$163,8,FALSE)*$F18,0)</f>
        <v>0</v>
      </c>
      <c r="R18" s="76">
        <v>0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48"/>
    </row>
    <row r="19" spans="1:30" x14ac:dyDescent="0.25">
      <c r="A19" s="2">
        <f t="shared" si="0"/>
        <v>5</v>
      </c>
      <c r="B19" s="31" t="s">
        <v>358</v>
      </c>
      <c r="D19" s="76">
        <f ca="1">'Rate Zone Allocation - Gas Cost'!S19</f>
        <v>0</v>
      </c>
      <c r="F19" s="76"/>
      <c r="J19" s="76">
        <f t="shared" ca="1" si="1"/>
        <v>0</v>
      </c>
      <c r="L19" s="2" t="s">
        <v>450</v>
      </c>
      <c r="N19" s="76">
        <f ca="1">IF($J19&lt;&gt;0,VLOOKUP($L19,'Allocation Factors - Ex'!$B$13:$U$163,5,FALSE)*$J19,0)+IF($F19&lt;&gt;0,VLOOKUP($H19,'Allocation Factors - Ex'!$B$13:$U$163,5,FALSE)*$F19,0)</f>
        <v>0</v>
      </c>
      <c r="O19" s="76">
        <f ca="1">IF($J19&lt;&gt;0,VLOOKUP($L19,'Allocation Factors - Ex'!$B$13:$U$163,6,FALSE)*$J19,0)+IF($F19&lt;&gt;0,VLOOKUP($H19,'Allocation Factors - Ex'!$B$13:$U$163,6,FALSE)*$F19,0)</f>
        <v>0</v>
      </c>
      <c r="P19" s="76">
        <f ca="1">IF($J19&lt;&gt;0,VLOOKUP($L19,'Allocation Factors - Ex'!$B$13:$U$163,7,FALSE)*$J19,0)+IF($F19&lt;&gt;0,VLOOKUP($H19,'Allocation Factors - Ex'!$B$13:$U$163,7,FALSE)*$F19,0)</f>
        <v>0</v>
      </c>
      <c r="Q19" s="76">
        <f ca="1">IF($J19&lt;&gt;0,VLOOKUP($L19,'Allocation Factors - Ex'!$B$13:$U$163,8,FALSE)*$J19,0)+IF($F19&lt;&gt;0,VLOOKUP($H19,'Allocation Factors - Ex'!$B$13:$U$163,8,FALSE)*$F19,0)</f>
        <v>0</v>
      </c>
      <c r="R19" s="76">
        <v>0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48"/>
    </row>
    <row r="20" spans="1:30" x14ac:dyDescent="0.25">
      <c r="A20" s="2">
        <f t="shared" si="0"/>
        <v>6</v>
      </c>
      <c r="B20" s="31" t="s">
        <v>178</v>
      </c>
      <c r="D20" s="76">
        <f ca="1">'Rate Zone Allocation - Gas Cost'!S20</f>
        <v>0</v>
      </c>
      <c r="F20" s="76"/>
      <c r="J20" s="76">
        <f t="shared" ca="1" si="1"/>
        <v>0</v>
      </c>
      <c r="L20" s="2" t="s">
        <v>445</v>
      </c>
      <c r="N20" s="76">
        <f ca="1">IF($J20&lt;&gt;0,VLOOKUP($L20,'Allocation Factors - Ex'!$B$13:$U$163,5,FALSE)*$J20,0)+IF($F20&lt;&gt;0,VLOOKUP($H20,'Allocation Factors - Ex'!$B$13:$U$163,5,FALSE)*$F20,0)</f>
        <v>0</v>
      </c>
      <c r="O20" s="76">
        <f ca="1">IF($J20&lt;&gt;0,VLOOKUP($L20,'Allocation Factors - Ex'!$B$13:$U$163,6,FALSE)*$J20,0)+IF($F20&lt;&gt;0,VLOOKUP($H20,'Allocation Factors - Ex'!$B$13:$U$163,6,FALSE)*$F20,0)</f>
        <v>0</v>
      </c>
      <c r="P20" s="76">
        <f ca="1">IF($J20&lt;&gt;0,VLOOKUP($L20,'Allocation Factors - Ex'!$B$13:$U$163,7,FALSE)*$J20,0)+IF($F20&lt;&gt;0,VLOOKUP($H20,'Allocation Factors - Ex'!$B$13:$U$163,7,FALSE)*$F20,0)</f>
        <v>0</v>
      </c>
      <c r="Q20" s="76">
        <f ca="1">IF($J20&lt;&gt;0,VLOOKUP($L20,'Allocation Factors - Ex'!$B$13:$U$163,8,FALSE)*$J20,0)+IF($F20&lt;&gt;0,VLOOKUP($H20,'Allocation Factors - Ex'!$B$13:$U$163,8,FALSE)*$F20,0)</f>
        <v>0</v>
      </c>
      <c r="R20" s="76">
        <v>0</v>
      </c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48"/>
    </row>
    <row r="21" spans="1:30" x14ac:dyDescent="0.25">
      <c r="A21" s="2">
        <f t="shared" si="0"/>
        <v>7</v>
      </c>
      <c r="B21" s="31" t="s">
        <v>361</v>
      </c>
      <c r="D21" s="78">
        <f ca="1">SUM(D15:D20)</f>
        <v>0</v>
      </c>
      <c r="F21" s="78">
        <f>SUM(F15:F20)</f>
        <v>0</v>
      </c>
      <c r="J21" s="40">
        <f ca="1">SUM(J15:J20)</f>
        <v>0</v>
      </c>
      <c r="N21" s="40">
        <f t="shared" ref="N21:Q21" ca="1" si="2">SUM(N15:N20)</f>
        <v>0</v>
      </c>
      <c r="O21" s="40">
        <f t="shared" ca="1" si="2"/>
        <v>0</v>
      </c>
      <c r="P21" s="40">
        <f t="shared" ca="1" si="2"/>
        <v>0</v>
      </c>
      <c r="Q21" s="40">
        <f t="shared" ca="1" si="2"/>
        <v>0</v>
      </c>
      <c r="R21" s="40">
        <f t="shared" ref="R21" si="3">SUM(R15:R20)</f>
        <v>0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</row>
    <row r="22" spans="1:30" x14ac:dyDescent="0.25">
      <c r="D22" s="76"/>
      <c r="N22" s="76"/>
      <c r="O22" s="76"/>
      <c r="P22" s="76"/>
      <c r="Q22" s="76"/>
      <c r="R22" s="7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48"/>
    </row>
    <row r="23" spans="1:30" x14ac:dyDescent="0.25">
      <c r="B23" s="74" t="s">
        <v>362</v>
      </c>
      <c r="D23" s="76"/>
      <c r="N23" s="76"/>
      <c r="O23" s="76"/>
      <c r="P23" s="76"/>
      <c r="Q23" s="76"/>
      <c r="R23" s="7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48"/>
    </row>
    <row r="24" spans="1:30" x14ac:dyDescent="0.25">
      <c r="A24" s="2">
        <f>A21+1</f>
        <v>8</v>
      </c>
      <c r="B24" s="31" t="s">
        <v>363</v>
      </c>
      <c r="D24" s="76">
        <f ca="1">'Rate Zone Allocation - Gas Cost'!S24</f>
        <v>0</v>
      </c>
      <c r="F24" s="76"/>
      <c r="J24" s="76">
        <f ca="1">D24-F24</f>
        <v>0</v>
      </c>
      <c r="L24" s="2" t="s">
        <v>447</v>
      </c>
      <c r="N24" s="76">
        <f ca="1">IF($J24&lt;&gt;0,VLOOKUP($L24,'Allocation Factors - Ex'!$B$13:$U$163,5,FALSE)*$J24,0)+IF($F24&lt;&gt;0,VLOOKUP($H24,'Allocation Factors - Ex'!$B$13:$U$163,5,FALSE)*$F24,0)</f>
        <v>0</v>
      </c>
      <c r="O24" s="76">
        <f ca="1">IF($J24&lt;&gt;0,VLOOKUP($L24,'Allocation Factors - Ex'!$B$13:$U$163,6,FALSE)*$J24,0)+IF($F24&lt;&gt;0,VLOOKUP($H24,'Allocation Factors - Ex'!$B$13:$U$163,6,FALSE)*$F24,0)</f>
        <v>0</v>
      </c>
      <c r="P24" s="76">
        <f ca="1">IF($J24&lt;&gt;0,VLOOKUP($L24,'Allocation Factors - Ex'!$B$13:$U$163,7,FALSE)*$J24,0)+IF($F24&lt;&gt;0,VLOOKUP($H24,'Allocation Factors - Ex'!$B$13:$U$163,7,FALSE)*$F24,0)</f>
        <v>0</v>
      </c>
      <c r="Q24" s="76">
        <f ca="1">IF($J24&lt;&gt;0,VLOOKUP($L24,'Allocation Factors - Ex'!$B$13:$U$163,8,FALSE)*$J24,0)+IF($F24&lt;&gt;0,VLOOKUP($H24,'Allocation Factors - Ex'!$B$13:$U$163,8,FALSE)*$F24,0)</f>
        <v>0</v>
      </c>
      <c r="R24" s="76">
        <v>0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48"/>
    </row>
    <row r="25" spans="1:30" x14ac:dyDescent="0.25">
      <c r="A25" s="2">
        <f>A24+1</f>
        <v>9</v>
      </c>
      <c r="B25" s="31" t="s">
        <v>364</v>
      </c>
      <c r="D25" s="76">
        <f ca="1">'Rate Zone Allocation - Gas Cost'!S25</f>
        <v>0</v>
      </c>
      <c r="F25" s="76"/>
      <c r="H25" s="2" t="s">
        <v>451</v>
      </c>
      <c r="J25" s="76">
        <f t="shared" ref="J25:J27" ca="1" si="4">D25-F25</f>
        <v>0</v>
      </c>
      <c r="L25" s="2" t="s">
        <v>452</v>
      </c>
      <c r="N25" s="76">
        <f ca="1">IF($J25&lt;&gt;0,VLOOKUP($L25,'Allocation Factors - Ex'!$B$13:$U$163,5,FALSE)*$J25,0)+IF($F25&lt;&gt;0,VLOOKUP($H25,'Allocation Factors - Ex'!$B$13:$U$163,5,FALSE)*$F25,0)</f>
        <v>0</v>
      </c>
      <c r="O25" s="76">
        <f ca="1">IF($J25&lt;&gt;0,VLOOKUP($L25,'Allocation Factors - Ex'!$B$13:$U$163,6,FALSE)*$J25,0)+IF($F25&lt;&gt;0,VLOOKUP($H25,'Allocation Factors - Ex'!$B$13:$U$163,6,FALSE)*$F25,0)</f>
        <v>0</v>
      </c>
      <c r="P25" s="76">
        <f ca="1">IF($J25&lt;&gt;0,VLOOKUP($L25,'Allocation Factors - Ex'!$B$13:$U$163,7,FALSE)*$J25,0)+IF($F25&lt;&gt;0,VLOOKUP($H25,'Allocation Factors - Ex'!$B$13:$U$163,7,FALSE)*$F25,0)</f>
        <v>0</v>
      </c>
      <c r="Q25" s="76">
        <f ca="1">IF($J25&lt;&gt;0,VLOOKUP($L25,'Allocation Factors - Ex'!$B$13:$U$163,8,FALSE)*$J25,0)+IF($F25&lt;&gt;0,VLOOKUP($H25,'Allocation Factors - Ex'!$B$13:$U$163,8,FALSE)*$F25,0)</f>
        <v>0</v>
      </c>
      <c r="R25" s="76">
        <v>0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48"/>
    </row>
    <row r="26" spans="1:30" x14ac:dyDescent="0.25">
      <c r="A26" s="2">
        <f t="shared" ref="A26:A28" si="5">A25+1</f>
        <v>10</v>
      </c>
      <c r="B26" s="31" t="s">
        <v>367</v>
      </c>
      <c r="D26" s="76">
        <f ca="1">'Rate Zone Allocation - Gas Cost'!S26</f>
        <v>0</v>
      </c>
      <c r="F26" s="76"/>
      <c r="J26" s="76">
        <f t="shared" ca="1" si="4"/>
        <v>0</v>
      </c>
      <c r="L26" s="2" t="s">
        <v>453</v>
      </c>
      <c r="N26" s="76">
        <f ca="1">IF($J26&lt;&gt;0,VLOOKUP($L26,'Allocation Factors - Ex'!$B$13:$U$163,5,FALSE)*$J26,0)+IF($F26&lt;&gt;0,VLOOKUP($H26,'Allocation Factors - Ex'!$B$13:$U$163,5,FALSE)*$F26,0)</f>
        <v>0</v>
      </c>
      <c r="O26" s="76">
        <f ca="1">IF($J26&lt;&gt;0,VLOOKUP($L26,'Allocation Factors - Ex'!$B$13:$U$163,6,FALSE)*$J26,0)+IF($F26&lt;&gt;0,VLOOKUP($H26,'Allocation Factors - Ex'!$B$13:$U$163,6,FALSE)*$F26,0)</f>
        <v>0</v>
      </c>
      <c r="P26" s="76">
        <f ca="1">IF($J26&lt;&gt;0,VLOOKUP($L26,'Allocation Factors - Ex'!$B$13:$U$163,7,FALSE)*$J26,0)+IF($F26&lt;&gt;0,VLOOKUP($H26,'Allocation Factors - Ex'!$B$13:$U$163,7,FALSE)*$F26,0)</f>
        <v>0</v>
      </c>
      <c r="Q26" s="76">
        <f ca="1">IF($J26&lt;&gt;0,VLOOKUP($L26,'Allocation Factors - Ex'!$B$13:$U$163,8,FALSE)*$J26,0)+IF($F26&lt;&gt;0,VLOOKUP($H26,'Allocation Factors - Ex'!$B$13:$U$163,8,FALSE)*$F26,0)</f>
        <v>0</v>
      </c>
      <c r="R26" s="76">
        <v>0</v>
      </c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48"/>
    </row>
    <row r="27" spans="1:30" x14ac:dyDescent="0.25">
      <c r="A27" s="2">
        <f t="shared" si="5"/>
        <v>11</v>
      </c>
      <c r="B27" s="31" t="s">
        <v>369</v>
      </c>
      <c r="D27" s="76">
        <f ca="1">'Rate Zone Allocation - Gas Cost'!S27</f>
        <v>0</v>
      </c>
      <c r="F27" s="76"/>
      <c r="J27" s="76">
        <f t="shared" ca="1" si="4"/>
        <v>0</v>
      </c>
      <c r="L27" s="2" t="s">
        <v>454</v>
      </c>
      <c r="N27" s="76">
        <f ca="1">IF($J27&lt;&gt;0,VLOOKUP($L27,'Allocation Factors - Ex'!$B$13:$U$163,5,FALSE)*$J27,0)+IF($F27&lt;&gt;0,VLOOKUP($H27,'Allocation Factors - Ex'!$B$13:$U$163,5,FALSE)*$F27,0)</f>
        <v>0</v>
      </c>
      <c r="O27" s="76">
        <f ca="1">IF($J27&lt;&gt;0,VLOOKUP($L27,'Allocation Factors - Ex'!$B$13:$U$163,6,FALSE)*$J27,0)+IF($F27&lt;&gt;0,VLOOKUP($H27,'Allocation Factors - Ex'!$B$13:$U$163,6,FALSE)*$F27,0)</f>
        <v>0</v>
      </c>
      <c r="P27" s="76">
        <f ca="1">IF($J27&lt;&gt;0,VLOOKUP($L27,'Allocation Factors - Ex'!$B$13:$U$163,7,FALSE)*$J27,0)+IF($F27&lt;&gt;0,VLOOKUP($H27,'Allocation Factors - Ex'!$B$13:$U$163,7,FALSE)*$F27,0)</f>
        <v>0</v>
      </c>
      <c r="Q27" s="76">
        <f ca="1">IF($J27&lt;&gt;0,VLOOKUP($L27,'Allocation Factors - Ex'!$B$13:$U$163,8,FALSE)*$J27,0)+IF($F27&lt;&gt;0,VLOOKUP($H27,'Allocation Factors - Ex'!$B$13:$U$163,8,FALSE)*$F27,0)</f>
        <v>0</v>
      </c>
      <c r="R27" s="76">
        <v>0</v>
      </c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48"/>
    </row>
    <row r="28" spans="1:30" x14ac:dyDescent="0.25">
      <c r="A28" s="2">
        <f t="shared" si="5"/>
        <v>12</v>
      </c>
      <c r="B28" s="31" t="s">
        <v>371</v>
      </c>
      <c r="D28" s="40">
        <f ca="1">SUM(D24:D27)</f>
        <v>0</v>
      </c>
      <c r="F28" s="40">
        <f>SUM(F24:F27)</f>
        <v>0</v>
      </c>
      <c r="H28" s="115"/>
      <c r="J28" s="40">
        <f ca="1">SUM(J24:J27)</f>
        <v>0</v>
      </c>
      <c r="N28" s="40">
        <f t="shared" ref="N28:Q28" ca="1" si="6">SUM(N24:N27)</f>
        <v>0</v>
      </c>
      <c r="O28" s="40">
        <f t="shared" ca="1" si="6"/>
        <v>0</v>
      </c>
      <c r="P28" s="40">
        <f t="shared" ca="1" si="6"/>
        <v>0</v>
      </c>
      <c r="Q28" s="40">
        <f t="shared" ca="1" si="6"/>
        <v>0</v>
      </c>
      <c r="R28" s="40">
        <f t="shared" ref="R28" si="7">SUM(R24:R27)</f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0" x14ac:dyDescent="0.25">
      <c r="N29" s="76"/>
      <c r="O29" s="76"/>
      <c r="P29" s="76"/>
      <c r="Q29" s="76"/>
      <c r="R29" s="7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48"/>
    </row>
    <row r="30" spans="1:30" x14ac:dyDescent="0.25">
      <c r="B30" s="74" t="s">
        <v>372</v>
      </c>
      <c r="N30" s="76"/>
      <c r="O30" s="76"/>
      <c r="P30" s="76"/>
      <c r="Q30" s="76"/>
      <c r="R30" s="7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48"/>
    </row>
    <row r="31" spans="1:30" x14ac:dyDescent="0.25">
      <c r="A31" s="2">
        <f>A28+1</f>
        <v>13</v>
      </c>
      <c r="B31" s="31" t="s">
        <v>373</v>
      </c>
      <c r="D31" s="76">
        <f ca="1">'Rate Zone Allocation - Gas Cost'!S31</f>
        <v>0</v>
      </c>
      <c r="F31" s="76"/>
      <c r="J31" s="76">
        <f ca="1">D31-F31</f>
        <v>0</v>
      </c>
      <c r="L31" s="2" t="s">
        <v>455</v>
      </c>
      <c r="N31" s="76">
        <f ca="1">IF($J31&lt;&gt;0,VLOOKUP($L31,'Allocation Factors - Ex'!$B$13:$U$163,5,FALSE)*$J31,0)+IF($F31&lt;&gt;0,VLOOKUP($H31,'Allocation Factors - Ex'!$B$13:$U$163,5,FALSE)*$F31,0)</f>
        <v>0</v>
      </c>
      <c r="O31" s="76">
        <f ca="1">IF($J31&lt;&gt;0,VLOOKUP($L31,'Allocation Factors - Ex'!$B$13:$U$163,6,FALSE)*$J31,0)+IF($F31&lt;&gt;0,VLOOKUP($H31,'Allocation Factors - Ex'!$B$13:$U$163,6,FALSE)*$F31,0)</f>
        <v>0</v>
      </c>
      <c r="P31" s="76">
        <f ca="1">IF($J31&lt;&gt;0,VLOOKUP($L31,'Allocation Factors - Ex'!$B$13:$U$163,7,FALSE)*$J31,0)+IF($F31&lt;&gt;0,VLOOKUP($H31,'Allocation Factors - Ex'!$B$13:$U$163,7,FALSE)*$F31,0)</f>
        <v>0</v>
      </c>
      <c r="Q31" s="76">
        <f ca="1">IF($J31&lt;&gt;0,VLOOKUP($L31,'Allocation Factors - Ex'!$B$13:$U$163,8,FALSE)*$J31,0)+IF($F31&lt;&gt;0,VLOOKUP($H31,'Allocation Factors - Ex'!$B$13:$U$163,8,FALSE)*$F31,0)</f>
        <v>0</v>
      </c>
      <c r="R31" s="76">
        <v>0</v>
      </c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48"/>
    </row>
    <row r="32" spans="1:30" x14ac:dyDescent="0.25">
      <c r="A32" s="2">
        <f>A31+1</f>
        <v>14</v>
      </c>
      <c r="B32" s="31" t="s">
        <v>375</v>
      </c>
      <c r="D32" s="76">
        <f ca="1">'Rate Zone Allocation - Gas Cost'!S32</f>
        <v>0</v>
      </c>
      <c r="F32" s="76"/>
      <c r="J32" s="76">
        <f t="shared" ref="J32:J38" ca="1" si="8">D32-F32</f>
        <v>0</v>
      </c>
      <c r="L32" s="2" t="s">
        <v>456</v>
      </c>
      <c r="N32" s="76">
        <f ca="1">IF($J32&lt;&gt;0,VLOOKUP($L32,'Allocation Factors - Ex'!$B$13:$U$163,5,FALSE)*$J32,0)+IF($F32&lt;&gt;0,VLOOKUP($H32,'Allocation Factors - Ex'!$B$13:$U$163,5,FALSE)*$F32,0)</f>
        <v>0</v>
      </c>
      <c r="O32" s="76">
        <f ca="1">IF($J32&lt;&gt;0,VLOOKUP($L32,'Allocation Factors - Ex'!$B$13:$U$163,6,FALSE)*$J32,0)+IF($F32&lt;&gt;0,VLOOKUP($H32,'Allocation Factors - Ex'!$B$13:$U$163,6,FALSE)*$F32,0)</f>
        <v>0</v>
      </c>
      <c r="P32" s="76">
        <f ca="1">IF($J32&lt;&gt;0,VLOOKUP($L32,'Allocation Factors - Ex'!$B$13:$U$163,7,FALSE)*$J32,0)+IF($F32&lt;&gt;0,VLOOKUP($H32,'Allocation Factors - Ex'!$B$13:$U$163,7,FALSE)*$F32,0)</f>
        <v>0</v>
      </c>
      <c r="Q32" s="76">
        <f ca="1">IF($J32&lt;&gt;0,VLOOKUP($L32,'Allocation Factors - Ex'!$B$13:$U$163,8,FALSE)*$J32,0)+IF($F32&lt;&gt;0,VLOOKUP($H32,'Allocation Factors - Ex'!$B$13:$U$163,8,FALSE)*$F32,0)</f>
        <v>0</v>
      </c>
      <c r="R32" s="76">
        <v>0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48"/>
    </row>
    <row r="33" spans="1:30" x14ac:dyDescent="0.25">
      <c r="A33" s="2">
        <f t="shared" ref="A33:A39" si="9">A32+1</f>
        <v>15</v>
      </c>
      <c r="B33" s="31" t="s">
        <v>377</v>
      </c>
      <c r="D33" s="76">
        <f ca="1">'Rate Zone Allocation - Gas Cost'!S33</f>
        <v>0</v>
      </c>
      <c r="F33" s="76"/>
      <c r="J33" s="76">
        <f t="shared" ca="1" si="8"/>
        <v>0</v>
      </c>
      <c r="L33" s="2" t="s">
        <v>457</v>
      </c>
      <c r="N33" s="76">
        <f ca="1">IF($J33&lt;&gt;0,VLOOKUP($L33,'Allocation Factors - Ex'!$B$13:$U$163,5,FALSE)*$J33,0)+IF($F33&lt;&gt;0,VLOOKUP($H33,'Allocation Factors - Ex'!$B$13:$U$163,5,FALSE)*$F33,0)</f>
        <v>0</v>
      </c>
      <c r="O33" s="76">
        <f ca="1">IF($J33&lt;&gt;0,VLOOKUP($L33,'Allocation Factors - Ex'!$B$13:$U$163,6,FALSE)*$J33,0)+IF($F33&lt;&gt;0,VLOOKUP($H33,'Allocation Factors - Ex'!$B$13:$U$163,6,FALSE)*$F33,0)</f>
        <v>0</v>
      </c>
      <c r="P33" s="76">
        <f ca="1">IF($J33&lt;&gt;0,VLOOKUP($L33,'Allocation Factors - Ex'!$B$13:$U$163,7,FALSE)*$J33,0)+IF($F33&lt;&gt;0,VLOOKUP($H33,'Allocation Factors - Ex'!$B$13:$U$163,7,FALSE)*$F33,0)</f>
        <v>0</v>
      </c>
      <c r="Q33" s="76">
        <f ca="1">IF($J33&lt;&gt;0,VLOOKUP($L33,'Allocation Factors - Ex'!$B$13:$U$163,8,FALSE)*$J33,0)+IF($F33&lt;&gt;0,VLOOKUP($H33,'Allocation Factors - Ex'!$B$13:$U$163,8,FALSE)*$F33,0)</f>
        <v>0</v>
      </c>
      <c r="R33" s="76">
        <v>0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8"/>
    </row>
    <row r="34" spans="1:30" x14ac:dyDescent="0.25">
      <c r="A34" s="2">
        <f t="shared" si="9"/>
        <v>16</v>
      </c>
      <c r="B34" s="31" t="s">
        <v>379</v>
      </c>
      <c r="D34" s="76">
        <f ca="1">'Rate Zone Allocation - Gas Cost'!S34</f>
        <v>0</v>
      </c>
      <c r="F34" s="76"/>
      <c r="J34" s="76">
        <f t="shared" ca="1" si="8"/>
        <v>0</v>
      </c>
      <c r="L34" s="2" t="s">
        <v>458</v>
      </c>
      <c r="N34" s="76">
        <f ca="1">IF($J34&lt;&gt;0,VLOOKUP($L34,'Allocation Factors - Ex'!$B$13:$U$163,5,FALSE)*$J34,0)+IF($F34&lt;&gt;0,VLOOKUP($H34,'Allocation Factors - Ex'!$B$13:$U$163,5,FALSE)*$F34,0)</f>
        <v>0</v>
      </c>
      <c r="O34" s="76">
        <f ca="1">IF($J34&lt;&gt;0,VLOOKUP($L34,'Allocation Factors - Ex'!$B$13:$U$163,6,FALSE)*$J34,0)+IF($F34&lt;&gt;0,VLOOKUP($H34,'Allocation Factors - Ex'!$B$13:$U$163,6,FALSE)*$F34,0)</f>
        <v>0</v>
      </c>
      <c r="P34" s="76">
        <f ca="1">IF($J34&lt;&gt;0,VLOOKUP($L34,'Allocation Factors - Ex'!$B$13:$U$163,7,FALSE)*$J34,0)+IF($F34&lt;&gt;0,VLOOKUP($H34,'Allocation Factors - Ex'!$B$13:$U$163,7,FALSE)*$F34,0)</f>
        <v>0</v>
      </c>
      <c r="Q34" s="76">
        <f ca="1">IF($J34&lt;&gt;0,VLOOKUP($L34,'Allocation Factors - Ex'!$B$13:$U$163,8,FALSE)*$J34,0)+IF($F34&lt;&gt;0,VLOOKUP($H34,'Allocation Factors - Ex'!$B$13:$U$163,8,FALSE)*$F34,0)</f>
        <v>0</v>
      </c>
      <c r="R34" s="76">
        <v>0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8"/>
    </row>
    <row r="35" spans="1:30" x14ac:dyDescent="0.25">
      <c r="A35" s="2">
        <f t="shared" si="9"/>
        <v>17</v>
      </c>
      <c r="B35" s="31" t="s">
        <v>381</v>
      </c>
      <c r="D35" s="76">
        <f ca="1">'Rate Zone Allocation - Gas Cost'!S35</f>
        <v>0</v>
      </c>
      <c r="F35" s="76"/>
      <c r="J35" s="76">
        <f t="shared" ca="1" si="8"/>
        <v>0</v>
      </c>
      <c r="L35" s="2" t="s">
        <v>459</v>
      </c>
      <c r="N35" s="76">
        <f ca="1">IF($J35&lt;&gt;0,VLOOKUP($L35,'Allocation Factors - Ex'!$B$13:$U$163,5,FALSE)*$J35,0)+IF($F35&lt;&gt;0,VLOOKUP($H35,'Allocation Factors - Ex'!$B$13:$U$163,5,FALSE)*$F35,0)</f>
        <v>0</v>
      </c>
      <c r="O35" s="76">
        <f ca="1">IF($J35&lt;&gt;0,VLOOKUP($L35,'Allocation Factors - Ex'!$B$13:$U$163,6,FALSE)*$J35,0)+IF($F35&lt;&gt;0,VLOOKUP($H35,'Allocation Factors - Ex'!$B$13:$U$163,6,FALSE)*$F35,0)</f>
        <v>0</v>
      </c>
      <c r="P35" s="76">
        <f ca="1">IF($J35&lt;&gt;0,VLOOKUP($L35,'Allocation Factors - Ex'!$B$13:$U$163,7,FALSE)*$J35,0)+IF($F35&lt;&gt;0,VLOOKUP($H35,'Allocation Factors - Ex'!$B$13:$U$163,7,FALSE)*$F35,0)</f>
        <v>0</v>
      </c>
      <c r="Q35" s="76">
        <f ca="1">IF($J35&lt;&gt;0,VLOOKUP($L35,'Allocation Factors - Ex'!$B$13:$U$163,8,FALSE)*$J35,0)+IF($F35&lt;&gt;0,VLOOKUP($H35,'Allocation Factors - Ex'!$B$13:$U$163,8,FALSE)*$F35,0)</f>
        <v>0</v>
      </c>
      <c r="R35" s="76">
        <v>0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48"/>
    </row>
    <row r="36" spans="1:30" x14ac:dyDescent="0.25">
      <c r="A36" s="2">
        <f t="shared" si="9"/>
        <v>18</v>
      </c>
      <c r="B36" s="31" t="s">
        <v>383</v>
      </c>
      <c r="D36" s="76">
        <f ca="1">'Rate Zone Allocation - Gas Cost'!S36</f>
        <v>0</v>
      </c>
      <c r="F36" s="76"/>
      <c r="J36" s="76">
        <f t="shared" ca="1" si="8"/>
        <v>0</v>
      </c>
      <c r="L36" s="2" t="s">
        <v>460</v>
      </c>
      <c r="N36" s="76">
        <f ca="1">IF($J36&lt;&gt;0,VLOOKUP($L36,'Allocation Factors - Ex'!$B$13:$U$163,5,FALSE)*$J36,0)+IF($F36&lt;&gt;0,VLOOKUP($H36,'Allocation Factors - Ex'!$B$13:$U$163,5,FALSE)*$F36,0)</f>
        <v>0</v>
      </c>
      <c r="O36" s="76">
        <f ca="1">IF($J36&lt;&gt;0,VLOOKUP($L36,'Allocation Factors - Ex'!$B$13:$U$163,6,FALSE)*$J36,0)+IF($F36&lt;&gt;0,VLOOKUP($H36,'Allocation Factors - Ex'!$B$13:$U$163,6,FALSE)*$F36,0)</f>
        <v>0</v>
      </c>
      <c r="P36" s="76">
        <f ca="1">IF($J36&lt;&gt;0,VLOOKUP($L36,'Allocation Factors - Ex'!$B$13:$U$163,7,FALSE)*$J36,0)+IF($F36&lt;&gt;0,VLOOKUP($H36,'Allocation Factors - Ex'!$B$13:$U$163,7,FALSE)*$F36,0)</f>
        <v>0</v>
      </c>
      <c r="Q36" s="76">
        <f ca="1">IF($J36&lt;&gt;0,VLOOKUP($L36,'Allocation Factors - Ex'!$B$13:$U$163,8,FALSE)*$J36,0)+IF($F36&lt;&gt;0,VLOOKUP($H36,'Allocation Factors - Ex'!$B$13:$U$163,8,FALSE)*$F36,0)</f>
        <v>0</v>
      </c>
      <c r="R36" s="76">
        <v>0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48"/>
    </row>
    <row r="37" spans="1:30" x14ac:dyDescent="0.25">
      <c r="A37" s="2">
        <f t="shared" si="9"/>
        <v>19</v>
      </c>
      <c r="B37" s="31" t="s">
        <v>385</v>
      </c>
      <c r="D37" s="76">
        <f ca="1">'Rate Zone Allocation - Gas Cost'!S37</f>
        <v>0</v>
      </c>
      <c r="F37" s="76"/>
      <c r="J37" s="76">
        <f t="shared" ca="1" si="8"/>
        <v>0</v>
      </c>
      <c r="L37" s="2" t="s">
        <v>461</v>
      </c>
      <c r="N37" s="76">
        <f ca="1">IF($J37&lt;&gt;0,VLOOKUP($L37,'Allocation Factors - Ex'!$B$13:$U$163,5,FALSE)*$J37,0)+IF($F37&lt;&gt;0,VLOOKUP($H37,'Allocation Factors - Ex'!$B$13:$U$163,5,FALSE)*$F37,0)</f>
        <v>0</v>
      </c>
      <c r="O37" s="76">
        <f ca="1">IF($J37&lt;&gt;0,VLOOKUP($L37,'Allocation Factors - Ex'!$B$13:$U$163,6,FALSE)*$J37,0)+IF($F37&lt;&gt;0,VLOOKUP($H37,'Allocation Factors - Ex'!$B$13:$U$163,6,FALSE)*$F37,0)</f>
        <v>0</v>
      </c>
      <c r="P37" s="76">
        <f ca="1">IF($J37&lt;&gt;0,VLOOKUP($L37,'Allocation Factors - Ex'!$B$13:$U$163,7,FALSE)*$J37,0)+IF($F37&lt;&gt;0,VLOOKUP($H37,'Allocation Factors - Ex'!$B$13:$U$163,7,FALSE)*$F37,0)</f>
        <v>0</v>
      </c>
      <c r="Q37" s="76">
        <f ca="1">IF($J37&lt;&gt;0,VLOOKUP($L37,'Allocation Factors - Ex'!$B$13:$U$163,8,FALSE)*$J37,0)+IF($F37&lt;&gt;0,VLOOKUP($H37,'Allocation Factors - Ex'!$B$13:$U$163,8,FALSE)*$F37,0)</f>
        <v>0</v>
      </c>
      <c r="R37" s="76">
        <v>0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48"/>
    </row>
    <row r="38" spans="1:30" x14ac:dyDescent="0.25">
      <c r="A38" s="2">
        <f t="shared" si="9"/>
        <v>20</v>
      </c>
      <c r="B38" s="31" t="s">
        <v>386</v>
      </c>
      <c r="D38" s="76">
        <f ca="1">'Rate Zone Allocation - Gas Cost'!S38</f>
        <v>20656.12506591517</v>
      </c>
      <c r="F38" s="76">
        <f>'Total Allocation -Ex'!F38</f>
        <v>9718.9252285762832</v>
      </c>
      <c r="H38" s="2" t="s">
        <v>462</v>
      </c>
      <c r="J38" s="76">
        <f t="shared" ca="1" si="8"/>
        <v>10937.199837338887</v>
      </c>
      <c r="L38" s="2" t="s">
        <v>463</v>
      </c>
      <c r="N38" s="76">
        <f ca="1">IF($J38&lt;&gt;0,VLOOKUP($L38,'Allocation Factors - Ex'!$B$13:$U$163,5,FALSE)*$J38,0)+IF($F38&lt;&gt;0,VLOOKUP($H38,'Allocation Factors - Ex'!$B$13:$U$163,5,FALSE)*$F38,0)</f>
        <v>0</v>
      </c>
      <c r="O38" s="76">
        <f ca="1">IF($J38&lt;&gt;0,VLOOKUP($L38,'Allocation Factors - Ex'!$B$13:$U$163,6,FALSE)*$J38,0)+IF($F38&lt;&gt;0,VLOOKUP($H38,'Allocation Factors - Ex'!$B$13:$U$163,6,FALSE)*$F38,0)</f>
        <v>20289.031301978397</v>
      </c>
      <c r="P38" s="76">
        <f ca="1">IF($J38&lt;&gt;0,VLOOKUP($L38,'Allocation Factors - Ex'!$B$13:$U$163,7,FALSE)*$J38,0)+IF($F38&lt;&gt;0,VLOOKUP($H38,'Allocation Factors - Ex'!$B$13:$U$163,7,FALSE)*$F38,0)</f>
        <v>290.69312524995598</v>
      </c>
      <c r="Q38" s="76">
        <f ca="1">IF($J38&lt;&gt;0,VLOOKUP($L38,'Allocation Factors - Ex'!$B$13:$U$163,8,FALSE)*$J38,0)+IF($F38&lt;&gt;0,VLOOKUP($H38,'Allocation Factors - Ex'!$B$13:$U$163,8,FALSE)*$F38,0)</f>
        <v>76.400638686818198</v>
      </c>
      <c r="R38" s="76">
        <v>0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48"/>
    </row>
    <row r="39" spans="1:30" x14ac:dyDescent="0.25">
      <c r="A39" s="2">
        <f t="shared" si="9"/>
        <v>21</v>
      </c>
      <c r="B39" s="31" t="s">
        <v>389</v>
      </c>
      <c r="D39" s="40">
        <f ca="1">SUM(D31:D38)</f>
        <v>20656.12506591517</v>
      </c>
      <c r="F39" s="40">
        <f>SUM(F31:F38)</f>
        <v>9718.9252285762832</v>
      </c>
      <c r="J39" s="40">
        <f ca="1">SUM(J31:J38)</f>
        <v>10937.199837338887</v>
      </c>
      <c r="N39" s="40">
        <f t="shared" ref="N39:Q39" ca="1" si="10">SUM(N31:N38)</f>
        <v>0</v>
      </c>
      <c r="O39" s="40">
        <f t="shared" ca="1" si="10"/>
        <v>20289.031301978397</v>
      </c>
      <c r="P39" s="40">
        <f t="shared" ca="1" si="10"/>
        <v>290.69312524995598</v>
      </c>
      <c r="Q39" s="40">
        <f t="shared" ca="1" si="10"/>
        <v>76.400638686818198</v>
      </c>
      <c r="R39" s="40">
        <f t="shared" ref="R39" si="11">SUM(R31:R38)</f>
        <v>0</v>
      </c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</row>
    <row r="40" spans="1:30" x14ac:dyDescent="0.25">
      <c r="N40" s="76"/>
      <c r="O40" s="76"/>
      <c r="P40" s="76"/>
      <c r="Q40" s="76"/>
      <c r="R40" s="7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48"/>
    </row>
    <row r="41" spans="1:30" x14ac:dyDescent="0.25">
      <c r="D41" s="48"/>
      <c r="AD41" s="48"/>
    </row>
    <row r="42" spans="1:30" ht="13" thickBot="1" x14ac:dyDescent="0.3">
      <c r="A42" s="2">
        <f>A39+1</f>
        <v>22</v>
      </c>
      <c r="B42" s="31" t="s">
        <v>464</v>
      </c>
      <c r="D42" s="80">
        <f ca="1">D21+D28+D39</f>
        <v>20656.12506591517</v>
      </c>
      <c r="F42" s="80">
        <f>F21+F28+F39</f>
        <v>9718.9252285762832</v>
      </c>
      <c r="J42" s="80">
        <f ca="1">J21+J28+J39</f>
        <v>10937.199837338887</v>
      </c>
      <c r="N42" s="80">
        <f t="shared" ref="N42:Q42" ca="1" si="12">N21+N28+N39</f>
        <v>0</v>
      </c>
      <c r="O42" s="80">
        <f t="shared" ca="1" si="12"/>
        <v>20289.031301978397</v>
      </c>
      <c r="P42" s="80">
        <f t="shared" ca="1" si="12"/>
        <v>290.69312524995598</v>
      </c>
      <c r="Q42" s="80">
        <f t="shared" ca="1" si="12"/>
        <v>76.400638686818198</v>
      </c>
      <c r="R42" s="80">
        <f t="shared" ref="R42" si="13">R21+R28+R39</f>
        <v>0</v>
      </c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" thickTop="1" x14ac:dyDescent="0.25">
      <c r="D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5" spans="1:30" x14ac:dyDescent="0.25">
      <c r="F45" s="48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8370-7453-45A6-BF10-E9FD8BBB672E}">
  <dimension ref="A2:BG282"/>
  <sheetViews>
    <sheetView topLeftCell="A15" zoomScale="80" zoomScaleNormal="80" workbookViewId="0">
      <selection activeCell="B50" sqref="B50"/>
    </sheetView>
  </sheetViews>
  <sheetFormatPr defaultColWidth="9.1796875" defaultRowHeight="12.5" x14ac:dyDescent="0.25"/>
  <cols>
    <col min="1" max="1" width="9.1796875" style="18"/>
    <col min="2" max="2" width="29.1796875" style="1" customWidth="1"/>
    <col min="3" max="3" width="9" style="1" customWidth="1"/>
    <col min="4" max="4" width="15.26953125" style="1" bestFit="1" customWidth="1"/>
    <col min="5" max="5" width="2.81640625" style="1" customWidth="1"/>
    <col min="6" max="6" width="15" style="1" customWidth="1"/>
    <col min="7" max="10" width="14.7265625" style="1" customWidth="1"/>
    <col min="11" max="12" width="9.1796875" style="1"/>
    <col min="13" max="13" width="2" style="1" customWidth="1"/>
    <col min="14" max="14" width="23.54296875" style="1" customWidth="1"/>
    <col min="15" max="16" width="9.1796875" style="1"/>
    <col min="17" max="17" width="11.7265625" style="1" customWidth="1"/>
    <col min="18" max="16384" width="9.1796875" style="1"/>
  </cols>
  <sheetData>
    <row r="2" spans="1:59" x14ac:dyDescent="0.25">
      <c r="D2" s="8"/>
      <c r="G2" s="8"/>
      <c r="H2" s="8"/>
      <c r="I2" s="8"/>
    </row>
    <row r="3" spans="1:59" x14ac:dyDescent="0.25">
      <c r="D3" s="8"/>
      <c r="G3" s="8"/>
      <c r="H3" s="8"/>
      <c r="I3" s="8"/>
    </row>
    <row r="4" spans="1:59" x14ac:dyDescent="0.25">
      <c r="D4" s="8"/>
      <c r="G4" s="8"/>
      <c r="H4" s="8"/>
      <c r="I4" s="8"/>
    </row>
    <row r="5" spans="1:59" x14ac:dyDescent="0.25">
      <c r="D5" s="8"/>
      <c r="G5" s="8"/>
      <c r="H5" s="8"/>
      <c r="I5" s="8"/>
    </row>
    <row r="6" spans="1:59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</row>
    <row r="7" spans="1:59" ht="15" customHeight="1" x14ac:dyDescent="0.25">
      <c r="B7" s="155" t="s">
        <v>484</v>
      </c>
      <c r="C7" s="155"/>
      <c r="D7" s="155"/>
      <c r="E7" s="155"/>
      <c r="F7" s="155"/>
      <c r="G7" s="155"/>
      <c r="H7" s="155"/>
      <c r="I7" s="155"/>
      <c r="J7" s="155"/>
    </row>
    <row r="8" spans="1:59" ht="15" customHeight="1" x14ac:dyDescent="0.25">
      <c r="B8" s="18"/>
      <c r="F8" s="156" t="s">
        <v>424</v>
      </c>
      <c r="G8" s="156"/>
      <c r="H8" s="156"/>
      <c r="I8" s="156"/>
      <c r="J8" s="156"/>
    </row>
    <row r="9" spans="1:59" x14ac:dyDescent="0.25">
      <c r="A9" s="18" t="s">
        <v>6</v>
      </c>
      <c r="B9" s="18"/>
      <c r="D9" s="18"/>
      <c r="F9" s="2" t="s">
        <v>426</v>
      </c>
      <c r="G9" s="2" t="s">
        <v>426</v>
      </c>
      <c r="H9" s="2" t="s">
        <v>426</v>
      </c>
      <c r="I9" s="2" t="s">
        <v>426</v>
      </c>
      <c r="J9" s="2" t="s">
        <v>426</v>
      </c>
      <c r="L9" s="18"/>
      <c r="N9" s="18"/>
      <c r="Q9" s="67"/>
    </row>
    <row r="10" spans="1:59" x14ac:dyDescent="0.25">
      <c r="A10" s="4" t="s">
        <v>11</v>
      </c>
      <c r="B10" s="4" t="s">
        <v>423</v>
      </c>
      <c r="D10" s="4" t="s">
        <v>2</v>
      </c>
      <c r="E10" s="18"/>
      <c r="F10" s="33" t="s">
        <v>477</v>
      </c>
      <c r="G10" s="33" t="s">
        <v>478</v>
      </c>
      <c r="H10" s="33" t="s">
        <v>479</v>
      </c>
      <c r="I10" s="33" t="s">
        <v>480</v>
      </c>
      <c r="J10" s="33" t="s">
        <v>481</v>
      </c>
      <c r="L10" s="18"/>
      <c r="O10" s="18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8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8"/>
      <c r="AY10" s="160"/>
      <c r="AZ10" s="160"/>
      <c r="BA10" s="160"/>
      <c r="BB10" s="160"/>
      <c r="BC10" s="160"/>
      <c r="BD10" s="160"/>
      <c r="BE10" s="160"/>
      <c r="BF10" s="160"/>
      <c r="BG10" s="160"/>
    </row>
    <row r="11" spans="1:59" x14ac:dyDescent="0.25">
      <c r="B11" s="18"/>
      <c r="D11" s="18" t="s">
        <v>22</v>
      </c>
      <c r="F11" s="81" t="s">
        <v>23</v>
      </c>
      <c r="G11" s="81" t="s">
        <v>24</v>
      </c>
      <c r="H11" s="81" t="s">
        <v>165</v>
      </c>
      <c r="I11" s="81" t="s">
        <v>26</v>
      </c>
      <c r="J11" s="81" t="s">
        <v>27</v>
      </c>
      <c r="N11" s="18"/>
      <c r="O11" s="18"/>
      <c r="Q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</row>
    <row r="12" spans="1:59" x14ac:dyDescent="0.25">
      <c r="D12" s="18"/>
      <c r="L12" s="18"/>
      <c r="N12" s="18"/>
      <c r="O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</row>
    <row r="13" spans="1:59" x14ac:dyDescent="0.25">
      <c r="A13" s="18">
        <v>1</v>
      </c>
      <c r="B13" s="18"/>
      <c r="C13" s="18" t="s">
        <v>166</v>
      </c>
      <c r="D13" s="8">
        <f>SUM(F13:J13)</f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L13" s="18"/>
      <c r="O13" s="18"/>
    </row>
    <row r="14" spans="1:59" x14ac:dyDescent="0.25">
      <c r="A14" s="18">
        <v>2</v>
      </c>
      <c r="B14" s="18" t="s">
        <v>451</v>
      </c>
      <c r="D14" s="24">
        <f>SUM(F14:J14)</f>
        <v>0</v>
      </c>
      <c r="E14" s="17"/>
      <c r="F14" s="24">
        <f>IFERROR(F13/$D13,0)</f>
        <v>0</v>
      </c>
      <c r="G14" s="24">
        <f>IFERROR(G13/$D13,0)</f>
        <v>0</v>
      </c>
      <c r="H14" s="24">
        <f>IFERROR(H13/$D13,0)</f>
        <v>0</v>
      </c>
      <c r="I14" s="24">
        <f>IFERROR(I13/$D13,0)</f>
        <v>0</v>
      </c>
      <c r="J14" s="24">
        <f>IFERROR(J13/$D13,0)</f>
        <v>0</v>
      </c>
      <c r="L14" s="18"/>
      <c r="N14" s="18"/>
      <c r="O14" s="18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</row>
    <row r="15" spans="1:59" x14ac:dyDescent="0.25">
      <c r="L15" s="18"/>
      <c r="N15" s="18"/>
      <c r="O15" s="18"/>
      <c r="Q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</row>
    <row r="16" spans="1:59" x14ac:dyDescent="0.25">
      <c r="A16" s="18">
        <v>3</v>
      </c>
      <c r="B16" s="18"/>
      <c r="C16" s="18" t="s">
        <v>166</v>
      </c>
      <c r="D16" s="8">
        <f>SUM(F16:J16)</f>
        <v>68148.55814707953</v>
      </c>
      <c r="F16" s="59">
        <v>0</v>
      </c>
      <c r="G16" s="20">
        <v>67327.805014632497</v>
      </c>
      <c r="H16" s="20">
        <v>820.75313244703364</v>
      </c>
      <c r="I16" s="20">
        <v>0</v>
      </c>
      <c r="J16" s="59">
        <v>0</v>
      </c>
      <c r="L16" s="18"/>
      <c r="O16" s="18"/>
    </row>
    <row r="17" spans="1:59" x14ac:dyDescent="0.25">
      <c r="A17" s="18">
        <v>4</v>
      </c>
      <c r="B17" s="18" t="s">
        <v>462</v>
      </c>
      <c r="D17" s="24">
        <f>SUM(F17:J17)</f>
        <v>1</v>
      </c>
      <c r="E17" s="17"/>
      <c r="F17" s="24">
        <f>IFERROR(F16/$D16,0)</f>
        <v>0</v>
      </c>
      <c r="G17" s="24">
        <f>IFERROR(G16/$D16,0)</f>
        <v>0.98795641236200971</v>
      </c>
      <c r="H17" s="24">
        <f>IFERROR(H16/$D16,0)</f>
        <v>1.2043587637990351E-2</v>
      </c>
      <c r="I17" s="24">
        <f>IFERROR(I16/$D16,0)</f>
        <v>0</v>
      </c>
      <c r="J17" s="24">
        <f>IFERROR(J16/$D16,0)</f>
        <v>0</v>
      </c>
      <c r="L17" s="18"/>
      <c r="N17" s="18"/>
      <c r="O17" s="18"/>
      <c r="Q17" s="8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59" x14ac:dyDescent="0.25">
      <c r="L18" s="18"/>
      <c r="N18" s="18"/>
      <c r="O18" s="18"/>
      <c r="Q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</row>
    <row r="19" spans="1:59" x14ac:dyDescent="0.25">
      <c r="A19" s="18">
        <v>5</v>
      </c>
      <c r="B19" s="18"/>
      <c r="C19" s="18" t="s">
        <v>166</v>
      </c>
      <c r="D19" s="8">
        <f>SUM(F19:J19)</f>
        <v>0</v>
      </c>
      <c r="F19" s="20">
        <v>0</v>
      </c>
      <c r="G19" s="20">
        <v>0</v>
      </c>
      <c r="H19" s="20">
        <v>0</v>
      </c>
      <c r="I19" s="20">
        <v>0</v>
      </c>
      <c r="J19" s="59">
        <v>0</v>
      </c>
      <c r="L19" s="18"/>
      <c r="O19" s="18"/>
    </row>
    <row r="20" spans="1:59" x14ac:dyDescent="0.25">
      <c r="A20" s="18">
        <v>6</v>
      </c>
      <c r="B20" s="18" t="s">
        <v>448</v>
      </c>
      <c r="D20" s="24">
        <f>SUM(F20:J20)</f>
        <v>0</v>
      </c>
      <c r="E20" s="17"/>
      <c r="F20" s="24">
        <f>IFERROR(F19/$D19,0)</f>
        <v>0</v>
      </c>
      <c r="G20" s="24">
        <f>IFERROR(G19/$D19,0)</f>
        <v>0</v>
      </c>
      <c r="H20" s="24">
        <f>IFERROR(H19/$D19,0)</f>
        <v>0</v>
      </c>
      <c r="I20" s="24">
        <f>IFERROR(I19/$D19,0)</f>
        <v>0</v>
      </c>
      <c r="J20" s="24">
        <f>IFERROR(J19/$D19,0)</f>
        <v>0</v>
      </c>
      <c r="L20" s="18"/>
      <c r="N20" s="18"/>
      <c r="O20" s="18"/>
      <c r="Q20" s="8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x14ac:dyDescent="0.25">
      <c r="B21" s="18"/>
      <c r="L21" s="18"/>
      <c r="N21" s="18"/>
      <c r="O21" s="18"/>
      <c r="Q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</row>
    <row r="22" spans="1:59" x14ac:dyDescent="0.25">
      <c r="A22" s="18">
        <v>7</v>
      </c>
      <c r="B22" s="18"/>
      <c r="C22" s="18" t="s">
        <v>166</v>
      </c>
      <c r="D22" s="8">
        <f>SUM(F22:J22)</f>
        <v>60</v>
      </c>
      <c r="F22" s="59">
        <v>0</v>
      </c>
      <c r="G22" s="20">
        <v>60</v>
      </c>
      <c r="H22" s="59">
        <v>0</v>
      </c>
      <c r="I22" s="59">
        <v>0</v>
      </c>
      <c r="J22" s="59">
        <v>0</v>
      </c>
      <c r="L22" s="18"/>
      <c r="N22" s="18"/>
      <c r="O22" s="18"/>
      <c r="Q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</row>
    <row r="23" spans="1:59" x14ac:dyDescent="0.25">
      <c r="A23" s="18">
        <v>8</v>
      </c>
      <c r="B23" s="18" t="s">
        <v>459</v>
      </c>
      <c r="D23" s="24">
        <f>SUM(F23:J23)</f>
        <v>1</v>
      </c>
      <c r="E23" s="17"/>
      <c r="F23" s="24">
        <f>IFERROR(F22/$D22,0)</f>
        <v>0</v>
      </c>
      <c r="G23" s="24">
        <f>IFERROR(G22/$D22,0)</f>
        <v>1</v>
      </c>
      <c r="H23" s="24">
        <f>IFERROR(H22/$D22,0)</f>
        <v>0</v>
      </c>
      <c r="I23" s="24">
        <f>IFERROR(I22/$D22,0)</f>
        <v>0</v>
      </c>
      <c r="J23" s="24">
        <f>IFERROR(J22/$D22,0)</f>
        <v>0</v>
      </c>
      <c r="L23" s="18"/>
      <c r="N23" s="18"/>
      <c r="O23" s="18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</row>
    <row r="24" spans="1:59" x14ac:dyDescent="0.25">
      <c r="L24" s="18"/>
      <c r="N24" s="18"/>
      <c r="O24" s="18"/>
      <c r="Q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x14ac:dyDescent="0.25">
      <c r="A25" s="18">
        <v>9</v>
      </c>
      <c r="B25" s="18"/>
      <c r="C25" s="18" t="s">
        <v>166</v>
      </c>
      <c r="D25" s="8">
        <f>SUM(F25:J25)</f>
        <v>80537.077789150469</v>
      </c>
      <c r="F25" s="59">
        <v>0</v>
      </c>
      <c r="G25" s="20">
        <v>80537.077789150469</v>
      </c>
      <c r="H25" s="20">
        <v>0</v>
      </c>
      <c r="I25" s="20">
        <v>0</v>
      </c>
      <c r="J25" s="59">
        <v>0</v>
      </c>
      <c r="L25" s="18"/>
      <c r="O25" s="18"/>
    </row>
    <row r="26" spans="1:59" x14ac:dyDescent="0.25">
      <c r="A26" s="18">
        <v>10</v>
      </c>
      <c r="B26" s="18" t="s">
        <v>455</v>
      </c>
      <c r="D26" s="24">
        <f>SUM(F26:J26)</f>
        <v>1</v>
      </c>
      <c r="E26" s="17"/>
      <c r="F26" s="24">
        <f>IFERROR(F25/$D25,0)</f>
        <v>0</v>
      </c>
      <c r="G26" s="24">
        <f>IFERROR(G25/$D25,0)</f>
        <v>1</v>
      </c>
      <c r="H26" s="24">
        <f>IFERROR(H25/$D25,0)</f>
        <v>0</v>
      </c>
      <c r="I26" s="24">
        <f>IFERROR(I25/$D25,0)</f>
        <v>0</v>
      </c>
      <c r="J26" s="24">
        <f>IFERROR(J25/$D25,0)</f>
        <v>0</v>
      </c>
      <c r="L26" s="18"/>
      <c r="N26" s="18"/>
      <c r="O26" s="18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x14ac:dyDescent="0.25">
      <c r="L27" s="18"/>
      <c r="N27" s="18"/>
      <c r="O27" s="18"/>
      <c r="Q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x14ac:dyDescent="0.25">
      <c r="A28" s="18">
        <v>11</v>
      </c>
      <c r="B28" s="18"/>
      <c r="C28" s="18" t="s">
        <v>166</v>
      </c>
      <c r="D28" s="8">
        <f>SUM(F28:J28)</f>
        <v>11966.3574895087</v>
      </c>
      <c r="F28" s="59">
        <v>0</v>
      </c>
      <c r="G28" s="20">
        <v>11966.3574895087</v>
      </c>
      <c r="H28" s="20">
        <v>0</v>
      </c>
      <c r="I28" s="20">
        <v>0</v>
      </c>
      <c r="J28" s="59">
        <v>0</v>
      </c>
      <c r="L28" s="18"/>
      <c r="O28" s="18"/>
    </row>
    <row r="29" spans="1:59" x14ac:dyDescent="0.25">
      <c r="A29" s="18">
        <v>12</v>
      </c>
      <c r="B29" s="18" t="s">
        <v>458</v>
      </c>
      <c r="D29" s="24">
        <f>SUM(F29:J29)</f>
        <v>1</v>
      </c>
      <c r="E29" s="17"/>
      <c r="F29" s="24">
        <f>IFERROR(F28/$D28,0)</f>
        <v>0</v>
      </c>
      <c r="G29" s="24">
        <f>IFERROR(G28/$D28,0)</f>
        <v>1</v>
      </c>
      <c r="H29" s="24">
        <f>IFERROR(H28/$D28,0)</f>
        <v>0</v>
      </c>
      <c r="I29" s="24">
        <f>IFERROR(I28/$D28,0)</f>
        <v>0</v>
      </c>
      <c r="J29" s="24">
        <f>IFERROR(J28/$D28,0)</f>
        <v>0</v>
      </c>
      <c r="L29" s="18"/>
      <c r="N29" s="18"/>
      <c r="O29" s="18"/>
      <c r="Q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2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</row>
    <row r="30" spans="1:59" x14ac:dyDescent="0.25">
      <c r="L30" s="18"/>
      <c r="N30" s="18"/>
      <c r="O30" s="18"/>
      <c r="Q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x14ac:dyDescent="0.25">
      <c r="A31" s="18">
        <v>13</v>
      </c>
      <c r="B31" s="18"/>
      <c r="C31" s="18" t="s">
        <v>166</v>
      </c>
      <c r="D31" s="8">
        <f>SUM(F31:J31)</f>
        <v>13317.272262026612</v>
      </c>
      <c r="F31" s="59">
        <v>0</v>
      </c>
      <c r="G31" s="20">
        <v>13317.272262026612</v>
      </c>
      <c r="H31" s="20">
        <v>0</v>
      </c>
      <c r="I31" s="20">
        <v>0</v>
      </c>
      <c r="J31" s="59">
        <v>0</v>
      </c>
      <c r="L31" s="18"/>
      <c r="O31" s="18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x14ac:dyDescent="0.25">
      <c r="A32" s="18">
        <v>14</v>
      </c>
      <c r="B32" s="18" t="s">
        <v>456</v>
      </c>
      <c r="D32" s="24">
        <f>SUM(F32:J32)</f>
        <v>1</v>
      </c>
      <c r="E32" s="17"/>
      <c r="F32" s="24">
        <f>IFERROR(F31/$D31,0)</f>
        <v>0</v>
      </c>
      <c r="G32" s="24">
        <f>IFERROR(G31/$D31,0)</f>
        <v>1</v>
      </c>
      <c r="H32" s="24">
        <f>IFERROR(H31/$D31,0)</f>
        <v>0</v>
      </c>
      <c r="I32" s="24">
        <f>IFERROR(I31/$D31,0)</f>
        <v>0</v>
      </c>
      <c r="J32" s="24">
        <f>IFERROR(J31/$D31,0)</f>
        <v>0</v>
      </c>
      <c r="L32" s="18"/>
      <c r="N32" s="18"/>
      <c r="O32" s="18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</row>
    <row r="33" spans="1:59" x14ac:dyDescent="0.25">
      <c r="B33" s="18"/>
      <c r="L33" s="18"/>
      <c r="N33" s="18"/>
      <c r="O33" s="18"/>
      <c r="Q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x14ac:dyDescent="0.25">
      <c r="A34" s="18">
        <v>15</v>
      </c>
      <c r="B34" s="18"/>
      <c r="C34" s="18" t="s">
        <v>166</v>
      </c>
      <c r="D34" s="8">
        <f>SUM(F34:J34)</f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L34" s="18"/>
      <c r="O34" s="18"/>
    </row>
    <row r="35" spans="1:59" x14ac:dyDescent="0.25">
      <c r="A35" s="18">
        <v>16</v>
      </c>
      <c r="B35" s="18" t="s">
        <v>446</v>
      </c>
      <c r="C35" s="18"/>
      <c r="D35" s="24">
        <f>SUM(F35:J35)</f>
        <v>0</v>
      </c>
      <c r="E35" s="17"/>
      <c r="F35" s="24">
        <f>IFERROR(F34/$D34,0)</f>
        <v>0</v>
      </c>
      <c r="G35" s="24">
        <f>IFERROR(G34/$D34,0)</f>
        <v>0</v>
      </c>
      <c r="H35" s="24">
        <f>IFERROR(H34/$D34,0)</f>
        <v>0</v>
      </c>
      <c r="I35" s="24">
        <f>IFERROR(I34/$D34,0)</f>
        <v>0</v>
      </c>
      <c r="J35" s="24">
        <f>IFERROR(J34/$D34,0)</f>
        <v>0</v>
      </c>
      <c r="L35" s="18"/>
      <c r="N35" s="18"/>
      <c r="O35" s="18"/>
      <c r="Q35" s="8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x14ac:dyDescent="0.25">
      <c r="L36" s="18"/>
      <c r="N36" s="18"/>
      <c r="O36" s="18"/>
      <c r="Q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x14ac:dyDescent="0.25">
      <c r="A37" s="18">
        <v>17</v>
      </c>
      <c r="B37" s="18"/>
      <c r="C37" s="18" t="s">
        <v>166</v>
      </c>
      <c r="D37" s="8">
        <f>SUM(F37:J37)</f>
        <v>0</v>
      </c>
      <c r="F37" s="20">
        <v>0</v>
      </c>
      <c r="G37" s="20">
        <v>0</v>
      </c>
      <c r="H37" s="20">
        <v>0</v>
      </c>
      <c r="I37" s="20">
        <v>0</v>
      </c>
      <c r="J37" s="59">
        <v>0</v>
      </c>
      <c r="L37" s="18"/>
      <c r="O37" s="18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x14ac:dyDescent="0.25">
      <c r="A38" s="18">
        <v>18</v>
      </c>
      <c r="B38" s="18" t="s">
        <v>447</v>
      </c>
      <c r="D38" s="24">
        <f>SUM(F38:J38)</f>
        <v>0</v>
      </c>
      <c r="E38" s="17"/>
      <c r="F38" s="24">
        <f>IFERROR(F37/$D37,0)</f>
        <v>0</v>
      </c>
      <c r="G38" s="24">
        <f>IFERROR(G37/$D37,0)</f>
        <v>0</v>
      </c>
      <c r="H38" s="24">
        <f>IFERROR(H37/$D37,0)</f>
        <v>0</v>
      </c>
      <c r="I38" s="24">
        <f>IFERROR(I37/$D37,0)</f>
        <v>0</v>
      </c>
      <c r="J38" s="24">
        <f>IFERROR(J37/$D37,0)</f>
        <v>0</v>
      </c>
      <c r="L38" s="18"/>
      <c r="N38" s="18"/>
      <c r="O38" s="18"/>
      <c r="Q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x14ac:dyDescent="0.25">
      <c r="B39" s="18"/>
      <c r="L39" s="18"/>
      <c r="N39" s="18"/>
      <c r="O39" s="18"/>
      <c r="Q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x14ac:dyDescent="0.25">
      <c r="A40" s="18">
        <v>19</v>
      </c>
      <c r="B40" s="18"/>
      <c r="C40" s="18" t="s">
        <v>166</v>
      </c>
      <c r="D40" s="8">
        <f>SUM(F40:J40)</f>
        <v>31833.527080742751</v>
      </c>
      <c r="F40" s="59">
        <v>0</v>
      </c>
      <c r="G40" s="20">
        <v>31432.751172025768</v>
      </c>
      <c r="H40" s="20">
        <v>278.31884747790525</v>
      </c>
      <c r="I40" s="20">
        <v>122.45706123907715</v>
      </c>
      <c r="J40" s="59">
        <v>0</v>
      </c>
      <c r="L40" s="18"/>
      <c r="O40" s="18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x14ac:dyDescent="0.25">
      <c r="A41" s="18">
        <v>20</v>
      </c>
      <c r="B41" s="18" t="s">
        <v>453</v>
      </c>
      <c r="D41" s="24">
        <f>SUM(F41:J41)</f>
        <v>1</v>
      </c>
      <c r="E41" s="17"/>
      <c r="F41" s="24">
        <f>IFERROR(F40/$D40,0)</f>
        <v>0</v>
      </c>
      <c r="G41" s="24">
        <f>IFERROR(G40/$D40,0)</f>
        <v>0.98741025750302647</v>
      </c>
      <c r="H41" s="24">
        <f>IFERROR(H40/$D40,0)</f>
        <v>8.7429472320794243E-3</v>
      </c>
      <c r="I41" s="24">
        <f>IFERROR(I40/$D40,0)</f>
        <v>3.8467952648940317E-3</v>
      </c>
      <c r="J41" s="24">
        <f>IFERROR(J40/$D40,0)</f>
        <v>0</v>
      </c>
      <c r="L41" s="18"/>
      <c r="N41" s="18"/>
      <c r="O41" s="18"/>
      <c r="Q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x14ac:dyDescent="0.25">
      <c r="B42" s="18"/>
      <c r="L42" s="18"/>
      <c r="N42" s="18"/>
      <c r="O42" s="18"/>
      <c r="Q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x14ac:dyDescent="0.25">
      <c r="A43" s="18">
        <v>21</v>
      </c>
      <c r="B43" s="18"/>
      <c r="C43" s="18" t="s">
        <v>166</v>
      </c>
      <c r="D43" s="8">
        <f>SUM(F43:J43)</f>
        <v>0</v>
      </c>
      <c r="F43" s="20">
        <v>0</v>
      </c>
      <c r="G43" s="20">
        <v>0</v>
      </c>
      <c r="H43" s="20">
        <v>0</v>
      </c>
      <c r="I43" s="20">
        <v>0</v>
      </c>
      <c r="J43" s="59">
        <v>0</v>
      </c>
      <c r="L43" s="18"/>
      <c r="O43" s="18"/>
    </row>
    <row r="44" spans="1:59" x14ac:dyDescent="0.25">
      <c r="A44" s="18">
        <v>22</v>
      </c>
      <c r="B44" s="18" t="s">
        <v>460</v>
      </c>
      <c r="D44" s="24">
        <f>SUM(F44:J44)</f>
        <v>0</v>
      </c>
      <c r="E44" s="17"/>
      <c r="F44" s="24">
        <f>IFERROR(F43/$D43,0)</f>
        <v>0</v>
      </c>
      <c r="G44" s="24">
        <f>IFERROR(G43/$D43,0)</f>
        <v>0</v>
      </c>
      <c r="H44" s="24">
        <f>IFERROR(H43/$D43,0)</f>
        <v>0</v>
      </c>
      <c r="I44" s="24">
        <f>IFERROR(I43/$D43,0)</f>
        <v>0</v>
      </c>
      <c r="J44" s="24">
        <f>IFERROR(J43/$D43,0)</f>
        <v>0</v>
      </c>
      <c r="L44" s="18"/>
      <c r="N44" s="18"/>
      <c r="O44" s="18"/>
      <c r="Q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22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</row>
    <row r="45" spans="1:59" x14ac:dyDescent="0.25">
      <c r="B45" s="18"/>
      <c r="L45" s="18"/>
      <c r="N45" s="18"/>
      <c r="O45" s="18"/>
      <c r="Q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x14ac:dyDescent="0.25">
      <c r="A46" s="18">
        <v>23</v>
      </c>
      <c r="B46" s="18"/>
      <c r="C46" s="18" t="s">
        <v>166</v>
      </c>
      <c r="D46" s="8">
        <f>SUM(F46:J46)</f>
        <v>51.379497850054342</v>
      </c>
      <c r="F46" s="59">
        <v>0</v>
      </c>
      <c r="G46" s="20">
        <v>51.379497850054342</v>
      </c>
      <c r="H46" s="20">
        <v>0</v>
      </c>
      <c r="I46" s="20">
        <v>0</v>
      </c>
      <c r="J46" s="59">
        <v>0</v>
      </c>
      <c r="L46" s="18"/>
      <c r="O46" s="18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x14ac:dyDescent="0.25">
      <c r="A47" s="18">
        <v>24</v>
      </c>
      <c r="B47" s="18" t="s">
        <v>457</v>
      </c>
      <c r="D47" s="24">
        <f>SUM(F47:J47)</f>
        <v>1</v>
      </c>
      <c r="E47" s="17"/>
      <c r="F47" s="24">
        <f>IFERROR(F46/$D46,0)</f>
        <v>0</v>
      </c>
      <c r="G47" s="24">
        <f>IFERROR(G46/$D46,0)</f>
        <v>1</v>
      </c>
      <c r="H47" s="24">
        <f>IFERROR(H46/$D46,0)</f>
        <v>0</v>
      </c>
      <c r="I47" s="24">
        <f>IFERROR(I46/$D46,0)</f>
        <v>0</v>
      </c>
      <c r="J47" s="24">
        <f>IFERROR(J46/$D46,0)</f>
        <v>0</v>
      </c>
      <c r="L47" s="18"/>
      <c r="N47" s="18"/>
      <c r="O47" s="18"/>
      <c r="Q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</row>
    <row r="48" spans="1:59" x14ac:dyDescent="0.25">
      <c r="B48" s="18"/>
      <c r="L48" s="18"/>
      <c r="N48" s="18"/>
      <c r="O48" s="18"/>
      <c r="Q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x14ac:dyDescent="0.25">
      <c r="A49" s="18">
        <v>25</v>
      </c>
      <c r="B49" s="18"/>
      <c r="C49" s="18" t="s">
        <v>166</v>
      </c>
      <c r="D49" s="8">
        <f>SUM(F49:J49)</f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L49" s="18"/>
      <c r="N49" s="18"/>
      <c r="O49" s="18"/>
      <c r="Q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x14ac:dyDescent="0.25">
      <c r="A50" s="18">
        <v>26</v>
      </c>
      <c r="B50" s="18" t="s">
        <v>461</v>
      </c>
      <c r="D50" s="24">
        <f>SUM(F50:J50)</f>
        <v>0</v>
      </c>
      <c r="E50" s="17"/>
      <c r="F50" s="24">
        <f>IFERROR(F49/$D49,0)</f>
        <v>0</v>
      </c>
      <c r="G50" s="24">
        <f>IFERROR(G49/$D49,0)</f>
        <v>0</v>
      </c>
      <c r="H50" s="24">
        <f>IFERROR(H49/$D49,0)</f>
        <v>0</v>
      </c>
      <c r="I50" s="24">
        <f>IFERROR(I49/$D49,0)</f>
        <v>0</v>
      </c>
      <c r="J50" s="24">
        <f>IFERROR(J49/$D49,0)</f>
        <v>0</v>
      </c>
      <c r="L50" s="18"/>
      <c r="N50" s="18"/>
      <c r="O50" s="18"/>
      <c r="Q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x14ac:dyDescent="0.25">
      <c r="B51" s="18"/>
      <c r="L51" s="18"/>
      <c r="N51" s="18"/>
      <c r="O51" s="18"/>
      <c r="Q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x14ac:dyDescent="0.25">
      <c r="A52" s="18">
        <v>27</v>
      </c>
      <c r="B52" s="18"/>
      <c r="C52" s="18" t="s">
        <v>166</v>
      </c>
      <c r="D52" s="8">
        <f>SUM(F52:J52)</f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L52" s="18"/>
      <c r="O52" s="18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x14ac:dyDescent="0.25">
      <c r="A53" s="18">
        <v>28</v>
      </c>
      <c r="B53" s="18" t="s">
        <v>452</v>
      </c>
      <c r="D53" s="24">
        <f>SUM(F53:J53)</f>
        <v>0</v>
      </c>
      <c r="E53" s="17"/>
      <c r="F53" s="24">
        <f>IFERROR(F52/$D52,0)</f>
        <v>0</v>
      </c>
      <c r="G53" s="24">
        <f>IFERROR(G52/$D52,0)</f>
        <v>0</v>
      </c>
      <c r="H53" s="24">
        <f>IFERROR(H52/$D52,0)</f>
        <v>0</v>
      </c>
      <c r="I53" s="24">
        <f>IFERROR(I52/$D52,0)</f>
        <v>0</v>
      </c>
      <c r="J53" s="24">
        <f>IFERROR(J52/$D52,0)</f>
        <v>0</v>
      </c>
      <c r="L53" s="18"/>
      <c r="N53" s="18"/>
      <c r="O53" s="18"/>
      <c r="Q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1:59" x14ac:dyDescent="0.25">
      <c r="B54" s="18"/>
      <c r="L54" s="18"/>
      <c r="N54" s="18"/>
      <c r="O54" s="18"/>
      <c r="Q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x14ac:dyDescent="0.25">
      <c r="A55" s="18">
        <v>29</v>
      </c>
      <c r="B55" s="18"/>
      <c r="C55" s="18" t="s">
        <v>166</v>
      </c>
      <c r="D55" s="8">
        <f>SUM(F55:J55)</f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L55" s="18"/>
      <c r="O55" s="18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x14ac:dyDescent="0.25">
      <c r="A56" s="18">
        <v>30</v>
      </c>
      <c r="B56" s="18" t="s">
        <v>454</v>
      </c>
      <c r="D56" s="24">
        <f>SUM(F56:J56)</f>
        <v>0</v>
      </c>
      <c r="E56" s="17"/>
      <c r="F56" s="24">
        <f>IFERROR(F55/$D55,0)</f>
        <v>0</v>
      </c>
      <c r="G56" s="24">
        <f>IFERROR(G55/$D55,0)</f>
        <v>0</v>
      </c>
      <c r="H56" s="24">
        <f>IFERROR(H55/$D55,0)</f>
        <v>0</v>
      </c>
      <c r="I56" s="24">
        <f>IFERROR(I55/$D55,0)</f>
        <v>0</v>
      </c>
      <c r="J56" s="24">
        <f>IFERROR(J55/$D55,0)</f>
        <v>0</v>
      </c>
      <c r="L56" s="18"/>
      <c r="N56" s="18"/>
      <c r="O56" s="18"/>
      <c r="Q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7" spans="1:59" x14ac:dyDescent="0.25">
      <c r="A57" s="1"/>
      <c r="B57" s="18"/>
      <c r="L57" s="18"/>
      <c r="N57" s="18"/>
      <c r="O57" s="18"/>
      <c r="Q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x14ac:dyDescent="0.25">
      <c r="A58" s="18">
        <v>31</v>
      </c>
      <c r="B58" s="18"/>
      <c r="C58" s="18" t="s">
        <v>166</v>
      </c>
      <c r="D58" s="8">
        <f>SUM(F58:J58)</f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L58" s="18" t="s">
        <v>185</v>
      </c>
      <c r="O58" s="18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x14ac:dyDescent="0.25">
      <c r="A59" s="18">
        <v>32</v>
      </c>
      <c r="B59" s="18" t="s">
        <v>445</v>
      </c>
      <c r="C59" s="18"/>
      <c r="D59" s="24">
        <f>SUM(F59:J59)</f>
        <v>0</v>
      </c>
      <c r="E59" s="17"/>
      <c r="F59" s="24">
        <f>IFERROR(F58/$D58,0)</f>
        <v>0</v>
      </c>
      <c r="G59" s="24">
        <f>IFERROR(G58/$D58,0)</f>
        <v>0</v>
      </c>
      <c r="H59" s="24">
        <f>IFERROR(H58/$D58,0)</f>
        <v>0</v>
      </c>
      <c r="I59" s="24">
        <f>IFERROR(I58/$D58,0)</f>
        <v>0</v>
      </c>
      <c r="J59" s="24">
        <f>IFERROR(J58/$D58,0)</f>
        <v>0</v>
      </c>
      <c r="L59" s="18"/>
      <c r="O59" s="18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x14ac:dyDescent="0.25">
      <c r="L60" s="18"/>
      <c r="N60" s="18"/>
      <c r="O60" s="18"/>
      <c r="Q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x14ac:dyDescent="0.25">
      <c r="A61" s="18">
        <v>33</v>
      </c>
      <c r="B61" s="18"/>
      <c r="C61" s="18" t="s">
        <v>166</v>
      </c>
      <c r="D61" s="8">
        <f>SUM(F61:J61)</f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L61" s="18"/>
      <c r="N61" s="18"/>
      <c r="O61" s="18"/>
      <c r="Q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</row>
    <row r="62" spans="1:59" x14ac:dyDescent="0.25">
      <c r="A62" s="18">
        <v>34</v>
      </c>
      <c r="B62" s="18" t="s">
        <v>485</v>
      </c>
      <c r="C62" s="18"/>
      <c r="D62" s="24">
        <f>SUM(F62:J62)</f>
        <v>0</v>
      </c>
      <c r="E62" s="17"/>
      <c r="F62" s="24">
        <f>IFERROR(F61/$D61,0)</f>
        <v>0</v>
      </c>
      <c r="G62" s="24">
        <f>IFERROR(G61/$D61,0)</f>
        <v>0</v>
      </c>
      <c r="H62" s="24">
        <f>IFERROR(H61/$D61,0)</f>
        <v>0</v>
      </c>
      <c r="I62" s="24">
        <f>IFERROR(I61/$D61,0)</f>
        <v>0</v>
      </c>
      <c r="J62" s="24">
        <f>IFERROR(J61/$D61,0)</f>
        <v>0</v>
      </c>
      <c r="L62" s="18"/>
      <c r="N62" s="18"/>
      <c r="O62" s="18"/>
      <c r="Q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</row>
    <row r="63" spans="1:59" x14ac:dyDescent="0.25">
      <c r="L63" s="18"/>
      <c r="N63" s="18"/>
      <c r="O63" s="18"/>
      <c r="Q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</row>
    <row r="64" spans="1:59" x14ac:dyDescent="0.25">
      <c r="A64" s="18">
        <v>35</v>
      </c>
      <c r="B64" s="18"/>
      <c r="C64" s="18" t="s">
        <v>166</v>
      </c>
      <c r="D64" s="8">
        <f>SUM(F64:J64)</f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L64" s="18"/>
      <c r="N64" s="18"/>
      <c r="O64" s="18"/>
      <c r="Q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x14ac:dyDescent="0.25">
      <c r="A65" s="18">
        <v>36</v>
      </c>
      <c r="B65" s="18" t="s">
        <v>450</v>
      </c>
      <c r="C65" s="18"/>
      <c r="D65" s="24">
        <f>SUM(F65:J65)</f>
        <v>0</v>
      </c>
      <c r="E65" s="17"/>
      <c r="F65" s="24">
        <f>IFERROR(F64/$D64,0)</f>
        <v>0</v>
      </c>
      <c r="G65" s="24">
        <f>IFERROR(G64/$D64,0)</f>
        <v>0</v>
      </c>
      <c r="H65" s="24">
        <f>IFERROR(H64/$D64,0)</f>
        <v>0</v>
      </c>
      <c r="I65" s="24">
        <f>IFERROR(I64/$D64,0)</f>
        <v>0</v>
      </c>
      <c r="J65" s="24">
        <f>IFERROR(J64/$D64,0)</f>
        <v>0</v>
      </c>
      <c r="L65" s="18"/>
      <c r="N65" s="18"/>
      <c r="O65" s="18"/>
      <c r="Q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x14ac:dyDescent="0.25">
      <c r="L66" s="18"/>
      <c r="N66" s="18"/>
      <c r="O66" s="18"/>
      <c r="Q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x14ac:dyDescent="0.25">
      <c r="A67" s="18">
        <v>37</v>
      </c>
      <c r="B67" s="18"/>
      <c r="C67" s="18" t="s">
        <v>166</v>
      </c>
      <c r="D67" s="8">
        <f>SUM(F67:J67)</f>
        <v>10937.167196229904</v>
      </c>
      <c r="F67" s="20">
        <v>0</v>
      </c>
      <c r="G67" s="20">
        <v>10687.124906261968</v>
      </c>
      <c r="H67" s="20">
        <v>173.64187929209038</v>
      </c>
      <c r="I67" s="20">
        <v>76.400410675845478</v>
      </c>
      <c r="J67" s="20">
        <v>0</v>
      </c>
      <c r="L67" s="18"/>
      <c r="O67" s="18"/>
    </row>
    <row r="68" spans="1:59" x14ac:dyDescent="0.25">
      <c r="A68" s="18">
        <v>38</v>
      </c>
      <c r="B68" s="18" t="s">
        <v>463</v>
      </c>
      <c r="D68" s="24">
        <f>SUM(F68:J68)</f>
        <v>1</v>
      </c>
      <c r="E68" s="17"/>
      <c r="F68" s="24">
        <f>IFERROR(F67/$D67,0)</f>
        <v>0</v>
      </c>
      <c r="G68" s="24">
        <f>IFERROR(G67/$D67,0)</f>
        <v>0.9771382950007268</v>
      </c>
      <c r="H68" s="24">
        <f>IFERROR(H67/$D67,0)</f>
        <v>1.5876312044671458E-2</v>
      </c>
      <c r="I68" s="24">
        <f>IFERROR(I67/$D67,0)</f>
        <v>6.9853929546017249E-3</v>
      </c>
      <c r="J68" s="24">
        <f>IFERROR(J67/$D67,0)</f>
        <v>0</v>
      </c>
      <c r="L68" s="18"/>
      <c r="N68" s="18"/>
      <c r="O68" s="18"/>
      <c r="Q68" s="8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1:59" x14ac:dyDescent="0.25">
      <c r="L69" s="18"/>
      <c r="N69" s="18"/>
      <c r="O69" s="18"/>
      <c r="Q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x14ac:dyDescent="0.25">
      <c r="L70" s="18"/>
      <c r="N70" s="18"/>
      <c r="O70" s="18"/>
      <c r="Q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x14ac:dyDescent="0.25">
      <c r="L71" s="18"/>
      <c r="N71" s="18"/>
      <c r="O71" s="18"/>
      <c r="Q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x14ac:dyDescent="0.25">
      <c r="L72" s="18"/>
      <c r="N72" s="18"/>
      <c r="O72" s="18"/>
      <c r="Q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x14ac:dyDescent="0.25">
      <c r="L73" s="18"/>
      <c r="N73" s="18"/>
      <c r="O73" s="18"/>
      <c r="Q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x14ac:dyDescent="0.25">
      <c r="L74" s="18"/>
      <c r="N74" s="18"/>
      <c r="O74" s="18"/>
      <c r="Q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x14ac:dyDescent="0.25">
      <c r="L75" s="18"/>
      <c r="N75" s="18"/>
      <c r="O75" s="18"/>
      <c r="Q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x14ac:dyDescent="0.25">
      <c r="L76" s="18"/>
      <c r="N76" s="18"/>
      <c r="O76" s="18"/>
      <c r="Q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x14ac:dyDescent="0.25">
      <c r="L77" s="18"/>
      <c r="N77" s="18"/>
      <c r="O77" s="18"/>
      <c r="Q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x14ac:dyDescent="0.25">
      <c r="L78" s="18"/>
      <c r="N78" s="18"/>
      <c r="O78" s="18"/>
      <c r="Q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x14ac:dyDescent="0.25">
      <c r="L79" s="18"/>
      <c r="N79" s="18"/>
      <c r="O79" s="18"/>
      <c r="Q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x14ac:dyDescent="0.25">
      <c r="L80" s="18"/>
      <c r="N80" s="18"/>
      <c r="O80" s="18"/>
      <c r="Q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2:59" x14ac:dyDescent="0.25">
      <c r="L81" s="18"/>
      <c r="N81" s="18"/>
      <c r="O81" s="18"/>
      <c r="Q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2:59" x14ac:dyDescent="0.25">
      <c r="L82" s="18"/>
      <c r="N82" s="18"/>
      <c r="O82" s="18"/>
      <c r="Q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2:59" x14ac:dyDescent="0.25">
      <c r="L83" s="18"/>
      <c r="N83" s="18"/>
      <c r="O83" s="18"/>
      <c r="Q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2:59" x14ac:dyDescent="0.25">
      <c r="L84" s="18"/>
      <c r="N84" s="18"/>
      <c r="O84" s="18"/>
      <c r="Q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2:59" x14ac:dyDescent="0.25">
      <c r="L85" s="18"/>
      <c r="N85" s="18"/>
      <c r="O85" s="18"/>
      <c r="Q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2:59" x14ac:dyDescent="0.25">
      <c r="L86" s="18"/>
      <c r="N86" s="18"/>
      <c r="O86" s="18"/>
      <c r="Q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2:59" x14ac:dyDescent="0.25">
      <c r="L87" s="18"/>
      <c r="N87" s="18"/>
      <c r="O87" s="18"/>
      <c r="Q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2:59" x14ac:dyDescent="0.25">
      <c r="L88" s="18"/>
      <c r="N88" s="18"/>
      <c r="O88" s="18"/>
      <c r="Q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2:59" x14ac:dyDescent="0.25">
      <c r="L89" s="18"/>
      <c r="N89" s="18"/>
      <c r="O89" s="18"/>
      <c r="Q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2:59" x14ac:dyDescent="0.25">
      <c r="L90" s="18"/>
      <c r="N90" s="18"/>
      <c r="O90" s="18"/>
      <c r="Q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2:59" x14ac:dyDescent="0.25">
      <c r="L91" s="18"/>
      <c r="N91" s="18"/>
      <c r="O91" s="18"/>
      <c r="Q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2:59" x14ac:dyDescent="0.25">
      <c r="L92" s="18"/>
      <c r="N92" s="18"/>
      <c r="O92" s="18"/>
      <c r="Q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2:59" x14ac:dyDescent="0.25">
      <c r="L93" s="18"/>
      <c r="N93" s="18"/>
      <c r="O93" s="18"/>
      <c r="Q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2:59" x14ac:dyDescent="0.25">
      <c r="L94" s="18"/>
      <c r="N94" s="18"/>
      <c r="O94" s="18"/>
      <c r="Q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2:59" x14ac:dyDescent="0.25">
      <c r="L95" s="18"/>
      <c r="N95" s="18"/>
      <c r="O95" s="18"/>
      <c r="Q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2:59" x14ac:dyDescent="0.25">
      <c r="L96" s="18"/>
      <c r="N96" s="18"/>
      <c r="O96" s="18"/>
      <c r="Q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2:59" x14ac:dyDescent="0.25">
      <c r="L97" s="18"/>
      <c r="N97" s="18"/>
      <c r="O97" s="18"/>
      <c r="Q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2:59" x14ac:dyDescent="0.25">
      <c r="L98" s="18"/>
      <c r="N98" s="18"/>
      <c r="O98" s="18"/>
      <c r="Q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2:59" x14ac:dyDescent="0.25">
      <c r="L99" s="18"/>
      <c r="N99" s="18"/>
      <c r="O99" s="18"/>
      <c r="Q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2:59" x14ac:dyDescent="0.25">
      <c r="L100" s="18"/>
      <c r="N100" s="18"/>
      <c r="O100" s="18"/>
      <c r="Q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  <row r="101" spans="2:59" x14ac:dyDescent="0.25">
      <c r="L101" s="18"/>
      <c r="N101" s="18"/>
      <c r="O101" s="18"/>
      <c r="Q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</row>
    <row r="102" spans="2:59" x14ac:dyDescent="0.25">
      <c r="L102" s="18"/>
      <c r="N102" s="18"/>
      <c r="O102" s="18"/>
      <c r="Q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</row>
    <row r="103" spans="2:59" x14ac:dyDescent="0.25">
      <c r="L103" s="18"/>
      <c r="N103" s="18"/>
      <c r="O103" s="18"/>
      <c r="Q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</row>
    <row r="104" spans="2:59" x14ac:dyDescent="0.25">
      <c r="L104" s="18"/>
      <c r="N104" s="18"/>
      <c r="O104" s="18"/>
      <c r="Q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</row>
    <row r="105" spans="2:59" x14ac:dyDescent="0.25">
      <c r="L105" s="18"/>
      <c r="N105" s="18"/>
      <c r="O105" s="18"/>
      <c r="Q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</row>
    <row r="106" spans="2:59" x14ac:dyDescent="0.25">
      <c r="L106" s="18"/>
      <c r="N106" s="18"/>
      <c r="O106" s="18"/>
      <c r="Q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</row>
    <row r="107" spans="2:59" x14ac:dyDescent="0.25">
      <c r="L107" s="18"/>
      <c r="N107" s="18"/>
      <c r="O107" s="18"/>
      <c r="Q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</row>
    <row r="108" spans="2:59" x14ac:dyDescent="0.25">
      <c r="L108" s="18"/>
      <c r="N108" s="18"/>
      <c r="O108" s="18"/>
      <c r="Q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</row>
    <row r="109" spans="2:59" x14ac:dyDescent="0.25">
      <c r="B109" s="18"/>
      <c r="C109" s="18"/>
      <c r="D109" s="8"/>
      <c r="G109" s="20"/>
      <c r="H109" s="20"/>
      <c r="I109" s="20"/>
      <c r="J109" s="20"/>
      <c r="L109" s="18"/>
      <c r="O109" s="18"/>
    </row>
    <row r="110" spans="2:59" x14ac:dyDescent="0.25">
      <c r="B110" s="18"/>
      <c r="D110" s="36"/>
      <c r="G110" s="36"/>
      <c r="H110" s="36"/>
      <c r="I110" s="36"/>
      <c r="J110" s="36"/>
      <c r="L110" s="18"/>
      <c r="N110" s="18"/>
      <c r="O110" s="18"/>
      <c r="Q110" s="8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</row>
    <row r="111" spans="2:59" x14ac:dyDescent="0.25">
      <c r="C111" s="18"/>
      <c r="L111" s="18"/>
      <c r="N111" s="18"/>
      <c r="O111" s="18"/>
      <c r="Q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</row>
    <row r="112" spans="2:59" x14ac:dyDescent="0.25">
      <c r="B112" s="18"/>
      <c r="D112" s="8"/>
      <c r="G112" s="20"/>
      <c r="H112" s="20"/>
      <c r="I112" s="20"/>
      <c r="J112" s="59"/>
      <c r="L112" s="18"/>
      <c r="O112" s="18"/>
    </row>
    <row r="113" spans="2:59" x14ac:dyDescent="0.25">
      <c r="B113" s="18"/>
      <c r="D113" s="36"/>
      <c r="F113" s="36"/>
      <c r="G113" s="36"/>
      <c r="H113" s="36"/>
      <c r="I113" s="36"/>
      <c r="J113" s="36"/>
      <c r="L113" s="18"/>
      <c r="N113" s="18"/>
      <c r="O113" s="18"/>
      <c r="Q113" s="8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</row>
    <row r="114" spans="2:59" x14ac:dyDescent="0.25">
      <c r="L114" s="18"/>
      <c r="N114" s="18"/>
      <c r="O114" s="18"/>
      <c r="Q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</row>
    <row r="115" spans="2:59" x14ac:dyDescent="0.25">
      <c r="B115" s="18"/>
      <c r="C115" s="18"/>
      <c r="D115" s="8"/>
      <c r="G115" s="20"/>
      <c r="H115" s="20"/>
      <c r="I115" s="20"/>
      <c r="J115" s="59"/>
      <c r="L115" s="18"/>
      <c r="O115" s="18"/>
    </row>
    <row r="116" spans="2:59" x14ac:dyDescent="0.25">
      <c r="B116" s="18"/>
      <c r="D116" s="36"/>
      <c r="G116" s="36"/>
      <c r="H116" s="36"/>
      <c r="I116" s="36"/>
      <c r="J116" s="36"/>
      <c r="L116" s="18"/>
      <c r="N116" s="18"/>
      <c r="O116" s="18"/>
      <c r="Q116" s="8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</row>
    <row r="117" spans="2:59" x14ac:dyDescent="0.25">
      <c r="B117" s="18"/>
      <c r="L117" s="18"/>
      <c r="N117" s="18"/>
      <c r="O117" s="18"/>
      <c r="Q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</row>
    <row r="118" spans="2:59" x14ac:dyDescent="0.25">
      <c r="B118" s="18"/>
      <c r="C118" s="18"/>
      <c r="D118" s="8"/>
      <c r="G118" s="59"/>
      <c r="H118" s="59"/>
      <c r="I118" s="59"/>
      <c r="J118" s="59"/>
      <c r="L118" s="18"/>
      <c r="N118" s="18"/>
      <c r="O118" s="18"/>
      <c r="Q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</row>
    <row r="119" spans="2:59" x14ac:dyDescent="0.25">
      <c r="B119" s="18"/>
      <c r="L119" s="18"/>
      <c r="N119" s="18"/>
      <c r="O119" s="18"/>
      <c r="Q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</row>
    <row r="120" spans="2:59" x14ac:dyDescent="0.25">
      <c r="B120" s="18"/>
      <c r="C120" s="18"/>
      <c r="D120" s="8"/>
      <c r="G120" s="20"/>
      <c r="H120" s="20"/>
      <c r="I120" s="20"/>
      <c r="J120" s="59"/>
      <c r="L120" s="18"/>
      <c r="O120" s="18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</row>
    <row r="121" spans="2:59" x14ac:dyDescent="0.25">
      <c r="B121" s="18"/>
      <c r="D121" s="36"/>
      <c r="G121" s="36"/>
      <c r="H121" s="36"/>
      <c r="I121" s="36"/>
      <c r="J121" s="36"/>
      <c r="L121" s="18"/>
      <c r="N121" s="18"/>
      <c r="O121" s="18"/>
      <c r="Q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</row>
    <row r="122" spans="2:59" hidden="1" x14ac:dyDescent="0.25">
      <c r="B122" s="18"/>
    </row>
    <row r="123" spans="2:59" hidden="1" x14ac:dyDescent="0.25">
      <c r="B123" s="18"/>
      <c r="C123" s="18"/>
      <c r="D123" s="8"/>
      <c r="G123" s="20"/>
      <c r="H123" s="20"/>
      <c r="I123" s="20"/>
      <c r="J123" s="20"/>
    </row>
    <row r="124" spans="2:59" hidden="1" x14ac:dyDescent="0.25">
      <c r="B124" s="18"/>
      <c r="D124" s="36"/>
      <c r="G124" s="36"/>
      <c r="H124" s="36"/>
      <c r="I124" s="36"/>
      <c r="J124" s="36"/>
    </row>
    <row r="125" spans="2:59" x14ac:dyDescent="0.25">
      <c r="B125" s="18"/>
      <c r="L125" s="18"/>
      <c r="N125" s="18"/>
      <c r="O125" s="18"/>
      <c r="Q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</row>
    <row r="126" spans="2:59" x14ac:dyDescent="0.25">
      <c r="B126" s="18"/>
      <c r="C126" s="18"/>
      <c r="D126" s="8"/>
      <c r="G126" s="20"/>
      <c r="H126" s="20"/>
      <c r="I126" s="20"/>
      <c r="J126" s="59"/>
      <c r="L126" s="18"/>
      <c r="O126" s="18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</row>
    <row r="127" spans="2:59" x14ac:dyDescent="0.25">
      <c r="B127" s="18"/>
      <c r="D127" s="36"/>
      <c r="F127" s="36"/>
      <c r="G127" s="36"/>
      <c r="H127" s="36"/>
      <c r="I127" s="36"/>
      <c r="J127" s="36"/>
      <c r="L127" s="18"/>
      <c r="N127" s="18"/>
      <c r="O127" s="18"/>
      <c r="Q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</row>
    <row r="128" spans="2:59" x14ac:dyDescent="0.25">
      <c r="B128" s="18"/>
      <c r="L128" s="18"/>
      <c r="N128" s="18"/>
      <c r="O128" s="18"/>
      <c r="Q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</row>
    <row r="129" spans="2:59" x14ac:dyDescent="0.25">
      <c r="B129" s="18"/>
      <c r="C129" s="18"/>
      <c r="D129" s="8"/>
      <c r="G129" s="20"/>
      <c r="H129" s="20"/>
      <c r="I129" s="20"/>
      <c r="J129" s="59"/>
      <c r="L129" s="18"/>
      <c r="O129" s="18"/>
    </row>
    <row r="130" spans="2:59" x14ac:dyDescent="0.25">
      <c r="B130" s="18"/>
      <c r="D130" s="36"/>
      <c r="G130" s="36"/>
      <c r="H130" s="36"/>
      <c r="I130" s="36"/>
      <c r="J130" s="36"/>
      <c r="L130" s="18"/>
      <c r="N130" s="18"/>
      <c r="O130" s="18"/>
      <c r="Q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22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2:59" x14ac:dyDescent="0.25">
      <c r="B131" s="18"/>
      <c r="L131" s="18"/>
      <c r="N131" s="18"/>
      <c r="O131" s="18"/>
      <c r="Q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</row>
    <row r="132" spans="2:59" x14ac:dyDescent="0.25">
      <c r="B132" s="18"/>
      <c r="C132" s="18"/>
      <c r="D132" s="8"/>
      <c r="G132" s="20"/>
      <c r="H132" s="20"/>
      <c r="I132" s="20"/>
      <c r="J132" s="59"/>
      <c r="L132" s="18"/>
      <c r="O132" s="18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</row>
    <row r="133" spans="2:59" x14ac:dyDescent="0.25">
      <c r="B133" s="18"/>
      <c r="D133" s="36"/>
      <c r="F133" s="36"/>
      <c r="G133" s="36"/>
      <c r="H133" s="36"/>
      <c r="I133" s="36"/>
      <c r="J133" s="36"/>
      <c r="L133" s="18"/>
      <c r="N133" s="18"/>
      <c r="O133" s="18"/>
      <c r="Q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</row>
    <row r="134" spans="2:59" hidden="1" x14ac:dyDescent="0.25">
      <c r="B134" s="18"/>
      <c r="L134" s="18"/>
      <c r="N134" s="18"/>
      <c r="O134" s="18"/>
      <c r="Q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</row>
    <row r="135" spans="2:59" hidden="1" x14ac:dyDescent="0.25">
      <c r="B135" s="18"/>
      <c r="C135" s="18"/>
      <c r="D135" s="8"/>
      <c r="G135" s="20"/>
      <c r="H135" s="20"/>
      <c r="I135" s="20"/>
      <c r="J135" s="20"/>
      <c r="L135" s="18"/>
      <c r="O135" s="18"/>
    </row>
    <row r="136" spans="2:59" hidden="1" x14ac:dyDescent="0.25">
      <c r="B136" s="18"/>
      <c r="D136" s="36"/>
      <c r="G136" s="36"/>
      <c r="H136" s="36"/>
      <c r="I136" s="36"/>
      <c r="J136" s="36"/>
      <c r="L136" s="18"/>
      <c r="N136" s="18"/>
      <c r="O136" s="18"/>
      <c r="Q136" s="8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22"/>
      <c r="AG136" s="119"/>
      <c r="AH136" s="119"/>
      <c r="AI136" s="119"/>
      <c r="AJ136" s="119"/>
      <c r="AK136" s="37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</row>
    <row r="137" spans="2:59" x14ac:dyDescent="0.25">
      <c r="B137" s="18"/>
      <c r="L137" s="18"/>
      <c r="N137" s="18"/>
      <c r="O137" s="18"/>
      <c r="Q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</row>
    <row r="138" spans="2:59" x14ac:dyDescent="0.25">
      <c r="B138" s="18"/>
      <c r="C138" s="18"/>
      <c r="D138" s="8"/>
      <c r="G138" s="20"/>
      <c r="H138" s="20"/>
      <c r="I138" s="20"/>
      <c r="J138" s="59"/>
      <c r="L138" s="18"/>
      <c r="O138" s="18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</row>
    <row r="139" spans="2:59" x14ac:dyDescent="0.25">
      <c r="B139" s="18"/>
      <c r="D139" s="36"/>
      <c r="G139" s="36"/>
      <c r="H139" s="36"/>
      <c r="I139" s="36"/>
      <c r="J139" s="36"/>
      <c r="L139" s="18"/>
      <c r="N139" s="18"/>
      <c r="O139" s="18"/>
      <c r="Q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</row>
    <row r="140" spans="2:59" x14ac:dyDescent="0.25">
      <c r="B140" s="18"/>
      <c r="L140" s="18"/>
      <c r="N140" s="18"/>
      <c r="O140" s="18"/>
      <c r="Q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</row>
    <row r="141" spans="2:59" x14ac:dyDescent="0.25">
      <c r="B141" s="18"/>
      <c r="C141" s="18"/>
      <c r="D141" s="8"/>
      <c r="G141" s="20"/>
      <c r="H141" s="20"/>
      <c r="I141" s="20"/>
      <c r="J141" s="20"/>
      <c r="L141" s="18"/>
      <c r="O141" s="18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</row>
    <row r="142" spans="2:59" x14ac:dyDescent="0.25">
      <c r="B142" s="18"/>
      <c r="D142" s="36"/>
      <c r="G142" s="36"/>
      <c r="H142" s="36"/>
      <c r="I142" s="36"/>
      <c r="J142" s="36"/>
      <c r="L142" s="18"/>
      <c r="N142" s="18"/>
      <c r="O142" s="18"/>
      <c r="Q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</row>
    <row r="143" spans="2:59" x14ac:dyDescent="0.25">
      <c r="B143" s="18"/>
      <c r="L143" s="18"/>
      <c r="N143" s="18"/>
      <c r="O143" s="18"/>
      <c r="Q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</row>
    <row r="144" spans="2:59" x14ac:dyDescent="0.25">
      <c r="B144" s="18"/>
      <c r="C144" s="18"/>
      <c r="D144" s="8"/>
      <c r="G144" s="20"/>
      <c r="H144" s="20"/>
      <c r="I144" s="20"/>
      <c r="J144" s="20"/>
      <c r="L144" s="18"/>
      <c r="O144" s="18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</row>
    <row r="145" spans="2:59" x14ac:dyDescent="0.25">
      <c r="B145" s="18"/>
      <c r="C145" s="18"/>
      <c r="D145" s="36"/>
      <c r="E145" s="36"/>
      <c r="F145" s="36"/>
      <c r="G145" s="36"/>
      <c r="H145" s="36"/>
      <c r="I145" s="36"/>
      <c r="J145" s="36"/>
      <c r="L145" s="18"/>
      <c r="O145" s="18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</row>
    <row r="146" spans="2:59" hidden="1" x14ac:dyDescent="0.25">
      <c r="B146" s="18"/>
      <c r="L146" s="18"/>
      <c r="N146" s="18"/>
      <c r="O146" s="18"/>
      <c r="Q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</row>
    <row r="147" spans="2:59" hidden="1" x14ac:dyDescent="0.25">
      <c r="B147" s="18"/>
      <c r="C147" s="18"/>
      <c r="D147" s="8"/>
      <c r="G147" s="20"/>
      <c r="H147" s="20"/>
      <c r="I147" s="20"/>
      <c r="J147" s="20"/>
      <c r="L147" s="18"/>
      <c r="O147" s="18"/>
    </row>
    <row r="148" spans="2:59" hidden="1" x14ac:dyDescent="0.25">
      <c r="B148" s="18"/>
      <c r="D148" s="36"/>
      <c r="G148" s="36"/>
      <c r="H148" s="36"/>
      <c r="I148" s="36"/>
      <c r="J148" s="36"/>
      <c r="L148" s="18"/>
      <c r="N148" s="18"/>
      <c r="O148" s="18"/>
      <c r="Q148" s="8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22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</row>
    <row r="149" spans="2:59" hidden="1" x14ac:dyDescent="0.25">
      <c r="B149" s="18"/>
    </row>
    <row r="150" spans="2:59" hidden="1" x14ac:dyDescent="0.25">
      <c r="B150" s="18"/>
      <c r="C150" s="18"/>
      <c r="D150" s="8"/>
      <c r="G150" s="20"/>
      <c r="H150" s="20"/>
      <c r="I150" s="20"/>
      <c r="J150" s="20"/>
    </row>
    <row r="151" spans="2:59" hidden="1" x14ac:dyDescent="0.25">
      <c r="B151" s="18"/>
      <c r="D151" s="36"/>
      <c r="G151" s="36"/>
      <c r="H151" s="36"/>
      <c r="I151" s="36"/>
      <c r="J151" s="36"/>
    </row>
    <row r="152" spans="2:59" x14ac:dyDescent="0.25">
      <c r="B152" s="18"/>
      <c r="L152" s="18"/>
      <c r="N152" s="18"/>
      <c r="O152" s="18"/>
      <c r="Q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</row>
    <row r="153" spans="2:59" x14ac:dyDescent="0.25">
      <c r="B153" s="18"/>
      <c r="C153" s="18"/>
      <c r="D153" s="8"/>
      <c r="G153" s="20"/>
      <c r="H153" s="20"/>
      <c r="I153" s="20"/>
      <c r="J153" s="20"/>
      <c r="L153" s="18"/>
      <c r="O153" s="18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</row>
    <row r="154" spans="2:59" x14ac:dyDescent="0.25">
      <c r="B154" s="18"/>
      <c r="C154" s="18"/>
      <c r="D154" s="36"/>
      <c r="E154" s="36"/>
      <c r="F154" s="36"/>
      <c r="G154" s="36"/>
      <c r="H154" s="36"/>
      <c r="I154" s="36"/>
      <c r="J154" s="36"/>
      <c r="L154" s="18"/>
      <c r="O154" s="18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</row>
    <row r="155" spans="2:59" x14ac:dyDescent="0.25">
      <c r="B155" s="18"/>
      <c r="L155" s="18"/>
      <c r="N155" s="18"/>
      <c r="O155" s="18"/>
      <c r="Q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</row>
    <row r="156" spans="2:59" x14ac:dyDescent="0.25">
      <c r="B156" s="18"/>
      <c r="C156" s="18"/>
      <c r="D156" s="8"/>
      <c r="G156" s="20"/>
      <c r="H156" s="20"/>
      <c r="I156" s="20"/>
      <c r="J156" s="20"/>
      <c r="L156" s="18"/>
      <c r="O156" s="18"/>
    </row>
    <row r="157" spans="2:59" x14ac:dyDescent="0.25">
      <c r="B157" s="18"/>
      <c r="D157" s="36"/>
      <c r="G157" s="36"/>
      <c r="H157" s="36"/>
      <c r="I157" s="36"/>
      <c r="J157" s="36"/>
      <c r="L157" s="18"/>
      <c r="N157" s="18"/>
      <c r="O157" s="18"/>
      <c r="Q157" s="8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</row>
    <row r="158" spans="2:59" x14ac:dyDescent="0.25">
      <c r="B158" s="18"/>
      <c r="L158" s="18"/>
      <c r="N158" s="18"/>
      <c r="O158" s="18"/>
      <c r="Q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</row>
    <row r="159" spans="2:59" x14ac:dyDescent="0.25">
      <c r="B159" s="18"/>
      <c r="C159" s="18"/>
      <c r="D159" s="8"/>
      <c r="F159" s="53"/>
      <c r="G159" s="20"/>
      <c r="H159" s="20"/>
      <c r="I159" s="20"/>
      <c r="J159" s="20"/>
      <c r="L159" s="18"/>
      <c r="O159" s="18"/>
    </row>
    <row r="160" spans="2:59" x14ac:dyDescent="0.25">
      <c r="B160" s="18"/>
      <c r="D160" s="36"/>
      <c r="F160" s="36"/>
      <c r="G160" s="36"/>
      <c r="H160" s="36"/>
      <c r="I160" s="36"/>
      <c r="J160" s="36"/>
      <c r="L160" s="18"/>
      <c r="N160" s="18"/>
      <c r="O160" s="18"/>
      <c r="Q160" s="8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</row>
    <row r="161" spans="1:59" hidden="1" x14ac:dyDescent="0.25">
      <c r="B161" s="18"/>
      <c r="L161" s="18"/>
      <c r="N161" s="18"/>
      <c r="O161" s="18"/>
      <c r="Q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</row>
    <row r="162" spans="1:59" hidden="1" x14ac:dyDescent="0.25">
      <c r="B162" s="18"/>
      <c r="C162" s="18"/>
      <c r="D162" s="8"/>
      <c r="G162" s="20"/>
      <c r="H162" s="20"/>
      <c r="I162" s="20"/>
      <c r="L162" s="18"/>
      <c r="O162" s="18"/>
    </row>
    <row r="163" spans="1:59" hidden="1" x14ac:dyDescent="0.25">
      <c r="B163" s="18"/>
      <c r="D163" s="36"/>
      <c r="G163" s="36"/>
      <c r="H163" s="36"/>
      <c r="I163" s="36"/>
    </row>
    <row r="164" spans="1:59" hidden="1" x14ac:dyDescent="0.25">
      <c r="B164" s="18"/>
    </row>
    <row r="165" spans="1:59" hidden="1" x14ac:dyDescent="0.25">
      <c r="B165" s="18"/>
      <c r="C165" s="18"/>
      <c r="D165" s="8"/>
      <c r="G165" s="20"/>
      <c r="H165" s="20"/>
      <c r="I165" s="20"/>
    </row>
    <row r="166" spans="1:59" hidden="1" x14ac:dyDescent="0.25">
      <c r="B166" s="18"/>
      <c r="D166" s="36"/>
      <c r="G166" s="36"/>
      <c r="H166" s="36"/>
      <c r="I166" s="36"/>
    </row>
    <row r="167" spans="1:59" x14ac:dyDescent="0.25">
      <c r="B167" s="18"/>
    </row>
    <row r="168" spans="1:59" x14ac:dyDescent="0.25">
      <c r="B168" s="18"/>
    </row>
    <row r="173" spans="1:59" x14ac:dyDescent="0.25">
      <c r="A173" s="54"/>
    </row>
    <row r="174" spans="1:59" x14ac:dyDescent="0.25">
      <c r="A174" s="54"/>
    </row>
    <row r="176" spans="1:59" x14ac:dyDescent="0.25">
      <c r="A176" s="54"/>
    </row>
    <row r="177" spans="1:9" x14ac:dyDescent="0.25">
      <c r="A177" s="54"/>
    </row>
    <row r="179" spans="1:9" x14ac:dyDescent="0.25">
      <c r="A179" s="54"/>
    </row>
    <row r="180" spans="1:9" x14ac:dyDescent="0.25">
      <c r="A180" s="54"/>
    </row>
    <row r="182" spans="1:9" x14ac:dyDescent="0.25">
      <c r="A182" s="54"/>
    </row>
    <row r="183" spans="1:9" x14ac:dyDescent="0.25">
      <c r="A183" s="54"/>
    </row>
    <row r="184" spans="1:9" x14ac:dyDescent="0.25">
      <c r="B184" s="18"/>
      <c r="D184" s="17"/>
      <c r="G184" s="24"/>
      <c r="H184" s="24"/>
      <c r="I184" s="24"/>
    </row>
    <row r="185" spans="1:9" x14ac:dyDescent="0.25">
      <c r="A185" s="54"/>
    </row>
    <row r="186" spans="1:9" x14ac:dyDescent="0.25">
      <c r="A186" s="54"/>
    </row>
    <row r="187" spans="1:9" x14ac:dyDescent="0.25">
      <c r="B187" s="120"/>
      <c r="D187" s="120"/>
      <c r="G187" s="120"/>
      <c r="H187" s="120"/>
      <c r="I187" s="120"/>
    </row>
    <row r="188" spans="1:9" x14ac:dyDescent="0.25">
      <c r="A188" s="54"/>
    </row>
    <row r="189" spans="1:9" x14ac:dyDescent="0.25">
      <c r="A189" s="54"/>
    </row>
    <row r="190" spans="1:9" x14ac:dyDescent="0.25">
      <c r="B190" s="120"/>
      <c r="D190" s="120"/>
      <c r="G190" s="120"/>
      <c r="H190" s="120"/>
      <c r="I190" s="120"/>
    </row>
    <row r="191" spans="1:9" x14ac:dyDescent="0.25">
      <c r="A191" s="54"/>
    </row>
    <row r="192" spans="1:9" x14ac:dyDescent="0.25">
      <c r="A192" s="54"/>
    </row>
    <row r="193" spans="1:9" x14ac:dyDescent="0.25">
      <c r="B193" s="120"/>
      <c r="D193" s="120"/>
      <c r="G193" s="120"/>
      <c r="H193" s="120"/>
      <c r="I193" s="120"/>
    </row>
    <row r="194" spans="1:9" x14ac:dyDescent="0.25">
      <c r="A194" s="54"/>
    </row>
    <row r="195" spans="1:9" x14ac:dyDescent="0.25">
      <c r="A195" s="54"/>
    </row>
    <row r="197" spans="1:9" x14ac:dyDescent="0.25">
      <c r="A197" s="54"/>
    </row>
    <row r="198" spans="1:9" x14ac:dyDescent="0.25">
      <c r="A198" s="54"/>
    </row>
    <row r="200" spans="1:9" x14ac:dyDescent="0.25">
      <c r="A200" s="54"/>
    </row>
    <row r="201" spans="1:9" x14ac:dyDescent="0.25">
      <c r="A201" s="54"/>
    </row>
    <row r="203" spans="1:9" x14ac:dyDescent="0.25">
      <c r="A203" s="54"/>
    </row>
    <row r="204" spans="1:9" x14ac:dyDescent="0.25">
      <c r="A204" s="54"/>
    </row>
    <row r="206" spans="1:9" x14ac:dyDescent="0.25">
      <c r="A206" s="54"/>
    </row>
    <row r="207" spans="1:9" x14ac:dyDescent="0.25">
      <c r="A207" s="54"/>
    </row>
    <row r="209" spans="1:1" x14ac:dyDescent="0.25">
      <c r="A209" s="54"/>
    </row>
    <row r="210" spans="1:1" x14ac:dyDescent="0.25">
      <c r="A210" s="54"/>
    </row>
    <row r="212" spans="1:1" x14ac:dyDescent="0.25">
      <c r="A212" s="54"/>
    </row>
    <row r="213" spans="1:1" x14ac:dyDescent="0.25">
      <c r="A213" s="54"/>
    </row>
    <row r="215" spans="1:1" x14ac:dyDescent="0.25">
      <c r="A215" s="54"/>
    </row>
    <row r="216" spans="1:1" x14ac:dyDescent="0.25">
      <c r="A216" s="54"/>
    </row>
    <row r="218" spans="1:1" x14ac:dyDescent="0.25">
      <c r="A218" s="54"/>
    </row>
    <row r="219" spans="1:1" x14ac:dyDescent="0.25">
      <c r="A219" s="54"/>
    </row>
    <row r="221" spans="1:1" x14ac:dyDescent="0.25">
      <c r="A221" s="54"/>
    </row>
    <row r="222" spans="1:1" x14ac:dyDescent="0.25">
      <c r="A222" s="54"/>
    </row>
    <row r="224" spans="1:1" x14ac:dyDescent="0.25">
      <c r="A224" s="54"/>
    </row>
    <row r="225" spans="1:16" x14ac:dyDescent="0.25">
      <c r="A225" s="54"/>
    </row>
    <row r="227" spans="1:16" x14ac:dyDescent="0.25">
      <c r="A227" s="54"/>
      <c r="K227" s="39"/>
      <c r="L227" s="39"/>
      <c r="M227" s="39"/>
      <c r="N227" s="39"/>
      <c r="O227" s="39"/>
      <c r="P227" s="39"/>
    </row>
    <row r="228" spans="1:16" x14ac:dyDescent="0.25">
      <c r="A228" s="54"/>
    </row>
    <row r="230" spans="1:16" x14ac:dyDescent="0.25">
      <c r="A230" s="54"/>
    </row>
    <row r="231" spans="1:16" x14ac:dyDescent="0.25">
      <c r="A231" s="54"/>
    </row>
    <row r="232" spans="1:16" x14ac:dyDescent="0.25">
      <c r="G232" s="36"/>
      <c r="H232" s="36"/>
      <c r="I232" s="36"/>
    </row>
    <row r="233" spans="1:16" x14ac:dyDescent="0.25">
      <c r="A233" s="54"/>
    </row>
    <row r="234" spans="1:16" x14ac:dyDescent="0.25">
      <c r="A234" s="54"/>
    </row>
    <row r="235" spans="1:16" x14ac:dyDescent="0.25">
      <c r="G235" s="36"/>
      <c r="H235" s="36"/>
      <c r="I235" s="36"/>
    </row>
    <row r="236" spans="1:16" x14ac:dyDescent="0.25">
      <c r="A236" s="54"/>
    </row>
    <row r="237" spans="1:16" x14ac:dyDescent="0.25">
      <c r="A237" s="54"/>
    </row>
    <row r="239" spans="1:16" x14ac:dyDescent="0.25">
      <c r="A239" s="54"/>
      <c r="J239" s="8"/>
    </row>
    <row r="240" spans="1:16" x14ac:dyDescent="0.25">
      <c r="A240" s="54"/>
      <c r="J240" s="36"/>
    </row>
    <row r="242" spans="1:1" x14ac:dyDescent="0.25">
      <c r="A242" s="54"/>
    </row>
    <row r="243" spans="1:1" x14ac:dyDescent="0.25">
      <c r="A243" s="54"/>
    </row>
    <row r="245" spans="1:1" x14ac:dyDescent="0.25">
      <c r="A245" s="54"/>
    </row>
    <row r="246" spans="1:1" x14ac:dyDescent="0.25">
      <c r="A246" s="54"/>
    </row>
    <row r="248" spans="1:1" x14ac:dyDescent="0.25">
      <c r="A248" s="54"/>
    </row>
    <row r="249" spans="1:1" x14ac:dyDescent="0.25">
      <c r="A249" s="54"/>
    </row>
    <row r="251" spans="1:1" x14ac:dyDescent="0.25">
      <c r="A251" s="54"/>
    </row>
    <row r="252" spans="1:1" x14ac:dyDescent="0.25">
      <c r="A252" s="54"/>
    </row>
    <row r="254" spans="1:1" x14ac:dyDescent="0.25">
      <c r="A254" s="54"/>
    </row>
    <row r="255" spans="1:1" x14ac:dyDescent="0.25">
      <c r="A255" s="54"/>
    </row>
    <row r="257" spans="1:1" x14ac:dyDescent="0.25">
      <c r="A257" s="54"/>
    </row>
    <row r="258" spans="1:1" x14ac:dyDescent="0.25">
      <c r="A258" s="54"/>
    </row>
    <row r="260" spans="1:1" x14ac:dyDescent="0.25">
      <c r="A260" s="54"/>
    </row>
    <row r="261" spans="1:1" x14ac:dyDescent="0.25">
      <c r="A261" s="54"/>
    </row>
    <row r="263" spans="1:1" x14ac:dyDescent="0.25">
      <c r="A263" s="54"/>
    </row>
    <row r="264" spans="1:1" x14ac:dyDescent="0.25">
      <c r="A264" s="54"/>
    </row>
    <row r="266" spans="1:1" x14ac:dyDescent="0.25">
      <c r="A266" s="54"/>
    </row>
    <row r="267" spans="1:1" x14ac:dyDescent="0.25">
      <c r="A267" s="54"/>
    </row>
    <row r="269" spans="1:1" x14ac:dyDescent="0.25">
      <c r="A269" s="3"/>
    </row>
    <row r="270" spans="1:1" x14ac:dyDescent="0.25">
      <c r="A270" s="3"/>
    </row>
    <row r="272" spans="1:1" x14ac:dyDescent="0.25">
      <c r="A272" s="2"/>
    </row>
    <row r="273" spans="1:1" x14ac:dyDescent="0.25">
      <c r="A273" s="2"/>
    </row>
    <row r="275" spans="1:1" x14ac:dyDescent="0.25">
      <c r="A275" s="1"/>
    </row>
    <row r="276" spans="1:1" x14ac:dyDescent="0.25">
      <c r="A276" s="1"/>
    </row>
    <row r="278" spans="1:1" x14ac:dyDescent="0.25">
      <c r="A278" s="1"/>
    </row>
    <row r="279" spans="1:1" x14ac:dyDescent="0.25">
      <c r="A279" s="1"/>
    </row>
    <row r="281" spans="1:1" x14ac:dyDescent="0.25">
      <c r="A281" s="1"/>
    </row>
    <row r="282" spans="1:1" x14ac:dyDescent="0.25">
      <c r="A282" s="1"/>
    </row>
  </sheetData>
  <mergeCells count="8">
    <mergeCell ref="AJ10:AR10"/>
    <mergeCell ref="AS10:AW10"/>
    <mergeCell ref="AY10:BG10"/>
    <mergeCell ref="B6:J6"/>
    <mergeCell ref="B7:J7"/>
    <mergeCell ref="F8:J8"/>
    <mergeCell ref="S10:AC10"/>
    <mergeCell ref="AD10:AH10"/>
  </mergeCells>
  <phoneticPr fontId="12" type="noConversion"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13BE-C1FE-42B3-BD31-F0B96D7FC414}">
  <sheetPr>
    <tabColor theme="0" tint="-0.249977111117893"/>
  </sheetPr>
  <dimension ref="A6:AI40"/>
  <sheetViews>
    <sheetView zoomScale="80" zoomScaleNormal="80" workbookViewId="0">
      <selection activeCell="W48" sqref="W48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19.7265625" style="2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5" width="12.81640625" style="31" customWidth="1"/>
    <col min="16" max="16" width="10.7265625" style="31" customWidth="1"/>
    <col min="17" max="18" width="10.7265625" style="31" hidden="1" customWidth="1"/>
    <col min="19" max="26" width="10.7265625" style="31" customWidth="1"/>
    <col min="27" max="30" width="10.54296875" style="31" customWidth="1"/>
    <col min="31" max="31" width="9.1796875" style="31"/>
    <col min="32" max="32" width="11.26953125" style="31" customWidth="1"/>
    <col min="33" max="33" width="10.7265625" style="31" customWidth="1"/>
    <col min="34" max="34" width="9.1796875" style="31"/>
    <col min="35" max="35" width="14.81640625" style="31" customWidth="1"/>
    <col min="36" max="16384" width="9.1796875" style="31"/>
  </cols>
  <sheetData>
    <row r="6" spans="1:35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5" x14ac:dyDescent="0.25">
      <c r="B7" s="158" t="s">
        <v>486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5" x14ac:dyDescent="0.25">
      <c r="D9" s="2" t="s">
        <v>337</v>
      </c>
    </row>
    <row r="10" spans="1:35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  <c r="AD10" s="2" t="s">
        <v>426</v>
      </c>
      <c r="AE10" s="2" t="s">
        <v>426</v>
      </c>
      <c r="AF10" s="2" t="s">
        <v>426</v>
      </c>
      <c r="AG10" s="2" t="s">
        <v>426</v>
      </c>
      <c r="AH10" s="2" t="s">
        <v>426</v>
      </c>
    </row>
    <row r="11" spans="1:35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477</v>
      </c>
      <c r="AC11" s="33" t="s">
        <v>439</v>
      </c>
      <c r="AD11" s="33" t="s">
        <v>440</v>
      </c>
      <c r="AE11" s="33" t="s">
        <v>478</v>
      </c>
      <c r="AF11" s="33" t="s">
        <v>479</v>
      </c>
      <c r="AG11" s="33" t="s">
        <v>480</v>
      </c>
      <c r="AH11" s="33" t="s">
        <v>481</v>
      </c>
    </row>
    <row r="12" spans="1:35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  <c r="AD12" s="81" t="s">
        <v>487</v>
      </c>
      <c r="AE12" s="81" t="s">
        <v>488</v>
      </c>
      <c r="AF12" s="81" t="s">
        <v>489</v>
      </c>
      <c r="AG12" s="81" t="s">
        <v>490</v>
      </c>
      <c r="AH12" s="81" t="s">
        <v>491</v>
      </c>
    </row>
    <row r="13" spans="1:35" x14ac:dyDescent="0.25">
      <c r="D13" s="2"/>
      <c r="F13" s="81"/>
      <c r="H13" s="81"/>
      <c r="J13" s="81"/>
      <c r="L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5" x14ac:dyDescent="0.25">
      <c r="B14" s="74"/>
      <c r="D14" s="2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106"/>
    </row>
    <row r="15" spans="1:35" x14ac:dyDescent="0.25">
      <c r="B15" s="74" t="s">
        <v>390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106"/>
    </row>
    <row r="16" spans="1:35" x14ac:dyDescent="0.25">
      <c r="A16" s="2">
        <v>1</v>
      </c>
      <c r="B16" s="31" t="s">
        <v>391</v>
      </c>
      <c r="D16" s="76">
        <f ca="1">'Distribution Class'!P$180</f>
        <v>308037.74636037333</v>
      </c>
      <c r="E16" s="76"/>
      <c r="F16" s="76"/>
      <c r="G16" s="76"/>
      <c r="H16" s="116"/>
      <c r="I16" s="76"/>
      <c r="J16" s="76">
        <f t="shared" ref="J16:J30" ca="1" si="0">D16-F16</f>
        <v>308037.74636037333</v>
      </c>
      <c r="L16" s="2" t="s">
        <v>492</v>
      </c>
      <c r="N16" s="76">
        <f ca="1">IF($J16&lt;&gt;0,VLOOKUP($L16,'Distribution Allocation Factors'!$B$13:$Y$152,5,FALSE)*$J16,0)+IF($F16&lt;&gt;0,VLOOKUP($H16,'Distribution Allocation Factors'!$B$13:$Y$152,5,FALSE)*$F16,0)</f>
        <v>144896.90063341759</v>
      </c>
      <c r="O16" s="76">
        <f ca="1">IF($J16&lt;&gt;0,VLOOKUP($L16,'Distribution Allocation Factors'!$B$13:$Y$152,6,FALSE)*$J16,0)+IF($F16&lt;&gt;0,VLOOKUP($H16,'Distribution Allocation Factors'!$B$13:$Y$152,6,FALSE)*$F16,0)</f>
        <v>67239.429116208528</v>
      </c>
      <c r="P16" s="76">
        <f ca="1">IF($J16&lt;&gt;0,VLOOKUP($L16,'Distribution Allocation Factors'!$B$13:$Y$152,7,FALSE)*$J16,0)+IF($F16&lt;&gt;0,VLOOKUP($H16,'Distribution Allocation Factors'!$B$13:$Y$152,7,FALSE)*$F16,0)</f>
        <v>24013.028144733435</v>
      </c>
      <c r="Q16" s="76"/>
      <c r="R16" s="76"/>
      <c r="S16" s="76">
        <f ca="1">IF($J16&lt;&gt;0,VLOOKUP($L16,'Distribution Allocation Factors'!$B$13:$Y$152,10,FALSE)*$J16,0)+IF($F16&lt;&gt;0,VLOOKUP($H16,'Distribution Allocation Factors'!$B$13:$Y$152,10,FALSE)*$F16,0)</f>
        <v>25149.835031950286</v>
      </c>
      <c r="T16" s="76">
        <f ca="1">IF($J16&lt;&gt;0,VLOOKUP($L16,'Distribution Allocation Factors'!$B$13:$Y$152,11,FALSE)*$J16,0)+IF($F16&lt;&gt;0,VLOOKUP($H16,'Distribution Allocation Factors'!$B$13:$Y$152,11,FALSE)*$F16,0)</f>
        <v>0</v>
      </c>
      <c r="U16" s="76">
        <f ca="1">IF($J16&lt;&gt;0,VLOOKUP($L16,'Distribution Allocation Factors'!$B$13:$Y$152,12,FALSE)*$J16,0)+IF($F16&lt;&gt;0,VLOOKUP($H16,'Distribution Allocation Factors'!$B$13:$Y$152,12,FALSE)*$F16,0)</f>
        <v>7046.413404636226</v>
      </c>
      <c r="V16" s="76">
        <f ca="1">IF($J16&lt;&gt;0,VLOOKUP($L16,'Distribution Allocation Factors'!$B$13:$Y$152,13,FALSE)*$J16,0)+IF($F16&lt;&gt;0,VLOOKUP($H16,'Distribution Allocation Factors'!$B$13:$Y$152,13,FALSE)*$F16,0)</f>
        <v>0</v>
      </c>
      <c r="W16" s="76">
        <f ca="1">IF($J16&lt;&gt;0,VLOOKUP($L16,'Distribution Allocation Factors'!$B$13:$Y$152,14,FALSE)*$J16,0)+IF($F16&lt;&gt;0,VLOOKUP($H16,'Distribution Allocation Factors'!$B$13:$Y$152,14,FALSE)*$F16,0)</f>
        <v>33402.194473920339</v>
      </c>
      <c r="X16" s="76">
        <f ca="1">IF($J16&lt;&gt;0,VLOOKUP($L16,'Distribution Allocation Factors'!$B$13:$Y$152,15,FALSE)*$J16,0)+IF($F16&lt;&gt;0,VLOOKUP($H16,'Distribution Allocation Factors'!$B$13:$Y$152,15,FALSE)*$F16,0)</f>
        <v>0</v>
      </c>
      <c r="Y16" s="76">
        <f ca="1">IF($J16&lt;&gt;0,VLOOKUP($L16,'Distribution Allocation Factors'!$B$13:$Y$152,16,FALSE)*$J16,0)+IF($F16&lt;&gt;0,VLOOKUP($H16,'Distribution Allocation Factors'!$B$13:$Y$152,16,FALSE)*$F16,0)</f>
        <v>1.9163507319043884</v>
      </c>
      <c r="Z16" s="76">
        <f ca="1">IF($J16&lt;&gt;0,VLOOKUP($L16,'Distribution Allocation Factors'!$B$13:$Y$152,17,FALSE)*$J16,0)+IF($F16&lt;&gt;0,VLOOKUP($H16,'Distribution Allocation Factors'!$B$13:$Y$152,17,FALSE)*$F16,0)</f>
        <v>25.756586336156314</v>
      </c>
      <c r="AA16" s="76">
        <f ca="1">IF($J16&lt;&gt;0,VLOOKUP($L16,'Distribution Allocation Factors'!$B$13:$Y$152,18,FALSE)*$J16,0)+IF($F16&lt;&gt;0,VLOOKUP($H16,'Distribution Allocation Factors'!$B$13:$Y$152,18,FALSE)*$F16,0)</f>
        <v>0</v>
      </c>
      <c r="AB16" s="76">
        <f ca="1">IF($J16&lt;&gt;0,VLOOKUP($L16,'Distribution Allocation Factors'!$B$13:$Y$152,19,FALSE)*$J16,0)+IF($F16&lt;&gt;0,VLOOKUP($H16,'Distribution Allocation Factors'!$B$13:$Y$152,19,FALSE)*$F16,0)</f>
        <v>310.43676957282855</v>
      </c>
      <c r="AC16" s="76">
        <f ca="1">IF($J16&lt;&gt;0,VLOOKUP($L16,'Distribution Allocation Factors'!$B$13:$Y$152,20,FALSE)*$J16,0)+IF($F16&lt;&gt;0,VLOOKUP($H16,'Distribution Allocation Factors'!$B$13:$Y$152,20,FALSE)*$F16,0)</f>
        <v>2391.123327670025</v>
      </c>
      <c r="AD16" s="76">
        <f ca="1">IF($J16&lt;&gt;0,VLOOKUP($L16,'Distribution Allocation Factors'!$B$13:$Y$152,21,FALSE)*$J16,0)+IF($F16&lt;&gt;0,VLOOKUP($H16,'Distribution Allocation Factors'!$B$13:$Y$152,21,FALSE)*$F16,0)</f>
        <v>3560.7125211959933</v>
      </c>
      <c r="AE16" s="76">
        <f ca="1">IF($J16&lt;&gt;0,VLOOKUP($L16,'Distribution Allocation Factors'!$B$13:$Y$152,22,FALSE)*$J16,0)+IF($F16&lt;&gt;0,VLOOKUP($H16,'Distribution Allocation Factors'!$B$13:$Y$152,22,FALSE)*$F16,0)</f>
        <v>0</v>
      </c>
      <c r="AF16" s="76">
        <f ca="1">IF($J16&lt;&gt;0,VLOOKUP($L16,'Distribution Allocation Factors'!$B$13:$Y$152,23,FALSE)*$J16,0)+IF($F16&lt;&gt;0,VLOOKUP($H16,'Distribution Allocation Factors'!$B$13:$Y$152,23,FALSE)*$F16,0)</f>
        <v>0</v>
      </c>
      <c r="AG16" s="76">
        <f ca="1">IF($J16&lt;&gt;0,VLOOKUP($L16,'Distribution Allocation Factors'!$B$13:$Y$152,24,FALSE)*$J16,0)+IF($F16&lt;&gt;0,VLOOKUP($H16,'Distribution Allocation Factors'!$B$13:$Y$152,24,FALSE)*$F16,0)</f>
        <v>0</v>
      </c>
      <c r="AH16" s="76">
        <v>0</v>
      </c>
      <c r="AI16" s="106"/>
    </row>
    <row r="17" spans="1:35" x14ac:dyDescent="0.25">
      <c r="A17" s="2">
        <f>A16+1</f>
        <v>2</v>
      </c>
      <c r="B17" s="31" t="s">
        <v>393</v>
      </c>
      <c r="D17" s="76">
        <f ca="1">'Distribution Class'!R$180</f>
        <v>56868.262593660387</v>
      </c>
      <c r="E17" s="76"/>
      <c r="F17" s="76"/>
      <c r="G17" s="76"/>
      <c r="H17" s="116"/>
      <c r="I17" s="76"/>
      <c r="J17" s="76">
        <f t="shared" ca="1" si="0"/>
        <v>56868.262593660387</v>
      </c>
      <c r="L17" s="2" t="s">
        <v>493</v>
      </c>
      <c r="N17" s="76">
        <f ca="1">IF($J17&lt;&gt;0,VLOOKUP($L17,'Distribution Allocation Factors'!$B$13:$Y$152,5,FALSE)*$J17,0)+IF($F17&lt;&gt;0,VLOOKUP($H17,'Distribution Allocation Factors'!$B$13:$Y$152,5,FALSE)*$F17,0)</f>
        <v>35835.507658092523</v>
      </c>
      <c r="O17" s="76">
        <f ca="1">IF($J17&lt;&gt;0,VLOOKUP($L17,'Distribution Allocation Factors'!$B$13:$Y$152,6,FALSE)*$J17,0)+IF($F17&lt;&gt;0,VLOOKUP($H17,'Distribution Allocation Factors'!$B$13:$Y$152,6,FALSE)*$F17,0)</f>
        <v>16629.472863023708</v>
      </c>
      <c r="P17" s="76">
        <f ca="1">IF($J17&lt;&gt;0,VLOOKUP($L17,'Distribution Allocation Factors'!$B$13:$Y$152,7,FALSE)*$J17,0)+IF($F17&lt;&gt;0,VLOOKUP($H17,'Distribution Allocation Factors'!$B$13:$Y$152,7,FALSE)*$F17,0)</f>
        <v>3478.1373053131647</v>
      </c>
      <c r="Q17" s="76"/>
      <c r="R17" s="76"/>
      <c r="S17" s="76">
        <f ca="1">IF($J17&lt;&gt;0,VLOOKUP($L17,'Distribution Allocation Factors'!$B$13:$Y$152,10,FALSE)*$J17,0)+IF($F17&lt;&gt;0,VLOOKUP($H17,'Distribution Allocation Factors'!$B$13:$Y$152,10,FALSE)*$F17,0)</f>
        <v>634.61501638344794</v>
      </c>
      <c r="T17" s="76">
        <f ca="1">IF($J17&lt;&gt;0,VLOOKUP($L17,'Distribution Allocation Factors'!$B$13:$Y$152,11,FALSE)*$J17,0)+IF($F17&lt;&gt;0,VLOOKUP($H17,'Distribution Allocation Factors'!$B$13:$Y$152,11,FALSE)*$F17,0)</f>
        <v>0</v>
      </c>
      <c r="U17" s="76">
        <f ca="1">IF($J17&lt;&gt;0,VLOOKUP($L17,'Distribution Allocation Factors'!$B$13:$Y$152,12,FALSE)*$J17,0)+IF($F17&lt;&gt;0,VLOOKUP($H17,'Distribution Allocation Factors'!$B$13:$Y$152,12,FALSE)*$F17,0)</f>
        <v>213.07664480381371</v>
      </c>
      <c r="V17" s="76">
        <f ca="1">IF($J17&lt;&gt;0,VLOOKUP($L17,'Distribution Allocation Factors'!$B$13:$Y$152,13,FALSE)*$J17,0)+IF($F17&lt;&gt;0,VLOOKUP($H17,'Distribution Allocation Factors'!$B$13:$Y$152,13,FALSE)*$F17,0)</f>
        <v>0</v>
      </c>
      <c r="W17" s="76">
        <f ca="1">IF($J17&lt;&gt;0,VLOOKUP($L17,'Distribution Allocation Factors'!$B$13:$Y$152,14,FALSE)*$J17,0)+IF($F17&lt;&gt;0,VLOOKUP($H17,'Distribution Allocation Factors'!$B$13:$Y$152,14,FALSE)*$F17,0)</f>
        <v>0</v>
      </c>
      <c r="X17" s="76">
        <f ca="1">IF($J17&lt;&gt;0,VLOOKUP($L17,'Distribution Allocation Factors'!$B$13:$Y$152,15,FALSE)*$J17,0)+IF($F17&lt;&gt;0,VLOOKUP($H17,'Distribution Allocation Factors'!$B$13:$Y$152,15,FALSE)*$F17,0)</f>
        <v>0</v>
      </c>
      <c r="Y17" s="76">
        <f ca="1">IF($J17&lt;&gt;0,VLOOKUP($L17,'Distribution Allocation Factors'!$B$13:$Y$152,16,FALSE)*$J17,0)+IF($F17&lt;&gt;0,VLOOKUP($H17,'Distribution Allocation Factors'!$B$13:$Y$152,16,FALSE)*$F17,0)</f>
        <v>0</v>
      </c>
      <c r="Z17" s="76">
        <f ca="1">IF($J17&lt;&gt;0,VLOOKUP($L17,'Distribution Allocation Factors'!$B$13:$Y$152,17,FALSE)*$J17,0)+IF($F17&lt;&gt;0,VLOOKUP($H17,'Distribution Allocation Factors'!$B$13:$Y$152,17,FALSE)*$F17,0)</f>
        <v>4.4474362539182195</v>
      </c>
      <c r="AA17" s="76">
        <f ca="1">IF($J17&lt;&gt;0,VLOOKUP($L17,'Distribution Allocation Factors'!$B$13:$Y$152,18,FALSE)*$J17,0)+IF($F17&lt;&gt;0,VLOOKUP($H17,'Distribution Allocation Factors'!$B$13:$Y$152,18,FALSE)*$F17,0)</f>
        <v>0</v>
      </c>
      <c r="AB17" s="76">
        <f ca="1">IF($J17&lt;&gt;0,VLOOKUP($L17,'Distribution Allocation Factors'!$B$13:$Y$152,19,FALSE)*$J17,0)+IF($F17&lt;&gt;0,VLOOKUP($H17,'Distribution Allocation Factors'!$B$13:$Y$152,19,FALSE)*$F17,0)</f>
        <v>0</v>
      </c>
      <c r="AC17" s="76">
        <f ca="1">IF($J17&lt;&gt;0,VLOOKUP($L17,'Distribution Allocation Factors'!$B$13:$Y$152,20,FALSE)*$J17,0)+IF($F17&lt;&gt;0,VLOOKUP($H17,'Distribution Allocation Factors'!$B$13:$Y$152,20,FALSE)*$F17,0)</f>
        <v>73.005669789795888</v>
      </c>
      <c r="AD17" s="76">
        <f ca="1">IF($J17&lt;&gt;0,VLOOKUP($L17,'Distribution Allocation Factors'!$B$13:$Y$152,21,FALSE)*$J17,0)+IF($F17&lt;&gt;0,VLOOKUP($H17,'Distribution Allocation Factors'!$B$13:$Y$152,21,FALSE)*$F17,0)</f>
        <v>0</v>
      </c>
      <c r="AE17" s="76">
        <f ca="1">IF($J17&lt;&gt;0,VLOOKUP($L17,'Distribution Allocation Factors'!$B$13:$Y$152,22,FALSE)*$J17,0)+IF($F17&lt;&gt;0,VLOOKUP($H17,'Distribution Allocation Factors'!$B$13:$Y$152,22,FALSE)*$F17,0)</f>
        <v>0</v>
      </c>
      <c r="AF17" s="76">
        <f ca="1">IF($J17&lt;&gt;0,VLOOKUP($L17,'Distribution Allocation Factors'!$B$13:$Y$152,23,FALSE)*$J17,0)+IF($F17&lt;&gt;0,VLOOKUP($H17,'Distribution Allocation Factors'!$B$13:$Y$152,23,FALSE)*$F17,0)</f>
        <v>0</v>
      </c>
      <c r="AG17" s="76">
        <f ca="1">IF($J17&lt;&gt;0,VLOOKUP($L17,'Distribution Allocation Factors'!$B$13:$Y$152,24,FALSE)*$J17,0)+IF($F17&lt;&gt;0,VLOOKUP($H17,'Distribution Allocation Factors'!$B$13:$Y$152,24,FALSE)*$F17,0)</f>
        <v>0</v>
      </c>
      <c r="AH17" s="76">
        <v>0</v>
      </c>
      <c r="AI17" s="106"/>
    </row>
    <row r="18" spans="1:35" x14ac:dyDescent="0.25">
      <c r="A18" s="2">
        <f t="shared" ref="A18:A31" si="1">A17+1</f>
        <v>3</v>
      </c>
      <c r="B18" s="31" t="s">
        <v>395</v>
      </c>
      <c r="D18" s="76">
        <f ca="1">'Distribution Class'!T$180</f>
        <v>343743.97514135833</v>
      </c>
      <c r="E18" s="76"/>
      <c r="F18" s="76"/>
      <c r="G18" s="76"/>
      <c r="H18" s="116"/>
      <c r="I18" s="76"/>
      <c r="J18" s="76">
        <f t="shared" ca="1" si="0"/>
        <v>343743.97514135833</v>
      </c>
      <c r="L18" s="2" t="s">
        <v>494</v>
      </c>
      <c r="N18" s="76">
        <f ca="1">IF($J18&lt;&gt;0,VLOOKUP($L18,'Distribution Allocation Factors'!$B$13:$Y$152,5,FALSE)*$J18,0)+IF($F18&lt;&gt;0,VLOOKUP($H18,'Distribution Allocation Factors'!$B$13:$Y$152,5,FALSE)*$F18,0)</f>
        <v>220569.07246846083</v>
      </c>
      <c r="O18" s="76">
        <f ca="1">IF($J18&lt;&gt;0,VLOOKUP($L18,'Distribution Allocation Factors'!$B$13:$Y$152,6,FALSE)*$J18,0)+IF($F18&lt;&gt;0,VLOOKUP($H18,'Distribution Allocation Factors'!$B$13:$Y$152,6,FALSE)*$F18,0)</f>
        <v>102355.11214275395</v>
      </c>
      <c r="P18" s="76">
        <f ca="1">IF($J18&lt;&gt;0,VLOOKUP($L18,'Distribution Allocation Factors'!$B$13:$Y$152,7,FALSE)*$J18,0)+IF($F18&lt;&gt;0,VLOOKUP($H18,'Distribution Allocation Factors'!$B$13:$Y$152,7,FALSE)*$F18,0)</f>
        <v>16042.440581665565</v>
      </c>
      <c r="Q18" s="76"/>
      <c r="R18" s="76"/>
      <c r="S18" s="76">
        <f ca="1">IF($J18&lt;&gt;0,VLOOKUP($L18,'Distribution Allocation Factors'!$B$13:$Y$152,10,FALSE)*$J18,0)+IF($F18&lt;&gt;0,VLOOKUP($H18,'Distribution Allocation Factors'!$B$13:$Y$152,10,FALSE)*$F18,0)</f>
        <v>2231.1019077025503</v>
      </c>
      <c r="T18" s="76">
        <f ca="1">IF($J18&lt;&gt;0,VLOOKUP($L18,'Distribution Allocation Factors'!$B$13:$Y$152,11,FALSE)*$J18,0)+IF($F18&lt;&gt;0,VLOOKUP($H18,'Distribution Allocation Factors'!$B$13:$Y$152,11,FALSE)*$F18,0)</f>
        <v>261.98353848320846</v>
      </c>
      <c r="U18" s="76">
        <f ca="1">IF($J18&lt;&gt;0,VLOOKUP($L18,'Distribution Allocation Factors'!$B$13:$Y$152,12,FALSE)*$J18,0)+IF($F18&lt;&gt;0,VLOOKUP($H18,'Distribution Allocation Factors'!$B$13:$Y$152,12,FALSE)*$F18,0)</f>
        <v>29.66961919259025</v>
      </c>
      <c r="V18" s="76">
        <f ca="1">IF($J18&lt;&gt;0,VLOOKUP($L18,'Distribution Allocation Factors'!$B$13:$Y$152,13,FALSE)*$J18,0)+IF($F18&lt;&gt;0,VLOOKUP($H18,'Distribution Allocation Factors'!$B$13:$Y$152,13,FALSE)*$F18,0)</f>
        <v>538.6433269384105</v>
      </c>
      <c r="W18" s="76">
        <f ca="1">IF($J18&lt;&gt;0,VLOOKUP($L18,'Distribution Allocation Factors'!$B$13:$Y$152,14,FALSE)*$J18,0)+IF($F18&lt;&gt;0,VLOOKUP($H18,'Distribution Allocation Factors'!$B$13:$Y$152,14,FALSE)*$F18,0)</f>
        <v>0</v>
      </c>
      <c r="X18" s="76">
        <f ca="1">IF($J18&lt;&gt;0,VLOOKUP($L18,'Distribution Allocation Factors'!$B$13:$Y$152,15,FALSE)*$J18,0)+IF($F18&lt;&gt;0,VLOOKUP($H18,'Distribution Allocation Factors'!$B$13:$Y$152,15,FALSE)*$F18,0)</f>
        <v>1313.8431585554727</v>
      </c>
      <c r="Y18" s="76">
        <f ca="1">IF($J18&lt;&gt;0,VLOOKUP($L18,'Distribution Allocation Factors'!$B$13:$Y$152,16,FALSE)*$J18,0)+IF($F18&lt;&gt;0,VLOOKUP($H18,'Distribution Allocation Factors'!$B$13:$Y$152,16,FALSE)*$F18,0)</f>
        <v>385.28062278745404</v>
      </c>
      <c r="Z18" s="76">
        <f ca="1">IF($J18&lt;&gt;0,VLOOKUP($L18,'Distribution Allocation Factors'!$B$13:$Y$152,17,FALSE)*$J18,0)+IF($F18&lt;&gt;0,VLOOKUP($H18,'Distribution Allocation Factors'!$B$13:$Y$152,17,FALSE)*$F18,0)</f>
        <v>16.827774818290919</v>
      </c>
      <c r="AA18" s="76">
        <f ca="1">IF($J18&lt;&gt;0,VLOOKUP($L18,'Distribution Allocation Factors'!$B$13:$Y$152,18,FALSE)*$J18,0)+IF($F18&lt;&gt;0,VLOOKUP($H18,'Distribution Allocation Factors'!$B$13:$Y$152,18,FALSE)*$F18,0)</f>
        <v>0</v>
      </c>
      <c r="AB18" s="76">
        <f ca="1">IF($J18&lt;&gt;0,VLOOKUP($L18,'Distribution Allocation Factors'!$B$13:$Y$152,19,FALSE)*$J18,0)+IF($F18&lt;&gt;0,VLOOKUP($H18,'Distribution Allocation Factors'!$B$13:$Y$152,19,FALSE)*$F18,0)</f>
        <v>0</v>
      </c>
      <c r="AC18" s="76">
        <f ca="1">IF($J18&lt;&gt;0,VLOOKUP($L18,'Distribution Allocation Factors'!$B$13:$Y$152,20,FALSE)*$J18,0)+IF($F18&lt;&gt;0,VLOOKUP($H18,'Distribution Allocation Factors'!$B$13:$Y$152,20,FALSE)*$F18,0)</f>
        <v>0</v>
      </c>
      <c r="AD18" s="76">
        <f ca="1">IF($J18&lt;&gt;0,VLOOKUP($L18,'Distribution Allocation Factors'!$B$13:$Y$152,21,FALSE)*$J18,0)+IF($F18&lt;&gt;0,VLOOKUP($H18,'Distribution Allocation Factors'!$B$13:$Y$152,21,FALSE)*$F18,0)</f>
        <v>0</v>
      </c>
      <c r="AE18" s="76">
        <f ca="1">IF($J18&lt;&gt;0,VLOOKUP($L18,'Distribution Allocation Factors'!$B$13:$Y$152,22,FALSE)*$J18,0)+IF($F18&lt;&gt;0,VLOOKUP($H18,'Distribution Allocation Factors'!$B$13:$Y$152,22,FALSE)*$F18,0)</f>
        <v>0</v>
      </c>
      <c r="AF18" s="76">
        <f ca="1">IF($J18&lt;&gt;0,VLOOKUP($L18,'Distribution Allocation Factors'!$B$13:$Y$152,23,FALSE)*$J18,0)+IF($F18&lt;&gt;0,VLOOKUP($H18,'Distribution Allocation Factors'!$B$13:$Y$152,23,FALSE)*$F18,0)</f>
        <v>0</v>
      </c>
      <c r="AG18" s="76">
        <f ca="1">IF($J18&lt;&gt;0,VLOOKUP($L18,'Distribution Allocation Factors'!$B$13:$Y$152,24,FALSE)*$J18,0)+IF($F18&lt;&gt;0,VLOOKUP($H18,'Distribution Allocation Factors'!$B$13:$Y$152,24,FALSE)*$F18,0)</f>
        <v>0</v>
      </c>
      <c r="AH18" s="76">
        <v>0</v>
      </c>
      <c r="AI18" s="106"/>
    </row>
    <row r="19" spans="1:35" x14ac:dyDescent="0.25">
      <c r="B19" s="31" t="s">
        <v>397</v>
      </c>
      <c r="D19" s="76"/>
      <c r="E19" s="76"/>
      <c r="F19" s="76"/>
      <c r="G19" s="76"/>
      <c r="H19" s="116"/>
      <c r="I19" s="76"/>
      <c r="J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106"/>
    </row>
    <row r="20" spans="1:35" x14ac:dyDescent="0.25">
      <c r="A20" s="2">
        <f>A18+1</f>
        <v>4</v>
      </c>
      <c r="B20" s="79" t="s">
        <v>398</v>
      </c>
      <c r="D20" s="76">
        <f ca="1">'Distribution Class'!V148</f>
        <v>150927.52203758305</v>
      </c>
      <c r="E20" s="76"/>
      <c r="F20" s="76"/>
      <c r="G20" s="76"/>
      <c r="H20" s="116"/>
      <c r="I20" s="76"/>
      <c r="J20" s="76">
        <f t="shared" ca="1" si="0"/>
        <v>150927.52203758305</v>
      </c>
      <c r="L20" s="2" t="s">
        <v>495</v>
      </c>
      <c r="N20" s="76">
        <f ca="1">IF($J20&lt;&gt;0,VLOOKUP($L20,'Distribution Allocation Factors'!$B$13:$Y$152,5,FALSE)*$J20,0)+IF($F20&lt;&gt;0,VLOOKUP($H20,'Distribution Allocation Factors'!$B$13:$Y$152,5,FALSE)*$F20,0)</f>
        <v>116359.62868379662</v>
      </c>
      <c r="O20" s="76">
        <f ca="1">IF($J20&lt;&gt;0,VLOOKUP($L20,'Distribution Allocation Factors'!$B$13:$Y$152,6,FALSE)*$J20,0)+IF($F20&lt;&gt;0,VLOOKUP($H20,'Distribution Allocation Factors'!$B$13:$Y$152,6,FALSE)*$F20,0)</f>
        <v>17644.618152089366</v>
      </c>
      <c r="P20" s="76">
        <f ca="1">IF($J20&lt;&gt;0,VLOOKUP($L20,'Distribution Allocation Factors'!$B$13:$Y$152,7,FALSE)*$J20,0)+IF($F20&lt;&gt;0,VLOOKUP($H20,'Distribution Allocation Factors'!$B$13:$Y$152,7,FALSE)*$F20,0)</f>
        <v>9925.6225553503173</v>
      </c>
      <c r="Q20" s="76"/>
      <c r="R20" s="76"/>
      <c r="S20" s="76">
        <f ca="1">IF($J20&lt;&gt;0,VLOOKUP($L20,'Distribution Allocation Factors'!$B$13:$Y$152,10,FALSE)*$J20,0)+IF($F20&lt;&gt;0,VLOOKUP($H20,'Distribution Allocation Factors'!$B$13:$Y$152,10,FALSE)*$F20,0)</f>
        <v>3089.5210341603374</v>
      </c>
      <c r="T20" s="76">
        <f ca="1">IF($J20&lt;&gt;0,VLOOKUP($L20,'Distribution Allocation Factors'!$B$13:$Y$152,11,FALSE)*$J20,0)+IF($F20&lt;&gt;0,VLOOKUP($H20,'Distribution Allocation Factors'!$B$13:$Y$152,11,FALSE)*$F20,0)</f>
        <v>62.333654494609021</v>
      </c>
      <c r="U20" s="76">
        <f ca="1">IF($J20&lt;&gt;0,VLOOKUP($L20,'Distribution Allocation Factors'!$B$13:$Y$152,12,FALSE)*$J20,0)+IF($F20&lt;&gt;0,VLOOKUP($H20,'Distribution Allocation Factors'!$B$13:$Y$152,12,FALSE)*$F20,0)</f>
        <v>1212.5541343432662</v>
      </c>
      <c r="V20" s="76">
        <f ca="1">IF($J20&lt;&gt;0,VLOOKUP($L20,'Distribution Allocation Factors'!$B$13:$Y$152,13,FALSE)*$J20,0)+IF($F20&lt;&gt;0,VLOOKUP($H20,'Distribution Allocation Factors'!$B$13:$Y$152,13,FALSE)*$F20,0)</f>
        <v>76.211138345487385</v>
      </c>
      <c r="W20" s="76">
        <f ca="1">IF($J20&lt;&gt;0,VLOOKUP($L20,'Distribution Allocation Factors'!$B$13:$Y$152,14,FALSE)*$J20,0)+IF($F20&lt;&gt;0,VLOOKUP($H20,'Distribution Allocation Factors'!$B$13:$Y$152,14,FALSE)*$F20,0)</f>
        <v>726.10409582205671</v>
      </c>
      <c r="X20" s="76">
        <f ca="1">IF($J20&lt;&gt;0,VLOOKUP($L20,'Distribution Allocation Factors'!$B$13:$Y$152,15,FALSE)*$J20,0)+IF($F20&lt;&gt;0,VLOOKUP($H20,'Distribution Allocation Factors'!$B$13:$Y$152,15,FALSE)*$F20,0)</f>
        <v>14.319050254709023</v>
      </c>
      <c r="Y20" s="76">
        <f ca="1">IF($J20&lt;&gt;0,VLOOKUP($L20,'Distribution Allocation Factors'!$B$13:$Y$152,16,FALSE)*$J20,0)+IF($F20&lt;&gt;0,VLOOKUP($H20,'Distribution Allocation Factors'!$B$13:$Y$152,16,FALSE)*$F20,0)</f>
        <v>981.40805715655608</v>
      </c>
      <c r="Z20" s="76">
        <f ca="1">IF($J20&lt;&gt;0,VLOOKUP($L20,'Distribution Allocation Factors'!$B$13:$Y$152,17,FALSE)*$J20,0)+IF($F20&lt;&gt;0,VLOOKUP($H20,'Distribution Allocation Factors'!$B$13:$Y$152,17,FALSE)*$F20,0)</f>
        <v>692.12430787459664</v>
      </c>
      <c r="AA20" s="76">
        <f ca="1">IF($J20&lt;&gt;0,VLOOKUP($L20,'Distribution Allocation Factors'!$B$13:$Y$152,18,FALSE)*$J20,0)+IF($F20&lt;&gt;0,VLOOKUP($H20,'Distribution Allocation Factors'!$B$13:$Y$152,18,FALSE)*$F20,0)</f>
        <v>0</v>
      </c>
      <c r="AB20" s="76">
        <f ca="1">IF($J20&lt;&gt;0,VLOOKUP($L20,'Distribution Allocation Factors'!$B$13:$Y$152,19,FALSE)*$J20,0)+IF($F20&lt;&gt;0,VLOOKUP($H20,'Distribution Allocation Factors'!$B$13:$Y$152,19,FALSE)*$F20,0)</f>
        <v>0</v>
      </c>
      <c r="AC20" s="76">
        <f ca="1">IF($J20&lt;&gt;0,VLOOKUP($L20,'Distribution Allocation Factors'!$B$13:$Y$152,20,FALSE)*$J20,0)+IF($F20&lt;&gt;0,VLOOKUP($H20,'Distribution Allocation Factors'!$B$13:$Y$152,20,FALSE)*$F20,0)</f>
        <v>50.04296283913564</v>
      </c>
      <c r="AD20" s="76">
        <f ca="1">IF($J20&lt;&gt;0,VLOOKUP($L20,'Distribution Allocation Factors'!$B$13:$Y$152,21,FALSE)*$J20,0)+IF($F20&lt;&gt;0,VLOOKUP($H20,'Distribution Allocation Factors'!$B$13:$Y$152,21,FALSE)*$F20,0)</f>
        <v>93.034211056015309</v>
      </c>
      <c r="AE20" s="76">
        <f ca="1">IF($J20&lt;&gt;0,VLOOKUP($L20,'Distribution Allocation Factors'!$B$13:$Y$152,22,FALSE)*$J20,0)+IF($F20&lt;&gt;0,VLOOKUP($H20,'Distribution Allocation Factors'!$B$13:$Y$152,22,FALSE)*$F20,0)</f>
        <v>0</v>
      </c>
      <c r="AF20" s="76">
        <f ca="1">IF($J20&lt;&gt;0,VLOOKUP($L20,'Distribution Allocation Factors'!$B$13:$Y$152,23,FALSE)*$J20,0)+IF($F20&lt;&gt;0,VLOOKUP($H20,'Distribution Allocation Factors'!$B$13:$Y$152,23,FALSE)*$F20,0)</f>
        <v>0</v>
      </c>
      <c r="AG20" s="76">
        <f ca="1">IF($J20&lt;&gt;0,VLOOKUP($L20,'Distribution Allocation Factors'!$B$13:$Y$152,24,FALSE)*$J20,0)+IF($F20&lt;&gt;0,VLOOKUP($H20,'Distribution Allocation Factors'!$B$13:$Y$152,24,FALSE)*$F20,0)</f>
        <v>0</v>
      </c>
      <c r="AH20" s="76">
        <v>0</v>
      </c>
      <c r="AI20" s="106"/>
    </row>
    <row r="21" spans="1:35" x14ac:dyDescent="0.25">
      <c r="A21" s="2">
        <f t="shared" si="1"/>
        <v>5</v>
      </c>
      <c r="B21" s="79" t="s">
        <v>400</v>
      </c>
      <c r="D21" s="76">
        <f ca="1">'Distribution Class'!V164-D20</f>
        <v>65848.377147061197</v>
      </c>
      <c r="E21" s="76"/>
      <c r="F21" s="76"/>
      <c r="G21" s="76"/>
      <c r="H21" s="116"/>
      <c r="I21" s="76"/>
      <c r="J21" s="76">
        <f t="shared" ca="1" si="0"/>
        <v>65848.377147061197</v>
      </c>
      <c r="L21" s="2" t="s">
        <v>496</v>
      </c>
      <c r="N21" s="76">
        <f ca="1">IF($J21&lt;&gt;0,VLOOKUP($L21,'Distribution Allocation Factors'!$B$13:$Y$152,5,FALSE)*$J21,0)+IF($F21&lt;&gt;0,VLOOKUP($H21,'Distribution Allocation Factors'!$B$13:$Y$152,5,FALSE)*$F21,0)</f>
        <v>43561.721827490474</v>
      </c>
      <c r="O21" s="76">
        <f ca="1">IF($J21&lt;&gt;0,VLOOKUP($L21,'Distribution Allocation Factors'!$B$13:$Y$152,6,FALSE)*$J21,0)+IF($F21&lt;&gt;0,VLOOKUP($H21,'Distribution Allocation Factors'!$B$13:$Y$152,6,FALSE)*$F21,0)</f>
        <v>10576.788165182934</v>
      </c>
      <c r="P21" s="76">
        <f ca="1">IF($J21&lt;&gt;0,VLOOKUP($L21,'Distribution Allocation Factors'!$B$13:$Y$152,7,FALSE)*$J21,0)+IF($F21&lt;&gt;0,VLOOKUP($H21,'Distribution Allocation Factors'!$B$13:$Y$152,7,FALSE)*$F21,0)</f>
        <v>7843.9238408933043</v>
      </c>
      <c r="Q21" s="76"/>
      <c r="R21" s="76"/>
      <c r="S21" s="76">
        <f ca="1">IF($J21&lt;&gt;0,VLOOKUP($L21,'Distribution Allocation Factors'!$B$13:$Y$152,10,FALSE)*$J21,0)+IF($F21&lt;&gt;0,VLOOKUP($H21,'Distribution Allocation Factors'!$B$13:$Y$152,10,FALSE)*$F21,0)</f>
        <v>1499.4521646033245</v>
      </c>
      <c r="T21" s="76">
        <f ca="1">IF($J21&lt;&gt;0,VLOOKUP($L21,'Distribution Allocation Factors'!$B$13:$Y$152,11,FALSE)*$J21,0)+IF($F21&lt;&gt;0,VLOOKUP($H21,'Distribution Allocation Factors'!$B$13:$Y$152,11,FALSE)*$F21,0)</f>
        <v>30.252693581346435</v>
      </c>
      <c r="U21" s="76">
        <f ca="1">IF($J21&lt;&gt;0,VLOOKUP($L21,'Distribution Allocation Factors'!$B$13:$Y$152,12,FALSE)*$J21,0)+IF($F21&lt;&gt;0,VLOOKUP($H21,'Distribution Allocation Factors'!$B$13:$Y$152,12,FALSE)*$F21,0)</f>
        <v>657.14869011623114</v>
      </c>
      <c r="V21" s="76">
        <f ca="1">IF($J21&lt;&gt;0,VLOOKUP($L21,'Distribution Allocation Factors'!$B$13:$Y$152,13,FALSE)*$J21,0)+IF($F21&lt;&gt;0,VLOOKUP($H21,'Distribution Allocation Factors'!$B$13:$Y$152,13,FALSE)*$F21,0)</f>
        <v>41.302939240010872</v>
      </c>
      <c r="W21" s="76">
        <f ca="1">IF($J21&lt;&gt;0,VLOOKUP($L21,'Distribution Allocation Factors'!$B$13:$Y$152,14,FALSE)*$J21,0)+IF($F21&lt;&gt;0,VLOOKUP($H21,'Distribution Allocation Factors'!$B$13:$Y$152,14,FALSE)*$F21,0)</f>
        <v>313.46029054037314</v>
      </c>
      <c r="X21" s="76">
        <f ca="1">IF($J21&lt;&gt;0,VLOOKUP($L21,'Distribution Allocation Factors'!$B$13:$Y$152,15,FALSE)*$J21,0)+IF($F21&lt;&gt;0,VLOOKUP($H21,'Distribution Allocation Factors'!$B$13:$Y$152,15,FALSE)*$F21,0)</f>
        <v>6.1815567202133783</v>
      </c>
      <c r="Y21" s="76">
        <f ca="1">IF($J21&lt;&gt;0,VLOOKUP($L21,'Distribution Allocation Factors'!$B$13:$Y$152,16,FALSE)*$J21,0)+IF($F21&lt;&gt;0,VLOOKUP($H21,'Distribution Allocation Factors'!$B$13:$Y$152,16,FALSE)*$F21,0)</f>
        <v>671.14082056923041</v>
      </c>
      <c r="Z21" s="76">
        <f ca="1">IF($J21&lt;&gt;0,VLOOKUP($L21,'Distribution Allocation Factors'!$B$13:$Y$152,17,FALSE)*$J21,0)+IF($F21&lt;&gt;0,VLOOKUP($H21,'Distribution Allocation Factors'!$B$13:$Y$152,17,FALSE)*$F21,0)</f>
        <v>588.83528118579852</v>
      </c>
      <c r="AA21" s="76">
        <f ca="1">IF($J21&lt;&gt;0,VLOOKUP($L21,'Distribution Allocation Factors'!$B$13:$Y$152,18,FALSE)*$J21,0)+IF($F21&lt;&gt;0,VLOOKUP($H21,'Distribution Allocation Factors'!$B$13:$Y$152,18,FALSE)*$F21,0)</f>
        <v>0</v>
      </c>
      <c r="AB21" s="76">
        <f ca="1">IF($J21&lt;&gt;0,VLOOKUP($L21,'Distribution Allocation Factors'!$B$13:$Y$152,19,FALSE)*$J21,0)+IF($F21&lt;&gt;0,VLOOKUP($H21,'Distribution Allocation Factors'!$B$13:$Y$152,19,FALSE)*$F21,0)</f>
        <v>0</v>
      </c>
      <c r="AC21" s="76">
        <f ca="1">IF($J21&lt;&gt;0,VLOOKUP($L21,'Distribution Allocation Factors'!$B$13:$Y$152,20,FALSE)*$J21,0)+IF($F21&lt;&gt;0,VLOOKUP($H21,'Distribution Allocation Factors'!$B$13:$Y$152,20,FALSE)*$F21,0)</f>
        <v>20.345264501337855</v>
      </c>
      <c r="AD21" s="76">
        <f ca="1">IF($J21&lt;&gt;0,VLOOKUP($L21,'Distribution Allocation Factors'!$B$13:$Y$152,21,FALSE)*$J21,0)+IF($F21&lt;&gt;0,VLOOKUP($H21,'Distribution Allocation Factors'!$B$13:$Y$152,21,FALSE)*$F21,0)</f>
        <v>37.823612436625574</v>
      </c>
      <c r="AE21" s="76">
        <f ca="1">IF($J21&lt;&gt;0,VLOOKUP($L21,'Distribution Allocation Factors'!$B$13:$Y$152,22,FALSE)*$J21,0)+IF($F21&lt;&gt;0,VLOOKUP($H21,'Distribution Allocation Factors'!$B$13:$Y$152,22,FALSE)*$F21,0)</f>
        <v>0</v>
      </c>
      <c r="AF21" s="76">
        <f ca="1">IF($J21&lt;&gt;0,VLOOKUP($L21,'Distribution Allocation Factors'!$B$13:$Y$152,23,FALSE)*$J21,0)+IF($F21&lt;&gt;0,VLOOKUP($H21,'Distribution Allocation Factors'!$B$13:$Y$152,23,FALSE)*$F21,0)</f>
        <v>0</v>
      </c>
      <c r="AG21" s="76">
        <f ca="1">IF($J21&lt;&gt;0,VLOOKUP($L21,'Distribution Allocation Factors'!$B$13:$Y$152,24,FALSE)*$J21,0)+IF($F21&lt;&gt;0,VLOOKUP($H21,'Distribution Allocation Factors'!$B$13:$Y$152,24,FALSE)*$F21,0)</f>
        <v>0</v>
      </c>
      <c r="AH21" s="76">
        <v>0</v>
      </c>
      <c r="AI21" s="106"/>
    </row>
    <row r="22" spans="1:35" x14ac:dyDescent="0.25">
      <c r="A22" s="2">
        <f t="shared" si="1"/>
        <v>6</v>
      </c>
      <c r="B22" s="31" t="s">
        <v>402</v>
      </c>
      <c r="D22" s="76">
        <f ca="1">'Distribution Class'!X$180</f>
        <v>373183.09065294155</v>
      </c>
      <c r="E22" s="76"/>
      <c r="F22" s="76"/>
      <c r="G22" s="76"/>
      <c r="H22" s="116"/>
      <c r="I22" s="76"/>
      <c r="J22" s="76">
        <f t="shared" ca="1" si="0"/>
        <v>373183.09065294155</v>
      </c>
      <c r="L22" s="2" t="s">
        <v>330</v>
      </c>
      <c r="N22" s="76">
        <f ca="1">IF($J22&lt;&gt;0,VLOOKUP($L22,'Distribution Allocation Factors'!$B$13:$Y$152,5,FALSE)*$J22,0)+IF($F22&lt;&gt;0,VLOOKUP($H22,'Distribution Allocation Factors'!$B$13:$Y$152,5,FALSE)*$F22,0)</f>
        <v>369857.54816176166</v>
      </c>
      <c r="O22" s="76">
        <f ca="1">IF($J22&lt;&gt;0,VLOOKUP($L22,'Distribution Allocation Factors'!$B$13:$Y$152,6,FALSE)*$J22,0)+IF($F22&lt;&gt;0,VLOOKUP($H22,'Distribution Allocation Factors'!$B$13:$Y$152,6,FALSE)*$F22,0)</f>
        <v>3229.7037378418008</v>
      </c>
      <c r="P22" s="76">
        <f ca="1">IF($J22&lt;&gt;0,VLOOKUP($L22,'Distribution Allocation Factors'!$B$13:$Y$152,7,FALSE)*$J22,0)+IF($F22&lt;&gt;0,VLOOKUP($H22,'Distribution Allocation Factors'!$B$13:$Y$152,7,FALSE)*$F22,0)</f>
        <v>72.806997322368773</v>
      </c>
      <c r="Q22" s="76"/>
      <c r="R22" s="76"/>
      <c r="S22" s="76">
        <f ca="1">IF($J22&lt;&gt;0,VLOOKUP($L22,'Distribution Allocation Factors'!$B$13:$Y$152,10,FALSE)*$J22,0)+IF($F22&lt;&gt;0,VLOOKUP($H22,'Distribution Allocation Factors'!$B$13:$Y$152,10,FALSE)*$F22,0)</f>
        <v>7.6138036415549033</v>
      </c>
      <c r="T22" s="76">
        <f ca="1">IF($J22&lt;&gt;0,VLOOKUP($L22,'Distribution Allocation Factors'!$B$13:$Y$152,11,FALSE)*$J22,0)+IF($F22&lt;&gt;0,VLOOKUP($H22,'Distribution Allocation Factors'!$B$13:$Y$152,11,FALSE)*$F22,0)</f>
        <v>0</v>
      </c>
      <c r="U22" s="76">
        <f ca="1">IF($J22&lt;&gt;0,VLOOKUP($L22,'Distribution Allocation Factors'!$B$13:$Y$152,12,FALSE)*$J22,0)+IF($F22&lt;&gt;0,VLOOKUP($H22,'Distribution Allocation Factors'!$B$13:$Y$152,12,FALSE)*$F22,0)</f>
        <v>4.6634547304523792</v>
      </c>
      <c r="V22" s="76">
        <f ca="1">IF($J22&lt;&gt;0,VLOOKUP($L22,'Distribution Allocation Factors'!$B$13:$Y$152,13,FALSE)*$J22,0)+IF($F22&lt;&gt;0,VLOOKUP($H22,'Distribution Allocation Factors'!$B$13:$Y$152,13,FALSE)*$F22,0)</f>
        <v>0</v>
      </c>
      <c r="W22" s="76">
        <f ca="1">IF($J22&lt;&gt;0,VLOOKUP($L22,'Distribution Allocation Factors'!$B$13:$Y$152,14,FALSE)*$J22,0)+IF($F22&lt;&gt;0,VLOOKUP($H22,'Distribution Allocation Factors'!$B$13:$Y$152,14,FALSE)*$F22,0)</f>
        <v>1.3324156372721081</v>
      </c>
      <c r="X22" s="76">
        <f ca="1">IF($J22&lt;&gt;0,VLOOKUP($L22,'Distribution Allocation Factors'!$B$13:$Y$152,15,FALSE)*$J22,0)+IF($F22&lt;&gt;0,VLOOKUP($H22,'Distribution Allocation Factors'!$B$13:$Y$152,15,FALSE)*$F22,0)</f>
        <v>0</v>
      </c>
      <c r="Y22" s="76">
        <f ca="1">IF($J22&lt;&gt;0,VLOOKUP($L22,'Distribution Allocation Factors'!$B$13:$Y$152,16,FALSE)*$J22,0)+IF($F22&lt;&gt;0,VLOOKUP($H22,'Distribution Allocation Factors'!$B$13:$Y$152,16,FALSE)*$F22,0)</f>
        <v>4.948972367010688</v>
      </c>
      <c r="Z22" s="76">
        <f ca="1">IF($J22&lt;&gt;0,VLOOKUP($L22,'Distribution Allocation Factors'!$B$13:$Y$152,17,FALSE)*$J22,0)+IF($F22&lt;&gt;0,VLOOKUP($H22,'Distribution Allocation Factors'!$B$13:$Y$152,17,FALSE)*$F22,0)</f>
        <v>3.9020743662968886</v>
      </c>
      <c r="AA22" s="76">
        <f ca="1">IF($J22&lt;&gt;0,VLOOKUP($L22,'Distribution Allocation Factors'!$B$13:$Y$152,18,FALSE)*$J22,0)+IF($F22&lt;&gt;0,VLOOKUP($H22,'Distribution Allocation Factors'!$B$13:$Y$152,18,FALSE)*$F22,0)</f>
        <v>0</v>
      </c>
      <c r="AB22" s="76">
        <f ca="1">IF($J22&lt;&gt;0,VLOOKUP($L22,'Distribution Allocation Factors'!$B$13:$Y$152,19,FALSE)*$J22,0)+IF($F22&lt;&gt;0,VLOOKUP($H22,'Distribution Allocation Factors'!$B$13:$Y$152,19,FALSE)*$F22,0)</f>
        <v>0</v>
      </c>
      <c r="AC22" s="76">
        <f ca="1">IF($J22&lt;&gt;0,VLOOKUP($L22,'Distribution Allocation Factors'!$B$13:$Y$152,20,FALSE)*$J22,0)+IF($F22&lt;&gt;0,VLOOKUP($H22,'Distribution Allocation Factors'!$B$13:$Y$152,20,FALSE)*$F22,0)</f>
        <v>0.47586272759718146</v>
      </c>
      <c r="AD22" s="76">
        <f ca="1">IF($J22&lt;&gt;0,VLOOKUP($L22,'Distribution Allocation Factors'!$B$13:$Y$152,21,FALSE)*$J22,0)+IF($F22&lt;&gt;0,VLOOKUP($H22,'Distribution Allocation Factors'!$B$13:$Y$152,21,FALSE)*$F22,0)</f>
        <v>9.5172545519436311E-2</v>
      </c>
      <c r="AE22" s="76">
        <f ca="1">IF($J22&lt;&gt;0,VLOOKUP($L22,'Distribution Allocation Factors'!$B$13:$Y$152,22,FALSE)*$J22,0)+IF($F22&lt;&gt;0,VLOOKUP($H22,'Distribution Allocation Factors'!$B$13:$Y$152,22,FALSE)*$F22,0)</f>
        <v>0</v>
      </c>
      <c r="AF22" s="76">
        <f ca="1">IF($J22&lt;&gt;0,VLOOKUP($L22,'Distribution Allocation Factors'!$B$13:$Y$152,23,FALSE)*$J22,0)+IF($F22&lt;&gt;0,VLOOKUP($H22,'Distribution Allocation Factors'!$B$13:$Y$152,23,FALSE)*$F22,0)</f>
        <v>0</v>
      </c>
      <c r="AG22" s="76">
        <f ca="1">IF($J22&lt;&gt;0,VLOOKUP($L22,'Distribution Allocation Factors'!$B$13:$Y$152,24,FALSE)*$J22,0)+IF($F22&lt;&gt;0,VLOOKUP($H22,'Distribution Allocation Factors'!$B$13:$Y$152,24,FALSE)*$F22,0)</f>
        <v>0</v>
      </c>
      <c r="AH22" s="76">
        <v>0</v>
      </c>
      <c r="AI22" s="106"/>
    </row>
    <row r="23" spans="1:35" x14ac:dyDescent="0.25">
      <c r="A23" s="2">
        <f t="shared" si="1"/>
        <v>7</v>
      </c>
      <c r="B23" s="31" t="s">
        <v>404</v>
      </c>
      <c r="D23" s="76">
        <f ca="1">'Distribution Class'!Z$180</f>
        <v>582679.15327772032</v>
      </c>
      <c r="E23" s="76"/>
      <c r="F23" s="76"/>
      <c r="G23" s="76"/>
      <c r="H23" s="116"/>
      <c r="I23" s="76"/>
      <c r="J23" s="76">
        <f t="shared" ca="1" si="0"/>
        <v>582679.15327772032</v>
      </c>
      <c r="L23" s="2" t="s">
        <v>330</v>
      </c>
      <c r="N23" s="76">
        <f ca="1">IF($J23&lt;&gt;0,VLOOKUP($L23,'Distribution Allocation Factors'!$B$13:$Y$152,5,FALSE)*$J23,0)+IF($F23&lt;&gt;0,VLOOKUP($H23,'Distribution Allocation Factors'!$B$13:$Y$152,5,FALSE)*$F23,0)</f>
        <v>577486.73076050647</v>
      </c>
      <c r="O23" s="76">
        <f ca="1">IF($J23&lt;&gt;0,VLOOKUP($L23,'Distribution Allocation Factors'!$B$13:$Y$152,6,FALSE)*$J23,0)+IF($F23&lt;&gt;0,VLOOKUP($H23,'Distribution Allocation Factors'!$B$13:$Y$152,6,FALSE)*$F23,0)</f>
        <v>5042.7821796826511</v>
      </c>
      <c r="P23" s="76">
        <f ca="1">IF($J23&lt;&gt;0,VLOOKUP($L23,'Distribution Allocation Factors'!$B$13:$Y$152,7,FALSE)*$J23,0)+IF($F23&lt;&gt;0,VLOOKUP($H23,'Distribution Allocation Factors'!$B$13:$Y$152,7,FALSE)*$F23,0)</f>
        <v>113.67910447996258</v>
      </c>
      <c r="Q23" s="76"/>
      <c r="R23" s="76"/>
      <c r="S23" s="76">
        <f ca="1">IF($J23&lt;&gt;0,VLOOKUP($L23,'Distribution Allocation Factors'!$B$13:$Y$152,10,FALSE)*$J23,0)+IF($F23&lt;&gt;0,VLOOKUP($H23,'Distribution Allocation Factors'!$B$13:$Y$152,10,FALSE)*$F23,0)</f>
        <v>11.888010926009157</v>
      </c>
      <c r="T23" s="76">
        <f ca="1">IF($J23&lt;&gt;0,VLOOKUP($L23,'Distribution Allocation Factors'!$B$13:$Y$152,11,FALSE)*$J23,0)+IF($F23&lt;&gt;0,VLOOKUP($H23,'Distribution Allocation Factors'!$B$13:$Y$152,11,FALSE)*$F23,0)</f>
        <v>0</v>
      </c>
      <c r="U23" s="76">
        <f ca="1">IF($J23&lt;&gt;0,VLOOKUP($L23,'Distribution Allocation Factors'!$B$13:$Y$152,12,FALSE)*$J23,0)+IF($F23&lt;&gt;0,VLOOKUP($H23,'Distribution Allocation Factors'!$B$13:$Y$152,12,FALSE)*$F23,0)</f>
        <v>7.2814066921806093</v>
      </c>
      <c r="V23" s="76">
        <f ca="1">IF($J23&lt;&gt;0,VLOOKUP($L23,'Distribution Allocation Factors'!$B$13:$Y$152,13,FALSE)*$J23,0)+IF($F23&lt;&gt;0,VLOOKUP($H23,'Distribution Allocation Factors'!$B$13:$Y$152,13,FALSE)*$F23,0)</f>
        <v>0</v>
      </c>
      <c r="W23" s="76">
        <f ca="1">IF($J23&lt;&gt;0,VLOOKUP($L23,'Distribution Allocation Factors'!$B$13:$Y$152,14,FALSE)*$J23,0)+IF($F23&lt;&gt;0,VLOOKUP($H23,'Distribution Allocation Factors'!$B$13:$Y$152,14,FALSE)*$F23,0)</f>
        <v>2.0804019120516024</v>
      </c>
      <c r="X23" s="76">
        <f ca="1">IF($J23&lt;&gt;0,VLOOKUP($L23,'Distribution Allocation Factors'!$B$13:$Y$152,15,FALSE)*$J23,0)+IF($F23&lt;&gt;0,VLOOKUP($H23,'Distribution Allocation Factors'!$B$13:$Y$152,15,FALSE)*$F23,0)</f>
        <v>0</v>
      </c>
      <c r="Y23" s="76">
        <f ca="1">IF($J23&lt;&gt;0,VLOOKUP($L23,'Distribution Allocation Factors'!$B$13:$Y$152,16,FALSE)*$J23,0)+IF($F23&lt;&gt;0,VLOOKUP($H23,'Distribution Allocation Factors'!$B$13:$Y$152,16,FALSE)*$F23,0)</f>
        <v>7.7272071019059521</v>
      </c>
      <c r="Z23" s="76">
        <f ca="1">IF($J23&lt;&gt;0,VLOOKUP($L23,'Distribution Allocation Factors'!$B$13:$Y$152,17,FALSE)*$J23,0)+IF($F23&lt;&gt;0,VLOOKUP($H23,'Distribution Allocation Factors'!$B$13:$Y$152,17,FALSE)*$F23,0)</f>
        <v>6.0926055995796933</v>
      </c>
      <c r="AA23" s="76">
        <f ca="1">IF($J23&lt;&gt;0,VLOOKUP($L23,'Distribution Allocation Factors'!$B$13:$Y$152,18,FALSE)*$J23,0)+IF($F23&lt;&gt;0,VLOOKUP($H23,'Distribution Allocation Factors'!$B$13:$Y$152,18,FALSE)*$F23,0)</f>
        <v>0</v>
      </c>
      <c r="AB23" s="76">
        <f ca="1">IF($J23&lt;&gt;0,VLOOKUP($L23,'Distribution Allocation Factors'!$B$13:$Y$152,19,FALSE)*$J23,0)+IF($F23&lt;&gt;0,VLOOKUP($H23,'Distribution Allocation Factors'!$B$13:$Y$152,19,FALSE)*$F23,0)</f>
        <v>0</v>
      </c>
      <c r="AC23" s="76">
        <f ca="1">IF($J23&lt;&gt;0,VLOOKUP($L23,'Distribution Allocation Factors'!$B$13:$Y$152,20,FALSE)*$J23,0)+IF($F23&lt;&gt;0,VLOOKUP($H23,'Distribution Allocation Factors'!$B$13:$Y$152,20,FALSE)*$F23,0)</f>
        <v>0.7430006828755723</v>
      </c>
      <c r="AD23" s="76">
        <f ca="1">IF($J23&lt;&gt;0,VLOOKUP($L23,'Distribution Allocation Factors'!$B$13:$Y$152,21,FALSE)*$J23,0)+IF($F23&lt;&gt;0,VLOOKUP($H23,'Distribution Allocation Factors'!$B$13:$Y$152,21,FALSE)*$F23,0)</f>
        <v>0.14860013657511448</v>
      </c>
      <c r="AE23" s="76">
        <f ca="1">IF($J23&lt;&gt;0,VLOOKUP($L23,'Distribution Allocation Factors'!$B$13:$Y$152,22,FALSE)*$J23,0)+IF($F23&lt;&gt;0,VLOOKUP($H23,'Distribution Allocation Factors'!$B$13:$Y$152,22,FALSE)*$F23,0)</f>
        <v>0</v>
      </c>
      <c r="AF23" s="76">
        <f ca="1">IF($J23&lt;&gt;0,VLOOKUP($L23,'Distribution Allocation Factors'!$B$13:$Y$152,23,FALSE)*$J23,0)+IF($F23&lt;&gt;0,VLOOKUP($H23,'Distribution Allocation Factors'!$B$13:$Y$152,23,FALSE)*$F23,0)</f>
        <v>0</v>
      </c>
      <c r="AG23" s="76">
        <f ca="1">IF($J23&lt;&gt;0,VLOOKUP($L23,'Distribution Allocation Factors'!$B$13:$Y$152,24,FALSE)*$J23,0)+IF($F23&lt;&gt;0,VLOOKUP($H23,'Distribution Allocation Factors'!$B$13:$Y$152,24,FALSE)*$F23,0)</f>
        <v>0</v>
      </c>
      <c r="AH23" s="76">
        <v>0</v>
      </c>
      <c r="AI23" s="106"/>
    </row>
    <row r="24" spans="1:35" x14ac:dyDescent="0.25">
      <c r="A24" s="2">
        <f t="shared" si="1"/>
        <v>8</v>
      </c>
      <c r="B24" s="31" t="s">
        <v>406</v>
      </c>
      <c r="D24" s="76">
        <f ca="1">'Distribution Class'!AB$180</f>
        <v>292703.2162159463</v>
      </c>
      <c r="E24" s="76"/>
      <c r="F24" s="76"/>
      <c r="G24" s="76"/>
      <c r="H24" s="116"/>
      <c r="I24" s="76"/>
      <c r="J24" s="76">
        <f t="shared" ca="1" si="0"/>
        <v>292703.2162159463</v>
      </c>
      <c r="L24" s="2" t="s">
        <v>497</v>
      </c>
      <c r="N24" s="76">
        <f ca="1">IF($J24&lt;&gt;0,VLOOKUP($L24,'Distribution Allocation Factors'!$B$13:$Y$152,5,FALSE)*$J24,0)+IF($F24&lt;&gt;0,VLOOKUP($H24,'Distribution Allocation Factors'!$B$13:$Y$152,5,FALSE)*$F24,0)</f>
        <v>260568.97915837297</v>
      </c>
      <c r="O24" s="76">
        <f ca="1">IF($J24&lt;&gt;0,VLOOKUP($L24,'Distribution Allocation Factors'!$B$13:$Y$152,6,FALSE)*$J24,0)+IF($F24&lt;&gt;0,VLOOKUP($H24,'Distribution Allocation Factors'!$B$13:$Y$152,6,FALSE)*$F24,0)</f>
        <v>26992.36010537839</v>
      </c>
      <c r="P24" s="76">
        <f ca="1">IF($J24&lt;&gt;0,VLOOKUP($L24,'Distribution Allocation Factors'!$B$13:$Y$152,7,FALSE)*$J24,0)+IF($F24&lt;&gt;0,VLOOKUP($H24,'Distribution Allocation Factors'!$B$13:$Y$152,7,FALSE)*$F24,0)</f>
        <v>2943.2083102686897</v>
      </c>
      <c r="Q24" s="76"/>
      <c r="R24" s="76"/>
      <c r="S24" s="76">
        <f ca="1">IF($J24&lt;&gt;0,VLOOKUP($L24,'Distribution Allocation Factors'!$B$13:$Y$152,10,FALSE)*$J24,0)+IF($F24&lt;&gt;0,VLOOKUP($H24,'Distribution Allocation Factors'!$B$13:$Y$152,10,FALSE)*$F24,0)</f>
        <v>997.77113997615447</v>
      </c>
      <c r="T24" s="76">
        <f ca="1">IF($J24&lt;&gt;0,VLOOKUP($L24,'Distribution Allocation Factors'!$B$13:$Y$152,11,FALSE)*$J24,0)+IF($F24&lt;&gt;0,VLOOKUP($H24,'Distribution Allocation Factors'!$B$13:$Y$152,11,FALSE)*$F24,0)</f>
        <v>0</v>
      </c>
      <c r="U24" s="76">
        <f ca="1">IF($J24&lt;&gt;0,VLOOKUP($L24,'Distribution Allocation Factors'!$B$13:$Y$152,12,FALSE)*$J24,0)+IF($F24&lt;&gt;0,VLOOKUP($H24,'Distribution Allocation Factors'!$B$13:$Y$152,12,FALSE)*$F24,0)</f>
        <v>321.76753273497621</v>
      </c>
      <c r="V24" s="76">
        <f ca="1">IF($J24&lt;&gt;0,VLOOKUP($L24,'Distribution Allocation Factors'!$B$13:$Y$152,13,FALSE)*$J24,0)+IF($F24&lt;&gt;0,VLOOKUP($H24,'Distribution Allocation Factors'!$B$13:$Y$152,13,FALSE)*$F24,0)</f>
        <v>11.17831328498904</v>
      </c>
      <c r="W24" s="76">
        <f ca="1">IF($J24&lt;&gt;0,VLOOKUP($L24,'Distribution Allocation Factors'!$B$13:$Y$152,14,FALSE)*$J24,0)+IF($F24&lt;&gt;0,VLOOKUP($H24,'Distribution Allocation Factors'!$B$13:$Y$152,14,FALSE)*$F24,0)</f>
        <v>195.08816405874555</v>
      </c>
      <c r="X24" s="76">
        <f ca="1">IF($J24&lt;&gt;0,VLOOKUP($L24,'Distribution Allocation Factors'!$B$13:$Y$152,15,FALSE)*$J24,0)+IF($F24&lt;&gt;0,VLOOKUP($H24,'Distribution Allocation Factors'!$B$13:$Y$152,15,FALSE)*$F24,0)</f>
        <v>0</v>
      </c>
      <c r="Y24" s="76">
        <f ca="1">IF($J24&lt;&gt;0,VLOOKUP($L24,'Distribution Allocation Factors'!$B$13:$Y$152,16,FALSE)*$J24,0)+IF($F24&lt;&gt;0,VLOOKUP($H24,'Distribution Allocation Factors'!$B$13:$Y$152,16,FALSE)*$F24,0)</f>
        <v>343.39997237728187</v>
      </c>
      <c r="Z24" s="76">
        <f ca="1">IF($J24&lt;&gt;0,VLOOKUP($L24,'Distribution Allocation Factors'!$B$13:$Y$152,17,FALSE)*$J24,0)+IF($F24&lt;&gt;0,VLOOKUP($H24,'Distribution Allocation Factors'!$B$13:$Y$152,17,FALSE)*$F24,0)</f>
        <v>284.93279961561808</v>
      </c>
      <c r="AA24" s="76">
        <f ca="1">IF($J24&lt;&gt;0,VLOOKUP($L24,'Distribution Allocation Factors'!$B$13:$Y$152,18,FALSE)*$J24,0)+IF($F24&lt;&gt;0,VLOOKUP($H24,'Distribution Allocation Factors'!$B$13:$Y$152,18,FALSE)*$F24,0)</f>
        <v>0</v>
      </c>
      <c r="AB24" s="76">
        <f ca="1">IF($J24&lt;&gt;0,VLOOKUP($L24,'Distribution Allocation Factors'!$B$13:$Y$152,19,FALSE)*$J24,0)+IF($F24&lt;&gt;0,VLOOKUP($H24,'Distribution Allocation Factors'!$B$13:$Y$152,19,FALSE)*$F24,0)</f>
        <v>0</v>
      </c>
      <c r="AC24" s="76">
        <f ca="1">IF($J24&lt;&gt;0,VLOOKUP($L24,'Distribution Allocation Factors'!$B$13:$Y$152,20,FALSE)*$J24,0)+IF($F24&lt;&gt;0,VLOOKUP($H24,'Distribution Allocation Factors'!$B$13:$Y$152,20,FALSE)*$F24,0)</f>
        <v>22.609160193632025</v>
      </c>
      <c r="AD24" s="76">
        <f ca="1">IF($J24&lt;&gt;0,VLOOKUP($L24,'Distribution Allocation Factors'!$B$13:$Y$152,21,FALSE)*$J24,0)+IF($F24&lt;&gt;0,VLOOKUP($H24,'Distribution Allocation Factors'!$B$13:$Y$152,21,FALSE)*$F24,0)</f>
        <v>21.921559684883427</v>
      </c>
      <c r="AE24" s="76">
        <f ca="1">IF($J24&lt;&gt;0,VLOOKUP($L24,'Distribution Allocation Factors'!$B$13:$Y$152,22,FALSE)*$J24,0)+IF($F24&lt;&gt;0,VLOOKUP($H24,'Distribution Allocation Factors'!$B$13:$Y$152,22,FALSE)*$F24,0)</f>
        <v>0</v>
      </c>
      <c r="AF24" s="76">
        <f ca="1">IF($J24&lt;&gt;0,VLOOKUP($L24,'Distribution Allocation Factors'!$B$13:$Y$152,23,FALSE)*$J24,0)+IF($F24&lt;&gt;0,VLOOKUP($H24,'Distribution Allocation Factors'!$B$13:$Y$152,23,FALSE)*$F24,0)</f>
        <v>0</v>
      </c>
      <c r="AG24" s="76">
        <f ca="1">IF($J24&lt;&gt;0,VLOOKUP($L24,'Distribution Allocation Factors'!$B$13:$Y$152,24,FALSE)*$J24,0)+IF($F24&lt;&gt;0,VLOOKUP($H24,'Distribution Allocation Factors'!$B$13:$Y$152,24,FALSE)*$F24,0)</f>
        <v>0</v>
      </c>
      <c r="AH24" s="76">
        <v>0</v>
      </c>
      <c r="AI24" s="106"/>
    </row>
    <row r="25" spans="1:35" x14ac:dyDescent="0.25">
      <c r="A25" s="2">
        <f t="shared" si="1"/>
        <v>9</v>
      </c>
      <c r="B25" s="31" t="s">
        <v>408</v>
      </c>
      <c r="D25" s="76">
        <f ca="1">'Distribution Class'!AD$180</f>
        <v>45350.157242930072</v>
      </c>
      <c r="E25" s="76"/>
      <c r="F25" s="76"/>
      <c r="G25" s="76"/>
      <c r="H25" s="116"/>
      <c r="I25" s="76"/>
      <c r="J25" s="76">
        <f t="shared" ca="1" si="0"/>
        <v>45350.157242930072</v>
      </c>
      <c r="L25" s="2" t="s">
        <v>498</v>
      </c>
      <c r="N25" s="76">
        <f ca="1">IF($J25&lt;&gt;0,VLOOKUP($L25,'Distribution Allocation Factors'!$B$13:$Y$152,5,FALSE)*$J25,0)+IF($F25&lt;&gt;0,VLOOKUP($H25,'Distribution Allocation Factors'!$B$13:$Y$152,5,FALSE)*$F25,0)</f>
        <v>15268.615542731912</v>
      </c>
      <c r="O25" s="76">
        <f ca="1">IF($J25&lt;&gt;0,VLOOKUP($L25,'Distribution Allocation Factors'!$B$13:$Y$152,6,FALSE)*$J25,0)+IF($F25&lt;&gt;0,VLOOKUP($H25,'Distribution Allocation Factors'!$B$13:$Y$152,6,FALSE)*$F25,0)</f>
        <v>19809.489101284591</v>
      </c>
      <c r="P25" s="76">
        <f ca="1">IF($J25&lt;&gt;0,VLOOKUP($L25,'Distribution Allocation Factors'!$B$13:$Y$152,7,FALSE)*$J25,0)+IF($F25&lt;&gt;0,VLOOKUP($H25,'Distribution Allocation Factors'!$B$13:$Y$152,7,FALSE)*$F25,0)</f>
        <v>4001.6544106470251</v>
      </c>
      <c r="Q25" s="76"/>
      <c r="R25" s="76"/>
      <c r="S25" s="76">
        <f ca="1">IF($J25&lt;&gt;0,VLOOKUP($L25,'Distribution Allocation Factors'!$B$13:$Y$152,10,FALSE)*$J25,0)+IF($F25&lt;&gt;0,VLOOKUP($H25,'Distribution Allocation Factors'!$B$13:$Y$152,10,FALSE)*$F25,0)</f>
        <v>3030.7140228291651</v>
      </c>
      <c r="T25" s="76">
        <f ca="1">IF($J25&lt;&gt;0,VLOOKUP($L25,'Distribution Allocation Factors'!$B$13:$Y$152,11,FALSE)*$J25,0)+IF($F25&lt;&gt;0,VLOOKUP($H25,'Distribution Allocation Factors'!$B$13:$Y$152,11,FALSE)*$F25,0)</f>
        <v>0</v>
      </c>
      <c r="U25" s="76">
        <f ca="1">IF($J25&lt;&gt;0,VLOOKUP($L25,'Distribution Allocation Factors'!$B$13:$Y$152,12,FALSE)*$J25,0)+IF($F25&lt;&gt;0,VLOOKUP($H25,'Distribution Allocation Factors'!$B$13:$Y$152,12,FALSE)*$F25,0)</f>
        <v>380.89652322754603</v>
      </c>
      <c r="V25" s="76">
        <f ca="1">IF($J25&lt;&gt;0,VLOOKUP($L25,'Distribution Allocation Factors'!$B$13:$Y$152,13,FALSE)*$J25,0)+IF($F25&lt;&gt;0,VLOOKUP($H25,'Distribution Allocation Factors'!$B$13:$Y$152,13,FALSE)*$F25,0)</f>
        <v>2.7323952623125733</v>
      </c>
      <c r="W25" s="76">
        <f ca="1">IF($J25&lt;&gt;0,VLOOKUP($L25,'Distribution Allocation Factors'!$B$13:$Y$152,14,FALSE)*$J25,0)+IF($F25&lt;&gt;0,VLOOKUP($H25,'Distribution Allocation Factors'!$B$13:$Y$152,14,FALSE)*$F25,0)</f>
        <v>1837.9930365589278</v>
      </c>
      <c r="X25" s="76">
        <f ca="1">IF($J25&lt;&gt;0,VLOOKUP($L25,'Distribution Allocation Factors'!$B$13:$Y$152,15,FALSE)*$J25,0)+IF($F25&lt;&gt;0,VLOOKUP($H25,'Distribution Allocation Factors'!$B$13:$Y$152,15,FALSE)*$F25,0)</f>
        <v>5.6544643413380751</v>
      </c>
      <c r="Y25" s="76">
        <f ca="1">IF($J25&lt;&gt;0,VLOOKUP($L25,'Distribution Allocation Factors'!$B$13:$Y$152,16,FALSE)*$J25,0)+IF($F25&lt;&gt;0,VLOOKUP($H25,'Distribution Allocation Factors'!$B$13:$Y$152,16,FALSE)*$F25,0)</f>
        <v>448.04205658788896</v>
      </c>
      <c r="Z25" s="76">
        <f ca="1">IF($J25&lt;&gt;0,VLOOKUP($L25,'Distribution Allocation Factors'!$B$13:$Y$152,17,FALSE)*$J25,0)+IF($F25&lt;&gt;0,VLOOKUP($H25,'Distribution Allocation Factors'!$B$13:$Y$152,17,FALSE)*$F25,0)</f>
        <v>196.28804392505631</v>
      </c>
      <c r="AA25" s="76">
        <f ca="1">IF($J25&lt;&gt;0,VLOOKUP($L25,'Distribution Allocation Factors'!$B$13:$Y$152,18,FALSE)*$J25,0)+IF($F25&lt;&gt;0,VLOOKUP($H25,'Distribution Allocation Factors'!$B$13:$Y$152,18,FALSE)*$F25,0)</f>
        <v>0</v>
      </c>
      <c r="AB25" s="76">
        <f ca="1">IF($J25&lt;&gt;0,VLOOKUP($L25,'Distribution Allocation Factors'!$B$13:$Y$152,19,FALSE)*$J25,0)+IF($F25&lt;&gt;0,VLOOKUP($H25,'Distribution Allocation Factors'!$B$13:$Y$152,19,FALSE)*$F25,0)</f>
        <v>0</v>
      </c>
      <c r="AC25" s="76">
        <f ca="1">IF($J25&lt;&gt;0,VLOOKUP($L25,'Distribution Allocation Factors'!$B$13:$Y$152,20,FALSE)*$J25,0)+IF($F25&lt;&gt;0,VLOOKUP($H25,'Distribution Allocation Factors'!$B$13:$Y$152,20,FALSE)*$F25,0)</f>
        <v>66.392461470482075</v>
      </c>
      <c r="AD25" s="76">
        <f ca="1">IF($J25&lt;&gt;0,VLOOKUP($L25,'Distribution Allocation Factors'!$B$13:$Y$152,21,FALSE)*$J25,0)+IF($F25&lt;&gt;0,VLOOKUP($H25,'Distribution Allocation Factors'!$B$13:$Y$152,21,FALSE)*$F25,0)</f>
        <v>301.68518406383055</v>
      </c>
      <c r="AE25" s="76">
        <f ca="1">IF($J25&lt;&gt;0,VLOOKUP($L25,'Distribution Allocation Factors'!$B$13:$Y$152,22,FALSE)*$J25,0)+IF($F25&lt;&gt;0,VLOOKUP($H25,'Distribution Allocation Factors'!$B$13:$Y$152,22,FALSE)*$F25,0)</f>
        <v>0</v>
      </c>
      <c r="AF25" s="76">
        <f ca="1">IF($J25&lt;&gt;0,VLOOKUP($L25,'Distribution Allocation Factors'!$B$13:$Y$152,23,FALSE)*$J25,0)+IF($F25&lt;&gt;0,VLOOKUP($H25,'Distribution Allocation Factors'!$B$13:$Y$152,23,FALSE)*$F25,0)</f>
        <v>0</v>
      </c>
      <c r="AG25" s="76">
        <f ca="1">IF($J25&lt;&gt;0,VLOOKUP($L25,'Distribution Allocation Factors'!$B$13:$Y$152,24,FALSE)*$J25,0)+IF($F25&lt;&gt;0,VLOOKUP($H25,'Distribution Allocation Factors'!$B$13:$Y$152,24,FALSE)*$F25,0)</f>
        <v>0</v>
      </c>
      <c r="AH25" s="76">
        <v>0</v>
      </c>
      <c r="AI25" s="106"/>
    </row>
    <row r="26" spans="1:35" x14ac:dyDescent="0.25">
      <c r="B26" s="31" t="s">
        <v>410</v>
      </c>
      <c r="D26" s="76"/>
      <c r="E26" s="76"/>
      <c r="F26" s="76"/>
      <c r="G26" s="76"/>
      <c r="H26" s="116"/>
      <c r="I26" s="76"/>
      <c r="J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106"/>
    </row>
    <row r="27" spans="1:35" x14ac:dyDescent="0.25">
      <c r="A27" s="2">
        <f>A25+1</f>
        <v>10</v>
      </c>
      <c r="B27" s="79" t="s">
        <v>141</v>
      </c>
      <c r="D27" s="48">
        <f ca="1">'Dist Cust Class'!P180</f>
        <v>12619.21223901281</v>
      </c>
      <c r="F27" s="48"/>
      <c r="J27" s="76">
        <f t="shared" ca="1" si="0"/>
        <v>12619.21223901281</v>
      </c>
      <c r="L27" s="2" t="s">
        <v>332</v>
      </c>
      <c r="N27" s="76">
        <f ca="1">IF($J27&lt;&gt;0,VLOOKUP($L27,'Distribution Allocation Factors'!$B$13:$Y$152,5,FALSE)*$J27,0)+IF($F27&lt;&gt;0,VLOOKUP($H27,'Distribution Allocation Factors'!$B$13:$Y$152,5,FALSE)*$F27,0)</f>
        <v>11237.779409960747</v>
      </c>
      <c r="O27" s="76">
        <f ca="1">IF($J27&lt;&gt;0,VLOOKUP($L27,'Distribution Allocation Factors'!$B$13:$Y$152,6,FALSE)*$J27,0)+IF($F27&lt;&gt;0,VLOOKUP($H27,'Distribution Allocation Factors'!$B$13:$Y$152,6,FALSE)*$F27,0)</f>
        <v>98.131559963507698</v>
      </c>
      <c r="P27" s="76">
        <f ca="1">IF($J27&lt;&gt;0,VLOOKUP($L27,'Distribution Allocation Factors'!$B$13:$Y$152,7,FALSE)*$J27,0)+IF($F27&lt;&gt;0,VLOOKUP($H27,'Distribution Allocation Factors'!$B$13:$Y$152,7,FALSE)*$F27,0)</f>
        <v>974.90116271374586</v>
      </c>
      <c r="Q27" s="76"/>
      <c r="R27" s="76"/>
      <c r="S27" s="76">
        <f ca="1">IF($J27&lt;&gt;0,VLOOKUP($L27,'Distribution Allocation Factors'!$B$13:$Y$152,10,FALSE)*$J27,0)+IF($F27&lt;&gt;0,VLOOKUP($H27,'Distribution Allocation Factors'!$B$13:$Y$152,10,FALSE)*$F27,0)</f>
        <v>101.95044838836557</v>
      </c>
      <c r="T27" s="76">
        <f ca="1">IF($J27&lt;&gt;0,VLOOKUP($L27,'Distribution Allocation Factors'!$B$13:$Y$152,11,FALSE)*$J27,0)+IF($F27&lt;&gt;0,VLOOKUP($H27,'Distribution Allocation Factors'!$B$13:$Y$152,11,FALSE)*$F27,0)</f>
        <v>0</v>
      </c>
      <c r="U27" s="76">
        <f ca="1">IF($J27&lt;&gt;0,VLOOKUP($L27,'Distribution Allocation Factors'!$B$13:$Y$152,12,FALSE)*$J27,0)+IF($F27&lt;&gt;0,VLOOKUP($H27,'Distribution Allocation Factors'!$B$13:$Y$152,12,FALSE)*$F27,0)</f>
        <v>62.444649637873923</v>
      </c>
      <c r="V27" s="76">
        <f ca="1">IF($J27&lt;&gt;0,VLOOKUP($L27,'Distribution Allocation Factors'!$B$13:$Y$152,13,FALSE)*$J27,0)+IF($F27&lt;&gt;0,VLOOKUP($H27,'Distribution Allocation Factors'!$B$13:$Y$152,13,FALSE)*$F27,0)</f>
        <v>0</v>
      </c>
      <c r="W27" s="76">
        <f ca="1">IF($J27&lt;&gt;0,VLOOKUP($L27,'Distribution Allocation Factors'!$B$13:$Y$152,14,FALSE)*$J27,0)+IF($F27&lt;&gt;0,VLOOKUP($H27,'Distribution Allocation Factors'!$B$13:$Y$152,14,FALSE)*$F27,0)</f>
        <v>17.841328467963972</v>
      </c>
      <c r="X27" s="76">
        <f ca="1">IF($J27&lt;&gt;0,VLOOKUP($L27,'Distribution Allocation Factors'!$B$13:$Y$152,15,FALSE)*$J27,0)+IF($F27&lt;&gt;0,VLOOKUP($H27,'Distribution Allocation Factors'!$B$13:$Y$152,15,FALSE)*$F27,0)</f>
        <v>0</v>
      </c>
      <c r="Y27" s="76">
        <f ca="1">IF($J27&lt;&gt;0,VLOOKUP($L27,'Distribution Allocation Factors'!$B$13:$Y$152,16,FALSE)*$J27,0)+IF($F27&lt;&gt;0,VLOOKUP($H27,'Distribution Allocation Factors'!$B$13:$Y$152,16,FALSE)*$F27,0)</f>
        <v>66.267791452437635</v>
      </c>
      <c r="Z27" s="76">
        <f ca="1">IF($J27&lt;&gt;0,VLOOKUP($L27,'Distribution Allocation Factors'!$B$13:$Y$152,17,FALSE)*$J27,0)+IF($F27&lt;&gt;0,VLOOKUP($H27,'Distribution Allocation Factors'!$B$13:$Y$152,17,FALSE)*$F27,0)</f>
        <v>52.249604799037357</v>
      </c>
      <c r="AA27" s="76">
        <f ca="1">IF($J27&lt;&gt;0,VLOOKUP($L27,'Distribution Allocation Factors'!$B$13:$Y$152,18,FALSE)*$J27,0)+IF($F27&lt;&gt;0,VLOOKUP($H27,'Distribution Allocation Factors'!$B$13:$Y$152,18,FALSE)*$F27,0)</f>
        <v>0</v>
      </c>
      <c r="AB27" s="76">
        <f ca="1">IF($J27&lt;&gt;0,VLOOKUP($L27,'Distribution Allocation Factors'!$B$13:$Y$152,19,FALSE)*$J27,0)+IF($F27&lt;&gt;0,VLOOKUP($H27,'Distribution Allocation Factors'!$B$13:$Y$152,19,FALSE)*$F27,0)</f>
        <v>0</v>
      </c>
      <c r="AC27" s="76">
        <f ca="1">IF($J27&lt;&gt;0,VLOOKUP($L27,'Distribution Allocation Factors'!$B$13:$Y$152,20,FALSE)*$J27,0)+IF($F27&lt;&gt;0,VLOOKUP($H27,'Distribution Allocation Factors'!$B$13:$Y$152,20,FALSE)*$F27,0)</f>
        <v>6.3719030242728483</v>
      </c>
      <c r="AD27" s="76">
        <f ca="1">IF($J27&lt;&gt;0,VLOOKUP($L27,'Distribution Allocation Factors'!$B$13:$Y$152,21,FALSE)*$J27,0)+IF($F27&lt;&gt;0,VLOOKUP($H27,'Distribution Allocation Factors'!$B$13:$Y$152,21,FALSE)*$F27,0)</f>
        <v>1.2743806048545698</v>
      </c>
      <c r="AE27" s="76">
        <f ca="1">IF($J27&lt;&gt;0,VLOOKUP($L27,'Distribution Allocation Factors'!$B$13:$Y$152,22,FALSE)*$J27,0)+IF($F27&lt;&gt;0,VLOOKUP($H27,'Distribution Allocation Factors'!$B$13:$Y$152,22,FALSE)*$F27,0)</f>
        <v>0</v>
      </c>
      <c r="AF27" s="76">
        <f ca="1">IF($J27&lt;&gt;0,VLOOKUP($L27,'Distribution Allocation Factors'!$B$13:$Y$152,23,FALSE)*$J27,0)+IF($F27&lt;&gt;0,VLOOKUP($H27,'Distribution Allocation Factors'!$B$13:$Y$152,23,FALSE)*$F27,0)</f>
        <v>0</v>
      </c>
      <c r="AG27" s="76">
        <f ca="1">IF($J27&lt;&gt;0,VLOOKUP($L27,'Distribution Allocation Factors'!$B$13:$Y$152,24,FALSE)*$J27,0)+IF($F27&lt;&gt;0,VLOOKUP($H27,'Distribution Allocation Factors'!$B$13:$Y$152,24,FALSE)*$F27,0)</f>
        <v>0</v>
      </c>
      <c r="AH27" s="76">
        <v>0</v>
      </c>
      <c r="AI27" s="106"/>
    </row>
    <row r="28" spans="1:35" x14ac:dyDescent="0.25">
      <c r="A28" s="2">
        <f t="shared" si="1"/>
        <v>11</v>
      </c>
      <c r="B28" s="79" t="s">
        <v>134</v>
      </c>
      <c r="D28" s="48">
        <f ca="1">'Dist Cust Class'!R180</f>
        <v>132202.55170421681</v>
      </c>
      <c r="F28" s="76">
        <v>11616</v>
      </c>
      <c r="H28" s="2" t="s">
        <v>412</v>
      </c>
      <c r="J28" s="76">
        <f t="shared" ca="1" si="0"/>
        <v>120586.55170421681</v>
      </c>
      <c r="L28" s="2" t="s">
        <v>330</v>
      </c>
      <c r="N28" s="76">
        <f ca="1">IF($J28&lt;&gt;0,VLOOKUP($L28,'Distribution Allocation Factors'!$B$13:$Y$152,5,FALSE)*$J28,0)+IF($F28&lt;&gt;0,VLOOKUP($H28,'Distribution Allocation Factors'!$B$13:$Y$152,5,FALSE)*$F28,0)</f>
        <v>128388.76796470529</v>
      </c>
      <c r="O28" s="76">
        <f ca="1">IF($J28&lt;&gt;0,VLOOKUP($L28,'Distribution Allocation Factors'!$B$13:$Y$152,6,FALSE)*$J28,0)+IF($F28&lt;&gt;0,VLOOKUP($H28,'Distribution Allocation Factors'!$B$13:$Y$152,6,FALSE)*$F28,0)</f>
        <v>1121.1280825642546</v>
      </c>
      <c r="P28" s="76">
        <f ca="1">IF($J28&lt;&gt;0,VLOOKUP($L28,'Distribution Allocation Factors'!$B$13:$Y$152,7,FALSE)*$J28,0)+IF($F28&lt;&gt;0,VLOOKUP($H28,'Distribution Allocation Factors'!$B$13:$Y$152,7,FALSE)*$F28,0)</f>
        <v>2029.5955227865581</v>
      </c>
      <c r="Q28" s="76"/>
      <c r="R28" s="76"/>
      <c r="S28" s="76">
        <f ca="1">IF($J28&lt;&gt;0,VLOOKUP($L28,'Distribution Allocation Factors'!$B$13:$Y$152,10,FALSE)*$J28,0)+IF($F28&lt;&gt;0,VLOOKUP($H28,'Distribution Allocation Factors'!$B$13:$Y$152,10,FALSE)*$F28,0)</f>
        <v>212.24528342865972</v>
      </c>
      <c r="T28" s="76">
        <f ca="1">IF($J28&lt;&gt;0,VLOOKUP($L28,'Distribution Allocation Factors'!$B$13:$Y$152,11,FALSE)*$J28,0)+IF($F28&lt;&gt;0,VLOOKUP($H28,'Distribution Allocation Factors'!$B$13:$Y$152,11,FALSE)*$F28,0)</f>
        <v>0</v>
      </c>
      <c r="U28" s="76">
        <f ca="1">IF($J28&lt;&gt;0,VLOOKUP($L28,'Distribution Allocation Factors'!$B$13:$Y$152,12,FALSE)*$J28,0)+IF($F28&lt;&gt;0,VLOOKUP($H28,'Distribution Allocation Factors'!$B$13:$Y$152,12,FALSE)*$F28,0)</f>
        <v>130.00023610005405</v>
      </c>
      <c r="V28" s="76">
        <f ca="1">IF($J28&lt;&gt;0,VLOOKUP($L28,'Distribution Allocation Factors'!$B$13:$Y$152,13,FALSE)*$J28,0)+IF($F28&lt;&gt;0,VLOOKUP($H28,'Distribution Allocation Factors'!$B$13:$Y$152,13,FALSE)*$F28,0)</f>
        <v>0</v>
      </c>
      <c r="W28" s="76">
        <f ca="1">IF($J28&lt;&gt;0,VLOOKUP($L28,'Distribution Allocation Factors'!$B$13:$Y$152,14,FALSE)*$J28,0)+IF($F28&lt;&gt;0,VLOOKUP($H28,'Distribution Allocation Factors'!$B$13:$Y$152,14,FALSE)*$F28,0)</f>
        <v>37.142924600015434</v>
      </c>
      <c r="X28" s="76">
        <f ca="1">IF($J28&lt;&gt;0,VLOOKUP($L28,'Distribution Allocation Factors'!$B$13:$Y$152,15,FALSE)*$J28,0)+IF($F28&lt;&gt;0,VLOOKUP($H28,'Distribution Allocation Factors'!$B$13:$Y$152,15,FALSE)*$F28,0)</f>
        <v>0</v>
      </c>
      <c r="Y28" s="76">
        <f ca="1">IF($J28&lt;&gt;0,VLOOKUP($L28,'Distribution Allocation Factors'!$B$13:$Y$152,16,FALSE)*$J28,0)+IF($F28&lt;&gt;0,VLOOKUP($H28,'Distribution Allocation Factors'!$B$13:$Y$152,16,FALSE)*$F28,0)</f>
        <v>137.95943422862879</v>
      </c>
      <c r="Z28" s="76">
        <f ca="1">IF($J28&lt;&gt;0,VLOOKUP($L28,'Distribution Allocation Factors'!$B$13:$Y$152,17,FALSE)*$J28,0)+IF($F28&lt;&gt;0,VLOOKUP($H28,'Distribution Allocation Factors'!$B$13:$Y$152,17,FALSE)*$F28,0)</f>
        <v>108.77570775718809</v>
      </c>
      <c r="AA28" s="76">
        <f ca="1">IF($J28&lt;&gt;0,VLOOKUP($L28,'Distribution Allocation Factors'!$B$13:$Y$152,18,FALSE)*$J28,0)+IF($F28&lt;&gt;0,VLOOKUP($H28,'Distribution Allocation Factors'!$B$13:$Y$152,18,FALSE)*$F28,0)</f>
        <v>0</v>
      </c>
      <c r="AB28" s="76">
        <f ca="1">IF($J28&lt;&gt;0,VLOOKUP($L28,'Distribution Allocation Factors'!$B$13:$Y$152,19,FALSE)*$J28,0)+IF($F28&lt;&gt;0,VLOOKUP($H28,'Distribution Allocation Factors'!$B$13:$Y$152,19,FALSE)*$F28,0)</f>
        <v>0</v>
      </c>
      <c r="AC28" s="76">
        <f ca="1">IF($J28&lt;&gt;0,VLOOKUP($L28,'Distribution Allocation Factors'!$B$13:$Y$152,20,FALSE)*$J28,0)+IF($F28&lt;&gt;0,VLOOKUP($H28,'Distribution Allocation Factors'!$B$13:$Y$152,20,FALSE)*$F28,0)</f>
        <v>13.265330214291232</v>
      </c>
      <c r="AD28" s="76">
        <f ca="1">IF($J28&lt;&gt;0,VLOOKUP($L28,'Distribution Allocation Factors'!$B$13:$Y$152,21,FALSE)*$J28,0)+IF($F28&lt;&gt;0,VLOOKUP($H28,'Distribution Allocation Factors'!$B$13:$Y$152,21,FALSE)*$F28,0)</f>
        <v>2.6530660428582462</v>
      </c>
      <c r="AE28" s="76">
        <f ca="1">IF($J28&lt;&gt;0,VLOOKUP($L28,'Distribution Allocation Factors'!$B$13:$Y$152,22,FALSE)*$J28,0)+IF($F28&lt;&gt;0,VLOOKUP($H28,'Distribution Allocation Factors'!$B$13:$Y$152,22,FALSE)*$F28,0)</f>
        <v>21.018151788996185</v>
      </c>
      <c r="AF28" s="76">
        <f ca="1">IF($J28&lt;&gt;0,VLOOKUP($L28,'Distribution Allocation Factors'!$B$13:$Y$152,23,FALSE)*$J28,0)+IF($F28&lt;&gt;0,VLOOKUP($H28,'Distribution Allocation Factors'!$B$13:$Y$152,23,FALSE)*$F28,0)</f>
        <v>0</v>
      </c>
      <c r="AG28" s="76">
        <f ca="1">IF($J28&lt;&gt;0,VLOOKUP($L28,'Distribution Allocation Factors'!$B$13:$Y$152,24,FALSE)*$J28,0)+IF($F28&lt;&gt;0,VLOOKUP($H28,'Distribution Allocation Factors'!$B$13:$Y$152,24,FALSE)*$F28,0)</f>
        <v>0</v>
      </c>
      <c r="AH28" s="76">
        <v>0</v>
      </c>
      <c r="AI28" s="106"/>
    </row>
    <row r="29" spans="1:35" x14ac:dyDescent="0.25">
      <c r="A29" s="2">
        <f t="shared" si="1"/>
        <v>12</v>
      </c>
      <c r="B29" s="79" t="s">
        <v>139</v>
      </c>
      <c r="D29" s="48">
        <f ca="1">'Dist Cust Class'!T180</f>
        <v>16855.932785702535</v>
      </c>
      <c r="F29" s="48"/>
      <c r="J29" s="76">
        <f t="shared" ca="1" si="0"/>
        <v>16855.932785702535</v>
      </c>
      <c r="L29" s="2" t="s">
        <v>499</v>
      </c>
      <c r="N29" s="76">
        <f ca="1">IF($J29&lt;&gt;0,VLOOKUP($L29,'Distribution Allocation Factors'!$B$13:$Y$152,5,FALSE)*$J29,0)+IF($F29&lt;&gt;0,VLOOKUP($H29,'Distribution Allocation Factors'!$B$13:$Y$152,5,FALSE)*$F29,0)</f>
        <v>0</v>
      </c>
      <c r="O29" s="76">
        <f ca="1">IF($J29&lt;&gt;0,VLOOKUP($L29,'Distribution Allocation Factors'!$B$13:$Y$152,6,FALSE)*$J29,0)+IF($F29&lt;&gt;0,VLOOKUP($H29,'Distribution Allocation Factors'!$B$13:$Y$152,6,FALSE)*$F29,0)</f>
        <v>0</v>
      </c>
      <c r="P29" s="76">
        <f ca="1">IF($J29&lt;&gt;0,VLOOKUP($L29,'Distribution Allocation Factors'!$B$13:$Y$152,7,FALSE)*$J29,0)+IF($F29&lt;&gt;0,VLOOKUP($H29,'Distribution Allocation Factors'!$B$13:$Y$152,7,FALSE)*$F29,0)</f>
        <v>12805.152513468161</v>
      </c>
      <c r="Q29" s="76"/>
      <c r="R29" s="76"/>
      <c r="S29" s="76">
        <f ca="1">IF($J29&lt;&gt;0,VLOOKUP($L29,'Distribution Allocation Factors'!$B$13:$Y$152,10,FALSE)*$J29,0)+IF($F29&lt;&gt;0,VLOOKUP($H29,'Distribution Allocation Factors'!$B$13:$Y$152,10,FALSE)*$F29,0)</f>
        <v>1339.100916441115</v>
      </c>
      <c r="T29" s="76">
        <f ca="1">IF($J29&lt;&gt;0,VLOOKUP($L29,'Distribution Allocation Factors'!$B$13:$Y$152,11,FALSE)*$J29,0)+IF($F29&lt;&gt;0,VLOOKUP($H29,'Distribution Allocation Factors'!$B$13:$Y$152,11,FALSE)*$F29,0)</f>
        <v>0</v>
      </c>
      <c r="U29" s="76">
        <f ca="1">IF($J29&lt;&gt;0,VLOOKUP($L29,'Distribution Allocation Factors'!$B$13:$Y$152,12,FALSE)*$J29,0)+IF($F29&lt;&gt;0,VLOOKUP($H29,'Distribution Allocation Factors'!$B$13:$Y$152,12,FALSE)*$F29,0)</f>
        <v>820.19931132018291</v>
      </c>
      <c r="V29" s="76">
        <f ca="1">IF($J29&lt;&gt;0,VLOOKUP($L29,'Distribution Allocation Factors'!$B$13:$Y$152,13,FALSE)*$J29,0)+IF($F29&lt;&gt;0,VLOOKUP($H29,'Distribution Allocation Factors'!$B$13:$Y$152,13,FALSE)*$F29,0)</f>
        <v>0</v>
      </c>
      <c r="W29" s="76">
        <f ca="1">IF($J29&lt;&gt;0,VLOOKUP($L29,'Distribution Allocation Factors'!$B$13:$Y$152,14,FALSE)*$J29,0)+IF($F29&lt;&gt;0,VLOOKUP($H29,'Distribution Allocation Factors'!$B$13:$Y$152,14,FALSE)*$F29,0)</f>
        <v>234.3426603771951</v>
      </c>
      <c r="X29" s="76">
        <f ca="1">IF($J29&lt;&gt;0,VLOOKUP($L29,'Distribution Allocation Factors'!$B$13:$Y$152,15,FALSE)*$J29,0)+IF($F29&lt;&gt;0,VLOOKUP($H29,'Distribution Allocation Factors'!$B$13:$Y$152,15,FALSE)*$F29,0)</f>
        <v>0</v>
      </c>
      <c r="Y29" s="76">
        <f ca="1">IF($J29&lt;&gt;0,VLOOKUP($L29,'Distribution Allocation Factors'!$B$13:$Y$152,16,FALSE)*$J29,0)+IF($F29&lt;&gt;0,VLOOKUP($H29,'Distribution Allocation Factors'!$B$13:$Y$152,16,FALSE)*$F29,0)</f>
        <v>870.41559568672471</v>
      </c>
      <c r="Z29" s="76">
        <f ca="1">IF($J29&lt;&gt;0,VLOOKUP($L29,'Distribution Allocation Factors'!$B$13:$Y$152,17,FALSE)*$J29,0)+IF($F29&lt;&gt;0,VLOOKUP($H29,'Distribution Allocation Factors'!$B$13:$Y$152,17,FALSE)*$F29,0)</f>
        <v>686.28921967607141</v>
      </c>
      <c r="AA29" s="76">
        <f ca="1">IF($J29&lt;&gt;0,VLOOKUP($L29,'Distribution Allocation Factors'!$B$13:$Y$152,18,FALSE)*$J29,0)+IF($F29&lt;&gt;0,VLOOKUP($H29,'Distribution Allocation Factors'!$B$13:$Y$152,18,FALSE)*$F29,0)</f>
        <v>0</v>
      </c>
      <c r="AB29" s="76">
        <f ca="1">IF($J29&lt;&gt;0,VLOOKUP($L29,'Distribution Allocation Factors'!$B$13:$Y$152,19,FALSE)*$J29,0)+IF($F29&lt;&gt;0,VLOOKUP($H29,'Distribution Allocation Factors'!$B$13:$Y$152,19,FALSE)*$F29,0)</f>
        <v>0</v>
      </c>
      <c r="AC29" s="76">
        <f ca="1">IF($J29&lt;&gt;0,VLOOKUP($L29,'Distribution Allocation Factors'!$B$13:$Y$152,20,FALSE)*$J29,0)+IF($F29&lt;&gt;0,VLOOKUP($H29,'Distribution Allocation Factors'!$B$13:$Y$152,20,FALSE)*$F29,0)</f>
        <v>83.69380727756969</v>
      </c>
      <c r="AD29" s="76">
        <f ca="1">IF($J29&lt;&gt;0,VLOOKUP($L29,'Distribution Allocation Factors'!$B$13:$Y$152,21,FALSE)*$J29,0)+IF($F29&lt;&gt;0,VLOOKUP($H29,'Distribution Allocation Factors'!$B$13:$Y$152,21,FALSE)*$F29,0)</f>
        <v>16.738761455513938</v>
      </c>
      <c r="AE29" s="76">
        <f ca="1">IF($J29&lt;&gt;0,VLOOKUP($L29,'Distribution Allocation Factors'!$B$13:$Y$152,22,FALSE)*$J29,0)+IF($F29&lt;&gt;0,VLOOKUP($H29,'Distribution Allocation Factors'!$B$13:$Y$152,22,FALSE)*$F29,0)</f>
        <v>0</v>
      </c>
      <c r="AF29" s="76">
        <f ca="1">IF($J29&lt;&gt;0,VLOOKUP($L29,'Distribution Allocation Factors'!$B$13:$Y$152,23,FALSE)*$J29,0)+IF($F29&lt;&gt;0,VLOOKUP($H29,'Distribution Allocation Factors'!$B$13:$Y$152,23,FALSE)*$F29,0)</f>
        <v>0</v>
      </c>
      <c r="AG29" s="76">
        <f ca="1">IF($J29&lt;&gt;0,VLOOKUP($L29,'Distribution Allocation Factors'!$B$13:$Y$152,24,FALSE)*$J29,0)+IF($F29&lt;&gt;0,VLOOKUP($H29,'Distribution Allocation Factors'!$B$13:$Y$152,24,FALSE)*$F29,0)</f>
        <v>0</v>
      </c>
      <c r="AH29" s="76">
        <v>0</v>
      </c>
      <c r="AI29" s="106"/>
    </row>
    <row r="30" spans="1:35" x14ac:dyDescent="0.25">
      <c r="A30" s="2">
        <f t="shared" si="1"/>
        <v>13</v>
      </c>
      <c r="B30" s="31" t="s">
        <v>415</v>
      </c>
      <c r="D30" s="48">
        <f ca="1">'Distribution Class'!AH180</f>
        <v>18339.883386175716</v>
      </c>
      <c r="F30" s="48"/>
      <c r="J30" s="76">
        <f t="shared" ca="1" si="0"/>
        <v>18339.883386175716</v>
      </c>
      <c r="L30" s="2" t="s">
        <v>500</v>
      </c>
      <c r="N30" s="76">
        <f ca="1">IF($J30&lt;&gt;0,VLOOKUP($L30,'Distribution Allocation Factors'!$B$13:$Y$152,5,FALSE)*$J30,0)+IF($F30&lt;&gt;0,VLOOKUP($H30,'Distribution Allocation Factors'!$B$13:$Y$152,5,FALSE)*$F30,0)</f>
        <v>6939.0261490353669</v>
      </c>
      <c r="O30" s="76">
        <f ca="1">IF($J30&lt;&gt;0,VLOOKUP($L30,'Distribution Allocation Factors'!$B$13:$Y$152,6,FALSE)*$J30,0)+IF($F30&lt;&gt;0,VLOOKUP($H30,'Distribution Allocation Factors'!$B$13:$Y$152,6,FALSE)*$F30,0)</f>
        <v>3563.4314753823942</v>
      </c>
      <c r="P30" s="76">
        <f ca="1">IF($J30&lt;&gt;0,VLOOKUP($L30,'Distribution Allocation Factors'!$B$13:$Y$152,7,FALSE)*$J30,0)+IF($F30&lt;&gt;0,VLOOKUP($H30,'Distribution Allocation Factors'!$B$13:$Y$152,7,FALSE)*$F30,0)</f>
        <v>1954.8975842252632</v>
      </c>
      <c r="Q30" s="76"/>
      <c r="R30" s="76"/>
      <c r="S30" s="76">
        <f ca="1">IF($J30&lt;&gt;0,VLOOKUP($L30,'Distribution Allocation Factors'!$B$13:$Y$152,10,FALSE)*$J30,0)+IF($F30&lt;&gt;0,VLOOKUP($H30,'Distribution Allocation Factors'!$B$13:$Y$152,10,FALSE)*$F30,0)</f>
        <v>2627.2487543281791</v>
      </c>
      <c r="T30" s="76">
        <f ca="1">IF($J30&lt;&gt;0,VLOOKUP($L30,'Distribution Allocation Factors'!$B$13:$Y$152,11,FALSE)*$J30,0)+IF($F30&lt;&gt;0,VLOOKUP($H30,'Distribution Allocation Factors'!$B$13:$Y$152,11,FALSE)*$F30,0)</f>
        <v>53.006927065053176</v>
      </c>
      <c r="U30" s="76">
        <f ca="1">IF($J30&lt;&gt;0,VLOOKUP($L30,'Distribution Allocation Factors'!$B$13:$Y$152,12,FALSE)*$J30,0)+IF($F30&lt;&gt;0,VLOOKUP($H30,'Distribution Allocation Factors'!$B$13:$Y$152,12,FALSE)*$F30,0)</f>
        <v>617.32312911267707</v>
      </c>
      <c r="V30" s="76">
        <f ca="1">IF($J30&lt;&gt;0,VLOOKUP($L30,'Distribution Allocation Factors'!$B$13:$Y$152,13,FALSE)*$J30,0)+IF($F30&lt;&gt;0,VLOOKUP($H30,'Distribution Allocation Factors'!$B$13:$Y$152,13,FALSE)*$F30,0)</f>
        <v>38.79983339643352</v>
      </c>
      <c r="W30" s="76">
        <f ca="1">IF($J30&lt;&gt;0,VLOOKUP($L30,'Distribution Allocation Factors'!$B$13:$Y$152,14,FALSE)*$J30,0)+IF($F30&lt;&gt;0,VLOOKUP($H30,'Distribution Allocation Factors'!$B$13:$Y$152,14,FALSE)*$F30,0)</f>
        <v>1797.440200501954</v>
      </c>
      <c r="X30" s="76">
        <f ca="1">IF($J30&lt;&gt;0,VLOOKUP($L30,'Distribution Allocation Factors'!$B$13:$Y$152,15,FALSE)*$J30,0)+IF($F30&lt;&gt;0,VLOOKUP($H30,'Distribution Allocation Factors'!$B$13:$Y$152,15,FALSE)*$F30,0)</f>
        <v>42.168733348522117</v>
      </c>
      <c r="Y30" s="76">
        <f ca="1">IF($J30&lt;&gt;0,VLOOKUP($L30,'Distribution Allocation Factors'!$B$13:$Y$152,16,FALSE)*$J30,0)+IF($F30&lt;&gt;0,VLOOKUP($H30,'Distribution Allocation Factors'!$B$13:$Y$152,16,FALSE)*$F30,0)</f>
        <v>316.86754750621776</v>
      </c>
      <c r="Z30" s="76">
        <f ca="1">IF($J30&lt;&gt;0,VLOOKUP($L30,'Distribution Allocation Factors'!$B$13:$Y$152,17,FALSE)*$J30,0)+IF($F30&lt;&gt;0,VLOOKUP($H30,'Distribution Allocation Factors'!$B$13:$Y$152,17,FALSE)*$F30,0)</f>
        <v>36.645025339368217</v>
      </c>
      <c r="AA30" s="76">
        <f ca="1">IF($J30&lt;&gt;0,VLOOKUP($L30,'Distribution Allocation Factors'!$B$13:$Y$152,18,FALSE)*$J30,0)+IF($F30&lt;&gt;0,VLOOKUP($H30,'Distribution Allocation Factors'!$B$13:$Y$152,18,FALSE)*$F30,0)</f>
        <v>0</v>
      </c>
      <c r="AB30" s="76">
        <f ca="1">IF($J30&lt;&gt;0,VLOOKUP($L30,'Distribution Allocation Factors'!$B$13:$Y$152,19,FALSE)*$J30,0)+IF($F30&lt;&gt;0,VLOOKUP($H30,'Distribution Allocation Factors'!$B$13:$Y$152,19,FALSE)*$F30,0)</f>
        <v>0</v>
      </c>
      <c r="AC30" s="76">
        <f ca="1">IF($J30&lt;&gt;0,VLOOKUP($L30,'Distribution Allocation Factors'!$B$13:$Y$152,20,FALSE)*$J30,0)+IF($F30&lt;&gt;0,VLOOKUP($H30,'Distribution Allocation Factors'!$B$13:$Y$152,20,FALSE)*$F30,0)</f>
        <v>186.44904686793939</v>
      </c>
      <c r="AD30" s="76">
        <f ca="1">IF($J30&lt;&gt;0,VLOOKUP($L30,'Distribution Allocation Factors'!$B$13:$Y$152,21,FALSE)*$J30,0)+IF($F30&lt;&gt;0,VLOOKUP($H30,'Distribution Allocation Factors'!$B$13:$Y$152,21,FALSE)*$F30,0)</f>
        <v>166.57898006634625</v>
      </c>
      <c r="AE30" s="76">
        <f ca="1">IF($J30&lt;&gt;0,VLOOKUP($L30,'Distribution Allocation Factors'!$B$13:$Y$152,22,FALSE)*$J30,0)+IF($F30&lt;&gt;0,VLOOKUP($H30,'Distribution Allocation Factors'!$B$13:$Y$152,22,FALSE)*$F30,0)</f>
        <v>0</v>
      </c>
      <c r="AF30" s="76">
        <f ca="1">IF($J30&lt;&gt;0,VLOOKUP($L30,'Distribution Allocation Factors'!$B$13:$Y$152,23,FALSE)*$J30,0)+IF($F30&lt;&gt;0,VLOOKUP($H30,'Distribution Allocation Factors'!$B$13:$Y$152,23,FALSE)*$F30,0)</f>
        <v>0</v>
      </c>
      <c r="AG30" s="76">
        <f ca="1">IF($J30&lt;&gt;0,VLOOKUP($L30,'Distribution Allocation Factors'!$B$13:$Y$152,24,FALSE)*$J30,0)+IF($F30&lt;&gt;0,VLOOKUP($H30,'Distribution Allocation Factors'!$B$13:$Y$152,24,FALSE)*$F30,0)</f>
        <v>0</v>
      </c>
      <c r="AH30" s="76">
        <v>0</v>
      </c>
      <c r="AI30" s="106"/>
    </row>
    <row r="31" spans="1:35" ht="13" thickBot="1" x14ac:dyDescent="0.3">
      <c r="A31" s="2">
        <f t="shared" si="1"/>
        <v>14</v>
      </c>
      <c r="B31" s="31" t="s">
        <v>417</v>
      </c>
      <c r="D31" s="140">
        <f ca="1">SUM(D16:D30)</f>
        <v>2399359.0807846817</v>
      </c>
      <c r="F31" s="140">
        <f>SUM(F16:F30)</f>
        <v>11616</v>
      </c>
      <c r="J31" s="140">
        <f ca="1">SUM(J16:J30)</f>
        <v>2387743.0807846817</v>
      </c>
      <c r="N31" s="140">
        <f ca="1">SUM(N16:N30)</f>
        <v>1930970.278418333</v>
      </c>
      <c r="O31" s="140">
        <f t="shared" ref="O31:AG31" ca="1" si="2">SUM(O16:O30)</f>
        <v>274302.44668135606</v>
      </c>
      <c r="P31" s="140">
        <f t="shared" ca="1" si="2"/>
        <v>86199.04803386757</v>
      </c>
      <c r="Q31" s="140"/>
      <c r="R31" s="140"/>
      <c r="S31" s="140">
        <f t="shared" ca="1" si="2"/>
        <v>40933.057534759151</v>
      </c>
      <c r="T31" s="140">
        <f t="shared" ca="1" si="2"/>
        <v>407.5768136242171</v>
      </c>
      <c r="U31" s="140">
        <f t="shared" ca="1" si="2"/>
        <v>11503.438736648071</v>
      </c>
      <c r="V31" s="140">
        <f t="shared" ca="1" si="2"/>
        <v>708.86794646764395</v>
      </c>
      <c r="W31" s="140">
        <f t="shared" ca="1" si="2"/>
        <v>38565.01999239689</v>
      </c>
      <c r="X31" s="140">
        <f t="shared" ca="1" si="2"/>
        <v>1382.1669632202554</v>
      </c>
      <c r="Y31" s="140">
        <f t="shared" ca="1" si="2"/>
        <v>4235.3744285532412</v>
      </c>
      <c r="Z31" s="140">
        <f t="shared" ca="1" si="2"/>
        <v>2703.1664675469765</v>
      </c>
      <c r="AA31" s="140">
        <f t="shared" ca="1" si="2"/>
        <v>0</v>
      </c>
      <c r="AB31" s="140">
        <f t="shared" ca="1" si="2"/>
        <v>310.43676957282855</v>
      </c>
      <c r="AC31" s="140">
        <f t="shared" ca="1" si="2"/>
        <v>2914.5177972589545</v>
      </c>
      <c r="AD31" s="140">
        <f t="shared" ca="1" si="2"/>
        <v>4202.666049289016</v>
      </c>
      <c r="AE31" s="140">
        <f t="shared" ca="1" si="2"/>
        <v>21.018151788996185</v>
      </c>
      <c r="AF31" s="140">
        <f t="shared" ca="1" si="2"/>
        <v>0</v>
      </c>
      <c r="AG31" s="140">
        <f t="shared" ca="1" si="2"/>
        <v>0</v>
      </c>
      <c r="AH31" s="140">
        <f t="shared" ref="AH31" si="3">SUM(AH16:AH30)</f>
        <v>0</v>
      </c>
      <c r="AI31" s="106"/>
    </row>
    <row r="32" spans="1:35" ht="13" thickTop="1" x14ac:dyDescent="0.25">
      <c r="F32" s="48"/>
      <c r="J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spans="2:35" x14ac:dyDescent="0.25">
      <c r="F33" s="48"/>
      <c r="J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I33" s="48"/>
    </row>
    <row r="34" spans="2:35" x14ac:dyDescent="0.25">
      <c r="D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2:35" ht="13" x14ac:dyDescent="0.3">
      <c r="B35" s="134"/>
      <c r="C35" s="134"/>
      <c r="D35" s="134"/>
      <c r="E35" s="134"/>
      <c r="F35" s="134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2:35" x14ac:dyDescent="0.25"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2:35" ht="13" x14ac:dyDescent="0.3">
      <c r="L37" s="107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2:35" x14ac:dyDescent="0.25"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40" spans="2:35" x14ac:dyDescent="0.25">
      <c r="N40" s="48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EDD8-5B0E-4D18-BB51-BAD582E9CF17}">
  <sheetPr>
    <tabColor theme="0" tint="-0.249977111117893"/>
  </sheetPr>
  <dimension ref="A6:AI40"/>
  <sheetViews>
    <sheetView zoomScale="80" zoomScaleNormal="80" workbookViewId="0">
      <selection activeCell="H28" sqref="H28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19.7265625" style="2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5" width="12.81640625" style="31" customWidth="1"/>
    <col min="16" max="16" width="10.7265625" style="31" customWidth="1"/>
    <col min="17" max="18" width="10.7265625" style="31" hidden="1" customWidth="1"/>
    <col min="19" max="26" width="10.7265625" style="31" customWidth="1"/>
    <col min="27" max="30" width="10.54296875" style="31" customWidth="1"/>
    <col min="31" max="31" width="9.1796875" style="31"/>
    <col min="32" max="32" width="11.26953125" style="31" customWidth="1"/>
    <col min="33" max="33" width="10.7265625" style="31" customWidth="1"/>
    <col min="34" max="34" width="9.1796875" style="31"/>
    <col min="35" max="35" width="14.81640625" style="31" customWidth="1"/>
    <col min="36" max="16384" width="9.1796875" style="31"/>
  </cols>
  <sheetData>
    <row r="6" spans="1:35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5" x14ac:dyDescent="0.25">
      <c r="B7" s="158" t="s">
        <v>501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5" x14ac:dyDescent="0.25">
      <c r="D9" s="2" t="s">
        <v>337</v>
      </c>
    </row>
    <row r="10" spans="1:35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  <c r="AD10" s="2" t="s">
        <v>426</v>
      </c>
      <c r="AE10" s="2" t="s">
        <v>426</v>
      </c>
      <c r="AF10" s="2" t="s">
        <v>426</v>
      </c>
      <c r="AG10" s="2" t="s">
        <v>426</v>
      </c>
      <c r="AH10" s="2" t="s">
        <v>426</v>
      </c>
    </row>
    <row r="11" spans="1:35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477</v>
      </c>
      <c r="AC11" s="33" t="s">
        <v>439</v>
      </c>
      <c r="AD11" s="33" t="s">
        <v>440</v>
      </c>
      <c r="AE11" s="33" t="s">
        <v>478</v>
      </c>
      <c r="AF11" s="33" t="s">
        <v>479</v>
      </c>
      <c r="AG11" s="33" t="s">
        <v>480</v>
      </c>
      <c r="AH11" s="33" t="s">
        <v>481</v>
      </c>
    </row>
    <row r="12" spans="1:35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  <c r="AD12" s="81" t="s">
        <v>487</v>
      </c>
      <c r="AE12" s="81" t="s">
        <v>488</v>
      </c>
      <c r="AF12" s="81" t="s">
        <v>489</v>
      </c>
      <c r="AG12" s="81" t="s">
        <v>490</v>
      </c>
      <c r="AH12" s="81" t="s">
        <v>491</v>
      </c>
    </row>
    <row r="13" spans="1:35" x14ac:dyDescent="0.25">
      <c r="D13" s="2"/>
      <c r="F13" s="81"/>
      <c r="H13" s="81"/>
      <c r="J13" s="81"/>
      <c r="L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5" x14ac:dyDescent="0.25">
      <c r="B14" s="74"/>
      <c r="D14" s="2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106"/>
    </row>
    <row r="15" spans="1:35" x14ac:dyDescent="0.25">
      <c r="B15" s="74" t="s">
        <v>390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106"/>
    </row>
    <row r="16" spans="1:35" x14ac:dyDescent="0.25">
      <c r="A16" s="2">
        <v>1</v>
      </c>
      <c r="B16" s="31" t="s">
        <v>391</v>
      </c>
      <c r="D16" s="76">
        <f ca="1">'Distribution - One Rate Zone'!D16-'Distribution One Rate Zone Gas'!D16</f>
        <v>297327.75627410697</v>
      </c>
      <c r="E16" s="76"/>
      <c r="F16" s="76"/>
      <c r="G16" s="76"/>
      <c r="H16" s="116"/>
      <c r="I16" s="76"/>
      <c r="J16" s="76">
        <f t="shared" ref="J16:J30" ca="1" si="0">D16-F16</f>
        <v>297327.75627410697</v>
      </c>
      <c r="L16" s="2" t="s">
        <v>492</v>
      </c>
      <c r="N16" s="76">
        <f ca="1">IF($J16&lt;&gt;0,VLOOKUP($L16,'Distribution Allocation Factors'!$B$13:$Y$152,5,FALSE)*$J16,0)+IF($F16&lt;&gt;0,VLOOKUP($H16,'Distribution Allocation Factors'!$B$13:$Y$152,5,FALSE)*$F16,0)</f>
        <v>139859.06229168683</v>
      </c>
      <c r="O16" s="76">
        <f ca="1">IF($J16&lt;&gt;0,VLOOKUP($L16,'Distribution Allocation Factors'!$B$13:$Y$152,6,FALSE)*$J16,0)+IF($F16&lt;&gt;0,VLOOKUP($H16,'Distribution Allocation Factors'!$B$13:$Y$152,6,FALSE)*$F16,0)</f>
        <v>64901.619455705695</v>
      </c>
      <c r="P16" s="76">
        <f ca="1">IF($J16&lt;&gt;0,VLOOKUP($L16,'Distribution Allocation Factors'!$B$13:$Y$152,7,FALSE)*$J16,0)+IF($F16&lt;&gt;0,VLOOKUP($H16,'Distribution Allocation Factors'!$B$13:$Y$152,7,FALSE)*$F16,0)</f>
        <v>23178.13275801529</v>
      </c>
      <c r="Q16" s="76"/>
      <c r="R16" s="76"/>
      <c r="S16" s="76">
        <f ca="1">IF($J16&lt;&gt;0,VLOOKUP($L16,'Distribution Allocation Factors'!$B$13:$Y$152,10,FALSE)*$J16,0)+IF($F16&lt;&gt;0,VLOOKUP($H16,'Distribution Allocation Factors'!$B$13:$Y$152,10,FALSE)*$F16,0)</f>
        <v>24275.414649883522</v>
      </c>
      <c r="T16" s="76">
        <f ca="1">IF($J16&lt;&gt;0,VLOOKUP($L16,'Distribution Allocation Factors'!$B$13:$Y$152,11,FALSE)*$J16,0)+IF($F16&lt;&gt;0,VLOOKUP($H16,'Distribution Allocation Factors'!$B$13:$Y$152,11,FALSE)*$F16,0)</f>
        <v>0</v>
      </c>
      <c r="U16" s="76">
        <f ca="1">IF($J16&lt;&gt;0,VLOOKUP($L16,'Distribution Allocation Factors'!$B$13:$Y$152,12,FALSE)*$J16,0)+IF($F16&lt;&gt;0,VLOOKUP($H16,'Distribution Allocation Factors'!$B$13:$Y$152,12,FALSE)*$F16,0)</f>
        <v>6801.420644498643</v>
      </c>
      <c r="V16" s="76">
        <f ca="1">IF($J16&lt;&gt;0,VLOOKUP($L16,'Distribution Allocation Factors'!$B$13:$Y$152,13,FALSE)*$J16,0)+IF($F16&lt;&gt;0,VLOOKUP($H16,'Distribution Allocation Factors'!$B$13:$Y$152,13,FALSE)*$F16,0)</f>
        <v>0</v>
      </c>
      <c r="W16" s="76">
        <f ca="1">IF($J16&lt;&gt;0,VLOOKUP($L16,'Distribution Allocation Factors'!$B$13:$Y$152,14,FALSE)*$J16,0)+IF($F16&lt;&gt;0,VLOOKUP($H16,'Distribution Allocation Factors'!$B$13:$Y$152,14,FALSE)*$F16,0)</f>
        <v>32240.852476382446</v>
      </c>
      <c r="X16" s="76">
        <f ca="1">IF($J16&lt;&gt;0,VLOOKUP($L16,'Distribution Allocation Factors'!$B$13:$Y$152,15,FALSE)*$J16,0)+IF($F16&lt;&gt;0,VLOOKUP($H16,'Distribution Allocation Factors'!$B$13:$Y$152,15,FALSE)*$F16,0)</f>
        <v>0</v>
      </c>
      <c r="Y16" s="76">
        <f ca="1">IF($J16&lt;&gt;0,VLOOKUP($L16,'Distribution Allocation Factors'!$B$13:$Y$152,16,FALSE)*$J16,0)+IF($F16&lt;&gt;0,VLOOKUP($H16,'Distribution Allocation Factors'!$B$13:$Y$152,16,FALSE)*$F16,0)</f>
        <v>1.8497222177595856</v>
      </c>
      <c r="Z16" s="76">
        <f ca="1">IF($J16&lt;&gt;0,VLOOKUP($L16,'Distribution Allocation Factors'!$B$13:$Y$152,17,FALSE)*$J16,0)+IF($F16&lt;&gt;0,VLOOKUP($H16,'Distribution Allocation Factors'!$B$13:$Y$152,17,FALSE)*$F16,0)</f>
        <v>24.86107016135098</v>
      </c>
      <c r="AA16" s="76">
        <f ca="1">IF($J16&lt;&gt;0,VLOOKUP($L16,'Distribution Allocation Factors'!$B$13:$Y$152,18,FALSE)*$J16,0)+IF($F16&lt;&gt;0,VLOOKUP($H16,'Distribution Allocation Factors'!$B$13:$Y$152,18,FALSE)*$F16,0)</f>
        <v>0</v>
      </c>
      <c r="AB16" s="76">
        <f ca="1">IF($J16&lt;&gt;0,VLOOKUP($L16,'Distribution Allocation Factors'!$B$13:$Y$152,19,FALSE)*$J16,0)+IF($F16&lt;&gt;0,VLOOKUP($H16,'Distribution Allocation Factors'!$B$13:$Y$152,19,FALSE)*$F16,0)</f>
        <v>299.64336920608292</v>
      </c>
      <c r="AC16" s="76">
        <f ca="1">IF($J16&lt;&gt;0,VLOOKUP($L16,'Distribution Allocation Factors'!$B$13:$Y$152,20,FALSE)*$J16,0)+IF($F16&lt;&gt;0,VLOOKUP($H16,'Distribution Allocation Factors'!$B$13:$Y$152,20,FALSE)*$F16,0)</f>
        <v>2307.987713814357</v>
      </c>
      <c r="AD16" s="76">
        <f ca="1">IF($J16&lt;&gt;0,VLOOKUP($L16,'Distribution Allocation Factors'!$B$13:$Y$152,21,FALSE)*$J16,0)+IF($F16&lt;&gt;0,VLOOKUP($H16,'Distribution Allocation Factors'!$B$13:$Y$152,21,FALSE)*$F16,0)</f>
        <v>3436.9121225349822</v>
      </c>
      <c r="AE16" s="76">
        <f ca="1">IF($J16&lt;&gt;0,VLOOKUP($L16,'Distribution Allocation Factors'!$B$13:$Y$152,22,FALSE)*$J16,0)+IF($F16&lt;&gt;0,VLOOKUP($H16,'Distribution Allocation Factors'!$B$13:$Y$152,22,FALSE)*$F16,0)</f>
        <v>0</v>
      </c>
      <c r="AF16" s="76">
        <f ca="1">IF($J16&lt;&gt;0,VLOOKUP($L16,'Distribution Allocation Factors'!$B$13:$Y$152,23,FALSE)*$J16,0)+IF($F16&lt;&gt;0,VLOOKUP($H16,'Distribution Allocation Factors'!$B$13:$Y$152,23,FALSE)*$F16,0)</f>
        <v>0</v>
      </c>
      <c r="AG16" s="76">
        <f ca="1">IF($J16&lt;&gt;0,VLOOKUP($L16,'Distribution Allocation Factors'!$B$13:$Y$152,24,FALSE)*$J16,0)+IF($F16&lt;&gt;0,VLOOKUP($H16,'Distribution Allocation Factors'!$B$13:$Y$152,24,FALSE)*$F16,0)</f>
        <v>0</v>
      </c>
      <c r="AH16" s="76">
        <v>0</v>
      </c>
      <c r="AI16" s="106"/>
    </row>
    <row r="17" spans="1:35" x14ac:dyDescent="0.25">
      <c r="A17" s="2">
        <f>A16+1</f>
        <v>2</v>
      </c>
      <c r="B17" s="31" t="s">
        <v>393</v>
      </c>
      <c r="D17" s="76">
        <f ca="1">'Distribution - One Rate Zone'!D17-'Distribution One Rate Zone Gas'!D17</f>
        <v>56868.262593660387</v>
      </c>
      <c r="E17" s="76"/>
      <c r="F17" s="76"/>
      <c r="G17" s="76"/>
      <c r="H17" s="116"/>
      <c r="I17" s="76"/>
      <c r="J17" s="76">
        <f t="shared" ca="1" si="0"/>
        <v>56868.262593660387</v>
      </c>
      <c r="L17" s="2" t="s">
        <v>493</v>
      </c>
      <c r="N17" s="76">
        <f ca="1">IF($J17&lt;&gt;0,VLOOKUP($L17,'Distribution Allocation Factors'!$B$13:$Y$152,5,FALSE)*$J17,0)+IF($F17&lt;&gt;0,VLOOKUP($H17,'Distribution Allocation Factors'!$B$13:$Y$152,5,FALSE)*$F17,0)</f>
        <v>35835.507658092523</v>
      </c>
      <c r="O17" s="76">
        <f ca="1">IF($J17&lt;&gt;0,VLOOKUP($L17,'Distribution Allocation Factors'!$B$13:$Y$152,6,FALSE)*$J17,0)+IF($F17&lt;&gt;0,VLOOKUP($H17,'Distribution Allocation Factors'!$B$13:$Y$152,6,FALSE)*$F17,0)</f>
        <v>16629.472863023708</v>
      </c>
      <c r="P17" s="76">
        <f ca="1">IF($J17&lt;&gt;0,VLOOKUP($L17,'Distribution Allocation Factors'!$B$13:$Y$152,7,FALSE)*$J17,0)+IF($F17&lt;&gt;0,VLOOKUP($H17,'Distribution Allocation Factors'!$B$13:$Y$152,7,FALSE)*$F17,0)</f>
        <v>3478.1373053131647</v>
      </c>
      <c r="Q17" s="76"/>
      <c r="R17" s="76"/>
      <c r="S17" s="76">
        <f ca="1">IF($J17&lt;&gt;0,VLOOKUP($L17,'Distribution Allocation Factors'!$B$13:$Y$152,10,FALSE)*$J17,0)+IF($F17&lt;&gt;0,VLOOKUP($H17,'Distribution Allocation Factors'!$B$13:$Y$152,10,FALSE)*$F17,0)</f>
        <v>634.61501638344794</v>
      </c>
      <c r="T17" s="76">
        <f ca="1">IF($J17&lt;&gt;0,VLOOKUP($L17,'Distribution Allocation Factors'!$B$13:$Y$152,11,FALSE)*$J17,0)+IF($F17&lt;&gt;0,VLOOKUP($H17,'Distribution Allocation Factors'!$B$13:$Y$152,11,FALSE)*$F17,0)</f>
        <v>0</v>
      </c>
      <c r="U17" s="76">
        <f ca="1">IF($J17&lt;&gt;0,VLOOKUP($L17,'Distribution Allocation Factors'!$B$13:$Y$152,12,FALSE)*$J17,0)+IF($F17&lt;&gt;0,VLOOKUP($H17,'Distribution Allocation Factors'!$B$13:$Y$152,12,FALSE)*$F17,0)</f>
        <v>213.07664480381371</v>
      </c>
      <c r="V17" s="76">
        <f ca="1">IF($J17&lt;&gt;0,VLOOKUP($L17,'Distribution Allocation Factors'!$B$13:$Y$152,13,FALSE)*$J17,0)+IF($F17&lt;&gt;0,VLOOKUP($H17,'Distribution Allocation Factors'!$B$13:$Y$152,13,FALSE)*$F17,0)</f>
        <v>0</v>
      </c>
      <c r="W17" s="76">
        <f ca="1">IF($J17&lt;&gt;0,VLOOKUP($L17,'Distribution Allocation Factors'!$B$13:$Y$152,14,FALSE)*$J17,0)+IF($F17&lt;&gt;0,VLOOKUP($H17,'Distribution Allocation Factors'!$B$13:$Y$152,14,FALSE)*$F17,0)</f>
        <v>0</v>
      </c>
      <c r="X17" s="76">
        <f ca="1">IF($J17&lt;&gt;0,VLOOKUP($L17,'Distribution Allocation Factors'!$B$13:$Y$152,15,FALSE)*$J17,0)+IF($F17&lt;&gt;0,VLOOKUP($H17,'Distribution Allocation Factors'!$B$13:$Y$152,15,FALSE)*$F17,0)</f>
        <v>0</v>
      </c>
      <c r="Y17" s="76">
        <f ca="1">IF($J17&lt;&gt;0,VLOOKUP($L17,'Distribution Allocation Factors'!$B$13:$Y$152,16,FALSE)*$J17,0)+IF($F17&lt;&gt;0,VLOOKUP($H17,'Distribution Allocation Factors'!$B$13:$Y$152,16,FALSE)*$F17,0)</f>
        <v>0</v>
      </c>
      <c r="Z17" s="76">
        <f ca="1">IF($J17&lt;&gt;0,VLOOKUP($L17,'Distribution Allocation Factors'!$B$13:$Y$152,17,FALSE)*$J17,0)+IF($F17&lt;&gt;0,VLOOKUP($H17,'Distribution Allocation Factors'!$B$13:$Y$152,17,FALSE)*$F17,0)</f>
        <v>4.4474362539182195</v>
      </c>
      <c r="AA17" s="76">
        <f ca="1">IF($J17&lt;&gt;0,VLOOKUP($L17,'Distribution Allocation Factors'!$B$13:$Y$152,18,FALSE)*$J17,0)+IF($F17&lt;&gt;0,VLOOKUP($H17,'Distribution Allocation Factors'!$B$13:$Y$152,18,FALSE)*$F17,0)</f>
        <v>0</v>
      </c>
      <c r="AB17" s="76">
        <f ca="1">IF($J17&lt;&gt;0,VLOOKUP($L17,'Distribution Allocation Factors'!$B$13:$Y$152,19,FALSE)*$J17,0)+IF($F17&lt;&gt;0,VLOOKUP($H17,'Distribution Allocation Factors'!$B$13:$Y$152,19,FALSE)*$F17,0)</f>
        <v>0</v>
      </c>
      <c r="AC17" s="76">
        <f ca="1">IF($J17&lt;&gt;0,VLOOKUP($L17,'Distribution Allocation Factors'!$B$13:$Y$152,20,FALSE)*$J17,0)+IF($F17&lt;&gt;0,VLOOKUP($H17,'Distribution Allocation Factors'!$B$13:$Y$152,20,FALSE)*$F17,0)</f>
        <v>73.005669789795888</v>
      </c>
      <c r="AD17" s="76">
        <f ca="1">IF($J17&lt;&gt;0,VLOOKUP($L17,'Distribution Allocation Factors'!$B$13:$Y$152,21,FALSE)*$J17,0)+IF($F17&lt;&gt;0,VLOOKUP($H17,'Distribution Allocation Factors'!$B$13:$Y$152,21,FALSE)*$F17,0)</f>
        <v>0</v>
      </c>
      <c r="AE17" s="76">
        <f ca="1">IF($J17&lt;&gt;0,VLOOKUP($L17,'Distribution Allocation Factors'!$B$13:$Y$152,22,FALSE)*$J17,0)+IF($F17&lt;&gt;0,VLOOKUP($H17,'Distribution Allocation Factors'!$B$13:$Y$152,22,FALSE)*$F17,0)</f>
        <v>0</v>
      </c>
      <c r="AF17" s="76">
        <f ca="1">IF($J17&lt;&gt;0,VLOOKUP($L17,'Distribution Allocation Factors'!$B$13:$Y$152,23,FALSE)*$J17,0)+IF($F17&lt;&gt;0,VLOOKUP($H17,'Distribution Allocation Factors'!$B$13:$Y$152,23,FALSE)*$F17,0)</f>
        <v>0</v>
      </c>
      <c r="AG17" s="76">
        <f ca="1">IF($J17&lt;&gt;0,VLOOKUP($L17,'Distribution Allocation Factors'!$B$13:$Y$152,24,FALSE)*$J17,0)+IF($F17&lt;&gt;0,VLOOKUP($H17,'Distribution Allocation Factors'!$B$13:$Y$152,24,FALSE)*$F17,0)</f>
        <v>0</v>
      </c>
      <c r="AH17" s="76">
        <v>0</v>
      </c>
      <c r="AI17" s="106"/>
    </row>
    <row r="18" spans="1:35" x14ac:dyDescent="0.25">
      <c r="A18" s="2">
        <f t="shared" ref="A18:A31" si="1">A17+1</f>
        <v>3</v>
      </c>
      <c r="B18" s="31" t="s">
        <v>395</v>
      </c>
      <c r="D18" s="76">
        <f ca="1">'Distribution - One Rate Zone'!D18-'Distribution One Rate Zone Gas'!D18</f>
        <v>343743.97514135833</v>
      </c>
      <c r="E18" s="76"/>
      <c r="F18" s="76"/>
      <c r="G18" s="76"/>
      <c r="H18" s="116"/>
      <c r="I18" s="76"/>
      <c r="J18" s="76">
        <f t="shared" ca="1" si="0"/>
        <v>343743.97514135833</v>
      </c>
      <c r="L18" s="2" t="s">
        <v>494</v>
      </c>
      <c r="N18" s="76">
        <f ca="1">IF($J18&lt;&gt;0,VLOOKUP($L18,'Distribution Allocation Factors'!$B$13:$Y$152,5,FALSE)*$J18,0)+IF($F18&lt;&gt;0,VLOOKUP($H18,'Distribution Allocation Factors'!$B$13:$Y$152,5,FALSE)*$F18,0)</f>
        <v>220569.07246846083</v>
      </c>
      <c r="O18" s="76">
        <f ca="1">IF($J18&lt;&gt;0,VLOOKUP($L18,'Distribution Allocation Factors'!$B$13:$Y$152,6,FALSE)*$J18,0)+IF($F18&lt;&gt;0,VLOOKUP($H18,'Distribution Allocation Factors'!$B$13:$Y$152,6,FALSE)*$F18,0)</f>
        <v>102355.11214275395</v>
      </c>
      <c r="P18" s="76">
        <f ca="1">IF($J18&lt;&gt;0,VLOOKUP($L18,'Distribution Allocation Factors'!$B$13:$Y$152,7,FALSE)*$J18,0)+IF($F18&lt;&gt;0,VLOOKUP($H18,'Distribution Allocation Factors'!$B$13:$Y$152,7,FALSE)*$F18,0)</f>
        <v>16042.440581665565</v>
      </c>
      <c r="Q18" s="76"/>
      <c r="R18" s="76"/>
      <c r="S18" s="76">
        <f ca="1">IF($J18&lt;&gt;0,VLOOKUP($L18,'Distribution Allocation Factors'!$B$13:$Y$152,10,FALSE)*$J18,0)+IF($F18&lt;&gt;0,VLOOKUP($H18,'Distribution Allocation Factors'!$B$13:$Y$152,10,FALSE)*$F18,0)</f>
        <v>2231.1019077025503</v>
      </c>
      <c r="T18" s="76">
        <f ca="1">IF($J18&lt;&gt;0,VLOOKUP($L18,'Distribution Allocation Factors'!$B$13:$Y$152,11,FALSE)*$J18,0)+IF($F18&lt;&gt;0,VLOOKUP($H18,'Distribution Allocation Factors'!$B$13:$Y$152,11,FALSE)*$F18,0)</f>
        <v>261.98353848320846</v>
      </c>
      <c r="U18" s="76">
        <f ca="1">IF($J18&lt;&gt;0,VLOOKUP($L18,'Distribution Allocation Factors'!$B$13:$Y$152,12,FALSE)*$J18,0)+IF($F18&lt;&gt;0,VLOOKUP($H18,'Distribution Allocation Factors'!$B$13:$Y$152,12,FALSE)*$F18,0)</f>
        <v>29.66961919259025</v>
      </c>
      <c r="V18" s="76">
        <f ca="1">IF($J18&lt;&gt;0,VLOOKUP($L18,'Distribution Allocation Factors'!$B$13:$Y$152,13,FALSE)*$J18,0)+IF($F18&lt;&gt;0,VLOOKUP($H18,'Distribution Allocation Factors'!$B$13:$Y$152,13,FALSE)*$F18,0)</f>
        <v>538.6433269384105</v>
      </c>
      <c r="W18" s="76">
        <f ca="1">IF($J18&lt;&gt;0,VLOOKUP($L18,'Distribution Allocation Factors'!$B$13:$Y$152,14,FALSE)*$J18,0)+IF($F18&lt;&gt;0,VLOOKUP($H18,'Distribution Allocation Factors'!$B$13:$Y$152,14,FALSE)*$F18,0)</f>
        <v>0</v>
      </c>
      <c r="X18" s="76">
        <f ca="1">IF($J18&lt;&gt;0,VLOOKUP($L18,'Distribution Allocation Factors'!$B$13:$Y$152,15,FALSE)*$J18,0)+IF($F18&lt;&gt;0,VLOOKUP($H18,'Distribution Allocation Factors'!$B$13:$Y$152,15,FALSE)*$F18,0)</f>
        <v>1313.8431585554727</v>
      </c>
      <c r="Y18" s="76">
        <f ca="1">IF($J18&lt;&gt;0,VLOOKUP($L18,'Distribution Allocation Factors'!$B$13:$Y$152,16,FALSE)*$J18,0)+IF($F18&lt;&gt;0,VLOOKUP($H18,'Distribution Allocation Factors'!$B$13:$Y$152,16,FALSE)*$F18,0)</f>
        <v>385.28062278745404</v>
      </c>
      <c r="Z18" s="76">
        <f ca="1">IF($J18&lt;&gt;0,VLOOKUP($L18,'Distribution Allocation Factors'!$B$13:$Y$152,17,FALSE)*$J18,0)+IF($F18&lt;&gt;0,VLOOKUP($H18,'Distribution Allocation Factors'!$B$13:$Y$152,17,FALSE)*$F18,0)</f>
        <v>16.827774818290919</v>
      </c>
      <c r="AA18" s="76">
        <f ca="1">IF($J18&lt;&gt;0,VLOOKUP($L18,'Distribution Allocation Factors'!$B$13:$Y$152,18,FALSE)*$J18,0)+IF($F18&lt;&gt;0,VLOOKUP($H18,'Distribution Allocation Factors'!$B$13:$Y$152,18,FALSE)*$F18,0)</f>
        <v>0</v>
      </c>
      <c r="AB18" s="76">
        <f ca="1">IF($J18&lt;&gt;0,VLOOKUP($L18,'Distribution Allocation Factors'!$B$13:$Y$152,19,FALSE)*$J18,0)+IF($F18&lt;&gt;0,VLOOKUP($H18,'Distribution Allocation Factors'!$B$13:$Y$152,19,FALSE)*$F18,0)</f>
        <v>0</v>
      </c>
      <c r="AC18" s="76">
        <f ca="1">IF($J18&lt;&gt;0,VLOOKUP($L18,'Distribution Allocation Factors'!$B$13:$Y$152,20,FALSE)*$J18,0)+IF($F18&lt;&gt;0,VLOOKUP($H18,'Distribution Allocation Factors'!$B$13:$Y$152,20,FALSE)*$F18,0)</f>
        <v>0</v>
      </c>
      <c r="AD18" s="76">
        <f ca="1">IF($J18&lt;&gt;0,VLOOKUP($L18,'Distribution Allocation Factors'!$B$13:$Y$152,21,FALSE)*$J18,0)+IF($F18&lt;&gt;0,VLOOKUP($H18,'Distribution Allocation Factors'!$B$13:$Y$152,21,FALSE)*$F18,0)</f>
        <v>0</v>
      </c>
      <c r="AE18" s="76">
        <f ca="1">IF($J18&lt;&gt;0,VLOOKUP($L18,'Distribution Allocation Factors'!$B$13:$Y$152,22,FALSE)*$J18,0)+IF($F18&lt;&gt;0,VLOOKUP($H18,'Distribution Allocation Factors'!$B$13:$Y$152,22,FALSE)*$F18,0)</f>
        <v>0</v>
      </c>
      <c r="AF18" s="76">
        <f ca="1">IF($J18&lt;&gt;0,VLOOKUP($L18,'Distribution Allocation Factors'!$B$13:$Y$152,23,FALSE)*$J18,0)+IF($F18&lt;&gt;0,VLOOKUP($H18,'Distribution Allocation Factors'!$B$13:$Y$152,23,FALSE)*$F18,0)</f>
        <v>0</v>
      </c>
      <c r="AG18" s="76">
        <f ca="1">IF($J18&lt;&gt;0,VLOOKUP($L18,'Distribution Allocation Factors'!$B$13:$Y$152,24,FALSE)*$J18,0)+IF($F18&lt;&gt;0,VLOOKUP($H18,'Distribution Allocation Factors'!$B$13:$Y$152,24,FALSE)*$F18,0)</f>
        <v>0</v>
      </c>
      <c r="AH18" s="76">
        <v>0</v>
      </c>
      <c r="AI18" s="106"/>
    </row>
    <row r="19" spans="1:35" x14ac:dyDescent="0.25">
      <c r="B19" s="31" t="s">
        <v>397</v>
      </c>
      <c r="D19" s="76"/>
      <c r="E19" s="76"/>
      <c r="F19" s="76"/>
      <c r="G19" s="76"/>
      <c r="H19" s="116"/>
      <c r="I19" s="76"/>
      <c r="J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106"/>
    </row>
    <row r="20" spans="1:35" x14ac:dyDescent="0.25">
      <c r="A20" s="2">
        <f>A18+1</f>
        <v>4</v>
      </c>
      <c r="B20" s="79" t="s">
        <v>398</v>
      </c>
      <c r="D20" s="76">
        <f ca="1">'Distribution - One Rate Zone'!D20-'Distribution One Rate Zone Gas'!D20</f>
        <v>150927.52203758305</v>
      </c>
      <c r="E20" s="76"/>
      <c r="F20" s="76"/>
      <c r="G20" s="76"/>
      <c r="H20" s="116"/>
      <c r="I20" s="76"/>
      <c r="J20" s="76">
        <f t="shared" ca="1" si="0"/>
        <v>150927.52203758305</v>
      </c>
      <c r="L20" s="2" t="s">
        <v>495</v>
      </c>
      <c r="N20" s="76">
        <f ca="1">IF($J20&lt;&gt;0,VLOOKUP($L20,'Distribution Allocation Factors'!$B$13:$Y$152,5,FALSE)*$J20,0)+IF($F20&lt;&gt;0,VLOOKUP($H20,'Distribution Allocation Factors'!$B$13:$Y$152,5,FALSE)*$F20,0)</f>
        <v>116359.62868379662</v>
      </c>
      <c r="O20" s="76">
        <f ca="1">IF($J20&lt;&gt;0,VLOOKUP($L20,'Distribution Allocation Factors'!$B$13:$Y$152,6,FALSE)*$J20,0)+IF($F20&lt;&gt;0,VLOOKUP($H20,'Distribution Allocation Factors'!$B$13:$Y$152,6,FALSE)*$F20,0)</f>
        <v>17644.618152089366</v>
      </c>
      <c r="P20" s="76">
        <f ca="1">IF($J20&lt;&gt;0,VLOOKUP($L20,'Distribution Allocation Factors'!$B$13:$Y$152,7,FALSE)*$J20,0)+IF($F20&lt;&gt;0,VLOOKUP($H20,'Distribution Allocation Factors'!$B$13:$Y$152,7,FALSE)*$F20,0)</f>
        <v>9925.6225553503173</v>
      </c>
      <c r="Q20" s="76"/>
      <c r="R20" s="76"/>
      <c r="S20" s="76">
        <f ca="1">IF($J20&lt;&gt;0,VLOOKUP($L20,'Distribution Allocation Factors'!$B$13:$Y$152,10,FALSE)*$J20,0)+IF($F20&lt;&gt;0,VLOOKUP($H20,'Distribution Allocation Factors'!$B$13:$Y$152,10,FALSE)*$F20,0)</f>
        <v>3089.5210341603374</v>
      </c>
      <c r="T20" s="76">
        <f ca="1">IF($J20&lt;&gt;0,VLOOKUP($L20,'Distribution Allocation Factors'!$B$13:$Y$152,11,FALSE)*$J20,0)+IF($F20&lt;&gt;0,VLOOKUP($H20,'Distribution Allocation Factors'!$B$13:$Y$152,11,FALSE)*$F20,0)</f>
        <v>62.333654494609021</v>
      </c>
      <c r="U20" s="76">
        <f ca="1">IF($J20&lt;&gt;0,VLOOKUP($L20,'Distribution Allocation Factors'!$B$13:$Y$152,12,FALSE)*$J20,0)+IF($F20&lt;&gt;0,VLOOKUP($H20,'Distribution Allocation Factors'!$B$13:$Y$152,12,FALSE)*$F20,0)</f>
        <v>1212.5541343432662</v>
      </c>
      <c r="V20" s="76">
        <f ca="1">IF($J20&lt;&gt;0,VLOOKUP($L20,'Distribution Allocation Factors'!$B$13:$Y$152,13,FALSE)*$J20,0)+IF($F20&lt;&gt;0,VLOOKUP($H20,'Distribution Allocation Factors'!$B$13:$Y$152,13,FALSE)*$F20,0)</f>
        <v>76.211138345487385</v>
      </c>
      <c r="W20" s="76">
        <f ca="1">IF($J20&lt;&gt;0,VLOOKUP($L20,'Distribution Allocation Factors'!$B$13:$Y$152,14,FALSE)*$J20,0)+IF($F20&lt;&gt;0,VLOOKUP($H20,'Distribution Allocation Factors'!$B$13:$Y$152,14,FALSE)*$F20,0)</f>
        <v>726.10409582205671</v>
      </c>
      <c r="X20" s="76">
        <f ca="1">IF($J20&lt;&gt;0,VLOOKUP($L20,'Distribution Allocation Factors'!$B$13:$Y$152,15,FALSE)*$J20,0)+IF($F20&lt;&gt;0,VLOOKUP($H20,'Distribution Allocation Factors'!$B$13:$Y$152,15,FALSE)*$F20,0)</f>
        <v>14.319050254709023</v>
      </c>
      <c r="Y20" s="76">
        <f ca="1">IF($J20&lt;&gt;0,VLOOKUP($L20,'Distribution Allocation Factors'!$B$13:$Y$152,16,FALSE)*$J20,0)+IF($F20&lt;&gt;0,VLOOKUP($H20,'Distribution Allocation Factors'!$B$13:$Y$152,16,FALSE)*$F20,0)</f>
        <v>981.40805715655608</v>
      </c>
      <c r="Z20" s="76">
        <f ca="1">IF($J20&lt;&gt;0,VLOOKUP($L20,'Distribution Allocation Factors'!$B$13:$Y$152,17,FALSE)*$J20,0)+IF($F20&lt;&gt;0,VLOOKUP($H20,'Distribution Allocation Factors'!$B$13:$Y$152,17,FALSE)*$F20,0)</f>
        <v>692.12430787459664</v>
      </c>
      <c r="AA20" s="76">
        <f ca="1">IF($J20&lt;&gt;0,VLOOKUP($L20,'Distribution Allocation Factors'!$B$13:$Y$152,18,FALSE)*$J20,0)+IF($F20&lt;&gt;0,VLOOKUP($H20,'Distribution Allocation Factors'!$B$13:$Y$152,18,FALSE)*$F20,0)</f>
        <v>0</v>
      </c>
      <c r="AB20" s="76">
        <f ca="1">IF($J20&lt;&gt;0,VLOOKUP($L20,'Distribution Allocation Factors'!$B$13:$Y$152,19,FALSE)*$J20,0)+IF($F20&lt;&gt;0,VLOOKUP($H20,'Distribution Allocation Factors'!$B$13:$Y$152,19,FALSE)*$F20,0)</f>
        <v>0</v>
      </c>
      <c r="AC20" s="76">
        <f ca="1">IF($J20&lt;&gt;0,VLOOKUP($L20,'Distribution Allocation Factors'!$B$13:$Y$152,20,FALSE)*$J20,0)+IF($F20&lt;&gt;0,VLOOKUP($H20,'Distribution Allocation Factors'!$B$13:$Y$152,20,FALSE)*$F20,0)</f>
        <v>50.04296283913564</v>
      </c>
      <c r="AD20" s="76">
        <f ca="1">IF($J20&lt;&gt;0,VLOOKUP($L20,'Distribution Allocation Factors'!$B$13:$Y$152,21,FALSE)*$J20,0)+IF($F20&lt;&gt;0,VLOOKUP($H20,'Distribution Allocation Factors'!$B$13:$Y$152,21,FALSE)*$F20,0)</f>
        <v>93.034211056015309</v>
      </c>
      <c r="AE20" s="76">
        <f ca="1">IF($J20&lt;&gt;0,VLOOKUP($L20,'Distribution Allocation Factors'!$B$13:$Y$152,22,FALSE)*$J20,0)+IF($F20&lt;&gt;0,VLOOKUP($H20,'Distribution Allocation Factors'!$B$13:$Y$152,22,FALSE)*$F20,0)</f>
        <v>0</v>
      </c>
      <c r="AF20" s="76">
        <f ca="1">IF($J20&lt;&gt;0,VLOOKUP($L20,'Distribution Allocation Factors'!$B$13:$Y$152,23,FALSE)*$J20,0)+IF($F20&lt;&gt;0,VLOOKUP($H20,'Distribution Allocation Factors'!$B$13:$Y$152,23,FALSE)*$F20,0)</f>
        <v>0</v>
      </c>
      <c r="AG20" s="76">
        <f ca="1">IF($J20&lt;&gt;0,VLOOKUP($L20,'Distribution Allocation Factors'!$B$13:$Y$152,24,FALSE)*$J20,0)+IF($F20&lt;&gt;0,VLOOKUP($H20,'Distribution Allocation Factors'!$B$13:$Y$152,24,FALSE)*$F20,0)</f>
        <v>0</v>
      </c>
      <c r="AH20" s="76">
        <v>0</v>
      </c>
      <c r="AI20" s="106"/>
    </row>
    <row r="21" spans="1:35" x14ac:dyDescent="0.25">
      <c r="A21" s="2">
        <f t="shared" si="1"/>
        <v>5</v>
      </c>
      <c r="B21" s="79" t="s">
        <v>400</v>
      </c>
      <c r="D21" s="76">
        <f ca="1">'Distribution - One Rate Zone'!D21-'Distribution One Rate Zone Gas'!D21</f>
        <v>65848.377147061197</v>
      </c>
      <c r="E21" s="76"/>
      <c r="F21" s="76"/>
      <c r="G21" s="76"/>
      <c r="H21" s="116"/>
      <c r="I21" s="76"/>
      <c r="J21" s="76">
        <f t="shared" ca="1" si="0"/>
        <v>65848.377147061197</v>
      </c>
      <c r="L21" s="2" t="s">
        <v>496</v>
      </c>
      <c r="N21" s="76">
        <f ca="1">IF($J21&lt;&gt;0,VLOOKUP($L21,'Distribution Allocation Factors'!$B$13:$Y$152,5,FALSE)*$J21,0)+IF($F21&lt;&gt;0,VLOOKUP($H21,'Distribution Allocation Factors'!$B$13:$Y$152,5,FALSE)*$F21,0)</f>
        <v>43561.721827490474</v>
      </c>
      <c r="O21" s="76">
        <f ca="1">IF($J21&lt;&gt;0,VLOOKUP($L21,'Distribution Allocation Factors'!$B$13:$Y$152,6,FALSE)*$J21,0)+IF($F21&lt;&gt;0,VLOOKUP($H21,'Distribution Allocation Factors'!$B$13:$Y$152,6,FALSE)*$F21,0)</f>
        <v>10576.788165182934</v>
      </c>
      <c r="P21" s="76">
        <f ca="1">IF($J21&lt;&gt;0,VLOOKUP($L21,'Distribution Allocation Factors'!$B$13:$Y$152,7,FALSE)*$J21,0)+IF($F21&lt;&gt;0,VLOOKUP($H21,'Distribution Allocation Factors'!$B$13:$Y$152,7,FALSE)*$F21,0)</f>
        <v>7843.9238408933043</v>
      </c>
      <c r="Q21" s="76"/>
      <c r="R21" s="76"/>
      <c r="S21" s="76">
        <f ca="1">IF($J21&lt;&gt;0,VLOOKUP($L21,'Distribution Allocation Factors'!$B$13:$Y$152,10,FALSE)*$J21,0)+IF($F21&lt;&gt;0,VLOOKUP($H21,'Distribution Allocation Factors'!$B$13:$Y$152,10,FALSE)*$F21,0)</f>
        <v>1499.4521646033245</v>
      </c>
      <c r="T21" s="76">
        <f ca="1">IF($J21&lt;&gt;0,VLOOKUP($L21,'Distribution Allocation Factors'!$B$13:$Y$152,11,FALSE)*$J21,0)+IF($F21&lt;&gt;0,VLOOKUP($H21,'Distribution Allocation Factors'!$B$13:$Y$152,11,FALSE)*$F21,0)</f>
        <v>30.252693581346435</v>
      </c>
      <c r="U21" s="76">
        <f ca="1">IF($J21&lt;&gt;0,VLOOKUP($L21,'Distribution Allocation Factors'!$B$13:$Y$152,12,FALSE)*$J21,0)+IF($F21&lt;&gt;0,VLOOKUP($H21,'Distribution Allocation Factors'!$B$13:$Y$152,12,FALSE)*$F21,0)</f>
        <v>657.14869011623114</v>
      </c>
      <c r="V21" s="76">
        <f ca="1">IF($J21&lt;&gt;0,VLOOKUP($L21,'Distribution Allocation Factors'!$B$13:$Y$152,13,FALSE)*$J21,0)+IF($F21&lt;&gt;0,VLOOKUP($H21,'Distribution Allocation Factors'!$B$13:$Y$152,13,FALSE)*$F21,0)</f>
        <v>41.302939240010872</v>
      </c>
      <c r="W21" s="76">
        <f ca="1">IF($J21&lt;&gt;0,VLOOKUP($L21,'Distribution Allocation Factors'!$B$13:$Y$152,14,FALSE)*$J21,0)+IF($F21&lt;&gt;0,VLOOKUP($H21,'Distribution Allocation Factors'!$B$13:$Y$152,14,FALSE)*$F21,0)</f>
        <v>313.46029054037314</v>
      </c>
      <c r="X21" s="76">
        <f ca="1">IF($J21&lt;&gt;0,VLOOKUP($L21,'Distribution Allocation Factors'!$B$13:$Y$152,15,FALSE)*$J21,0)+IF($F21&lt;&gt;0,VLOOKUP($H21,'Distribution Allocation Factors'!$B$13:$Y$152,15,FALSE)*$F21,0)</f>
        <v>6.1815567202133783</v>
      </c>
      <c r="Y21" s="76">
        <f ca="1">IF($J21&lt;&gt;0,VLOOKUP($L21,'Distribution Allocation Factors'!$B$13:$Y$152,16,FALSE)*$J21,0)+IF($F21&lt;&gt;0,VLOOKUP($H21,'Distribution Allocation Factors'!$B$13:$Y$152,16,FALSE)*$F21,0)</f>
        <v>671.14082056923041</v>
      </c>
      <c r="Z21" s="76">
        <f ca="1">IF($J21&lt;&gt;0,VLOOKUP($L21,'Distribution Allocation Factors'!$B$13:$Y$152,17,FALSE)*$J21,0)+IF($F21&lt;&gt;0,VLOOKUP($H21,'Distribution Allocation Factors'!$B$13:$Y$152,17,FALSE)*$F21,0)</f>
        <v>588.83528118579852</v>
      </c>
      <c r="AA21" s="76">
        <f ca="1">IF($J21&lt;&gt;0,VLOOKUP($L21,'Distribution Allocation Factors'!$B$13:$Y$152,18,FALSE)*$J21,0)+IF($F21&lt;&gt;0,VLOOKUP($H21,'Distribution Allocation Factors'!$B$13:$Y$152,18,FALSE)*$F21,0)</f>
        <v>0</v>
      </c>
      <c r="AB21" s="76">
        <f ca="1">IF($J21&lt;&gt;0,VLOOKUP($L21,'Distribution Allocation Factors'!$B$13:$Y$152,19,FALSE)*$J21,0)+IF($F21&lt;&gt;0,VLOOKUP($H21,'Distribution Allocation Factors'!$B$13:$Y$152,19,FALSE)*$F21,0)</f>
        <v>0</v>
      </c>
      <c r="AC21" s="76">
        <f ca="1">IF($J21&lt;&gt;0,VLOOKUP($L21,'Distribution Allocation Factors'!$B$13:$Y$152,20,FALSE)*$J21,0)+IF($F21&lt;&gt;0,VLOOKUP($H21,'Distribution Allocation Factors'!$B$13:$Y$152,20,FALSE)*$F21,0)</f>
        <v>20.345264501337855</v>
      </c>
      <c r="AD21" s="76">
        <f ca="1">IF($J21&lt;&gt;0,VLOOKUP($L21,'Distribution Allocation Factors'!$B$13:$Y$152,21,FALSE)*$J21,0)+IF($F21&lt;&gt;0,VLOOKUP($H21,'Distribution Allocation Factors'!$B$13:$Y$152,21,FALSE)*$F21,0)</f>
        <v>37.823612436625574</v>
      </c>
      <c r="AE21" s="76">
        <f ca="1">IF($J21&lt;&gt;0,VLOOKUP($L21,'Distribution Allocation Factors'!$B$13:$Y$152,22,FALSE)*$J21,0)+IF($F21&lt;&gt;0,VLOOKUP($H21,'Distribution Allocation Factors'!$B$13:$Y$152,22,FALSE)*$F21,0)</f>
        <v>0</v>
      </c>
      <c r="AF21" s="76">
        <f ca="1">IF($J21&lt;&gt;0,VLOOKUP($L21,'Distribution Allocation Factors'!$B$13:$Y$152,23,FALSE)*$J21,0)+IF($F21&lt;&gt;0,VLOOKUP($H21,'Distribution Allocation Factors'!$B$13:$Y$152,23,FALSE)*$F21,0)</f>
        <v>0</v>
      </c>
      <c r="AG21" s="76">
        <f ca="1">IF($J21&lt;&gt;0,VLOOKUP($L21,'Distribution Allocation Factors'!$B$13:$Y$152,24,FALSE)*$J21,0)+IF($F21&lt;&gt;0,VLOOKUP($H21,'Distribution Allocation Factors'!$B$13:$Y$152,24,FALSE)*$F21,0)</f>
        <v>0</v>
      </c>
      <c r="AH21" s="76">
        <v>0</v>
      </c>
      <c r="AI21" s="106"/>
    </row>
    <row r="22" spans="1:35" x14ac:dyDescent="0.25">
      <c r="A22" s="2">
        <f t="shared" si="1"/>
        <v>6</v>
      </c>
      <c r="B22" s="31" t="s">
        <v>402</v>
      </c>
      <c r="D22" s="76">
        <f ca="1">'Distribution - One Rate Zone'!D22-'Distribution One Rate Zone Gas'!D22</f>
        <v>373183.09065294155</v>
      </c>
      <c r="E22" s="76"/>
      <c r="F22" s="76"/>
      <c r="G22" s="76"/>
      <c r="H22" s="116"/>
      <c r="I22" s="76"/>
      <c r="J22" s="76">
        <f t="shared" ca="1" si="0"/>
        <v>373183.09065294155</v>
      </c>
      <c r="L22" s="2" t="s">
        <v>330</v>
      </c>
      <c r="N22" s="76">
        <f ca="1">IF($J22&lt;&gt;0,VLOOKUP($L22,'Distribution Allocation Factors'!$B$13:$Y$152,5,FALSE)*$J22,0)+IF($F22&lt;&gt;0,VLOOKUP($H22,'Distribution Allocation Factors'!$B$13:$Y$152,5,FALSE)*$F22,0)</f>
        <v>369857.54816176166</v>
      </c>
      <c r="O22" s="76">
        <f ca="1">IF($J22&lt;&gt;0,VLOOKUP($L22,'Distribution Allocation Factors'!$B$13:$Y$152,6,FALSE)*$J22,0)+IF($F22&lt;&gt;0,VLOOKUP($H22,'Distribution Allocation Factors'!$B$13:$Y$152,6,FALSE)*$F22,0)</f>
        <v>3229.7037378418008</v>
      </c>
      <c r="P22" s="76">
        <f ca="1">IF($J22&lt;&gt;0,VLOOKUP($L22,'Distribution Allocation Factors'!$B$13:$Y$152,7,FALSE)*$J22,0)+IF($F22&lt;&gt;0,VLOOKUP($H22,'Distribution Allocation Factors'!$B$13:$Y$152,7,FALSE)*$F22,0)</f>
        <v>72.806997322368773</v>
      </c>
      <c r="Q22" s="76"/>
      <c r="R22" s="76"/>
      <c r="S22" s="76">
        <f ca="1">IF($J22&lt;&gt;0,VLOOKUP($L22,'Distribution Allocation Factors'!$B$13:$Y$152,10,FALSE)*$J22,0)+IF($F22&lt;&gt;0,VLOOKUP($H22,'Distribution Allocation Factors'!$B$13:$Y$152,10,FALSE)*$F22,0)</f>
        <v>7.6138036415549033</v>
      </c>
      <c r="T22" s="76">
        <f ca="1">IF($J22&lt;&gt;0,VLOOKUP($L22,'Distribution Allocation Factors'!$B$13:$Y$152,11,FALSE)*$J22,0)+IF($F22&lt;&gt;0,VLOOKUP($H22,'Distribution Allocation Factors'!$B$13:$Y$152,11,FALSE)*$F22,0)</f>
        <v>0</v>
      </c>
      <c r="U22" s="76">
        <f ca="1">IF($J22&lt;&gt;0,VLOOKUP($L22,'Distribution Allocation Factors'!$B$13:$Y$152,12,FALSE)*$J22,0)+IF($F22&lt;&gt;0,VLOOKUP($H22,'Distribution Allocation Factors'!$B$13:$Y$152,12,FALSE)*$F22,0)</f>
        <v>4.6634547304523792</v>
      </c>
      <c r="V22" s="76">
        <f ca="1">IF($J22&lt;&gt;0,VLOOKUP($L22,'Distribution Allocation Factors'!$B$13:$Y$152,13,FALSE)*$J22,0)+IF($F22&lt;&gt;0,VLOOKUP($H22,'Distribution Allocation Factors'!$B$13:$Y$152,13,FALSE)*$F22,0)</f>
        <v>0</v>
      </c>
      <c r="W22" s="76">
        <f ca="1">IF($J22&lt;&gt;0,VLOOKUP($L22,'Distribution Allocation Factors'!$B$13:$Y$152,14,FALSE)*$J22,0)+IF($F22&lt;&gt;0,VLOOKUP($H22,'Distribution Allocation Factors'!$B$13:$Y$152,14,FALSE)*$F22,0)</f>
        <v>1.3324156372721081</v>
      </c>
      <c r="X22" s="76">
        <f ca="1">IF($J22&lt;&gt;0,VLOOKUP($L22,'Distribution Allocation Factors'!$B$13:$Y$152,15,FALSE)*$J22,0)+IF($F22&lt;&gt;0,VLOOKUP($H22,'Distribution Allocation Factors'!$B$13:$Y$152,15,FALSE)*$F22,0)</f>
        <v>0</v>
      </c>
      <c r="Y22" s="76">
        <f ca="1">IF($J22&lt;&gt;0,VLOOKUP($L22,'Distribution Allocation Factors'!$B$13:$Y$152,16,FALSE)*$J22,0)+IF($F22&lt;&gt;0,VLOOKUP($H22,'Distribution Allocation Factors'!$B$13:$Y$152,16,FALSE)*$F22,0)</f>
        <v>4.948972367010688</v>
      </c>
      <c r="Z22" s="76">
        <f ca="1">IF($J22&lt;&gt;0,VLOOKUP($L22,'Distribution Allocation Factors'!$B$13:$Y$152,17,FALSE)*$J22,0)+IF($F22&lt;&gt;0,VLOOKUP($H22,'Distribution Allocation Factors'!$B$13:$Y$152,17,FALSE)*$F22,0)</f>
        <v>3.9020743662968886</v>
      </c>
      <c r="AA22" s="76">
        <f ca="1">IF($J22&lt;&gt;0,VLOOKUP($L22,'Distribution Allocation Factors'!$B$13:$Y$152,18,FALSE)*$J22,0)+IF($F22&lt;&gt;0,VLOOKUP($H22,'Distribution Allocation Factors'!$B$13:$Y$152,18,FALSE)*$F22,0)</f>
        <v>0</v>
      </c>
      <c r="AB22" s="76">
        <f ca="1">IF($J22&lt;&gt;0,VLOOKUP($L22,'Distribution Allocation Factors'!$B$13:$Y$152,19,FALSE)*$J22,0)+IF($F22&lt;&gt;0,VLOOKUP($H22,'Distribution Allocation Factors'!$B$13:$Y$152,19,FALSE)*$F22,0)</f>
        <v>0</v>
      </c>
      <c r="AC22" s="76">
        <f ca="1">IF($J22&lt;&gt;0,VLOOKUP($L22,'Distribution Allocation Factors'!$B$13:$Y$152,20,FALSE)*$J22,0)+IF($F22&lt;&gt;0,VLOOKUP($H22,'Distribution Allocation Factors'!$B$13:$Y$152,20,FALSE)*$F22,0)</f>
        <v>0.47586272759718146</v>
      </c>
      <c r="AD22" s="76">
        <f ca="1">IF($J22&lt;&gt;0,VLOOKUP($L22,'Distribution Allocation Factors'!$B$13:$Y$152,21,FALSE)*$J22,0)+IF($F22&lt;&gt;0,VLOOKUP($H22,'Distribution Allocation Factors'!$B$13:$Y$152,21,FALSE)*$F22,0)</f>
        <v>9.5172545519436311E-2</v>
      </c>
      <c r="AE22" s="76">
        <f ca="1">IF($J22&lt;&gt;0,VLOOKUP($L22,'Distribution Allocation Factors'!$B$13:$Y$152,22,FALSE)*$J22,0)+IF($F22&lt;&gt;0,VLOOKUP($H22,'Distribution Allocation Factors'!$B$13:$Y$152,22,FALSE)*$F22,0)</f>
        <v>0</v>
      </c>
      <c r="AF22" s="76">
        <f ca="1">IF($J22&lt;&gt;0,VLOOKUP($L22,'Distribution Allocation Factors'!$B$13:$Y$152,23,FALSE)*$J22,0)+IF($F22&lt;&gt;0,VLOOKUP($H22,'Distribution Allocation Factors'!$B$13:$Y$152,23,FALSE)*$F22,0)</f>
        <v>0</v>
      </c>
      <c r="AG22" s="76">
        <f ca="1">IF($J22&lt;&gt;0,VLOOKUP($L22,'Distribution Allocation Factors'!$B$13:$Y$152,24,FALSE)*$J22,0)+IF($F22&lt;&gt;0,VLOOKUP($H22,'Distribution Allocation Factors'!$B$13:$Y$152,24,FALSE)*$F22,0)</f>
        <v>0</v>
      </c>
      <c r="AH22" s="76">
        <v>0</v>
      </c>
      <c r="AI22" s="106"/>
    </row>
    <row r="23" spans="1:35" x14ac:dyDescent="0.25">
      <c r="A23" s="2">
        <f t="shared" si="1"/>
        <v>7</v>
      </c>
      <c r="B23" s="31" t="s">
        <v>404</v>
      </c>
      <c r="D23" s="76">
        <f ca="1">'Distribution - One Rate Zone'!D23-'Distribution One Rate Zone Gas'!D23</f>
        <v>582679.15327772032</v>
      </c>
      <c r="E23" s="76"/>
      <c r="F23" s="76"/>
      <c r="G23" s="76"/>
      <c r="H23" s="116"/>
      <c r="I23" s="76"/>
      <c r="J23" s="76">
        <f t="shared" ca="1" si="0"/>
        <v>582679.15327772032</v>
      </c>
      <c r="L23" s="2" t="s">
        <v>330</v>
      </c>
      <c r="N23" s="76">
        <f ca="1">IF($J23&lt;&gt;0,VLOOKUP($L23,'Distribution Allocation Factors'!$B$13:$Y$152,5,FALSE)*$J23,0)+IF($F23&lt;&gt;0,VLOOKUP($H23,'Distribution Allocation Factors'!$B$13:$Y$152,5,FALSE)*$F23,0)</f>
        <v>577486.73076050647</v>
      </c>
      <c r="O23" s="76">
        <f ca="1">IF($J23&lt;&gt;0,VLOOKUP($L23,'Distribution Allocation Factors'!$B$13:$Y$152,6,FALSE)*$J23,0)+IF($F23&lt;&gt;0,VLOOKUP($H23,'Distribution Allocation Factors'!$B$13:$Y$152,6,FALSE)*$F23,0)</f>
        <v>5042.7821796826511</v>
      </c>
      <c r="P23" s="76">
        <f ca="1">IF($J23&lt;&gt;0,VLOOKUP($L23,'Distribution Allocation Factors'!$B$13:$Y$152,7,FALSE)*$J23,0)+IF($F23&lt;&gt;0,VLOOKUP($H23,'Distribution Allocation Factors'!$B$13:$Y$152,7,FALSE)*$F23,0)</f>
        <v>113.67910447996258</v>
      </c>
      <c r="Q23" s="76"/>
      <c r="R23" s="76"/>
      <c r="S23" s="76">
        <f ca="1">IF($J23&lt;&gt;0,VLOOKUP($L23,'Distribution Allocation Factors'!$B$13:$Y$152,10,FALSE)*$J23,0)+IF($F23&lt;&gt;0,VLOOKUP($H23,'Distribution Allocation Factors'!$B$13:$Y$152,10,FALSE)*$F23,0)</f>
        <v>11.888010926009157</v>
      </c>
      <c r="T23" s="76">
        <f ca="1">IF($J23&lt;&gt;0,VLOOKUP($L23,'Distribution Allocation Factors'!$B$13:$Y$152,11,FALSE)*$J23,0)+IF($F23&lt;&gt;0,VLOOKUP($H23,'Distribution Allocation Factors'!$B$13:$Y$152,11,FALSE)*$F23,0)</f>
        <v>0</v>
      </c>
      <c r="U23" s="76">
        <f ca="1">IF($J23&lt;&gt;0,VLOOKUP($L23,'Distribution Allocation Factors'!$B$13:$Y$152,12,FALSE)*$J23,0)+IF($F23&lt;&gt;0,VLOOKUP($H23,'Distribution Allocation Factors'!$B$13:$Y$152,12,FALSE)*$F23,0)</f>
        <v>7.2814066921806093</v>
      </c>
      <c r="V23" s="76">
        <f ca="1">IF($J23&lt;&gt;0,VLOOKUP($L23,'Distribution Allocation Factors'!$B$13:$Y$152,13,FALSE)*$J23,0)+IF($F23&lt;&gt;0,VLOOKUP($H23,'Distribution Allocation Factors'!$B$13:$Y$152,13,FALSE)*$F23,0)</f>
        <v>0</v>
      </c>
      <c r="W23" s="76">
        <f ca="1">IF($J23&lt;&gt;0,VLOOKUP($L23,'Distribution Allocation Factors'!$B$13:$Y$152,14,FALSE)*$J23,0)+IF($F23&lt;&gt;0,VLOOKUP($H23,'Distribution Allocation Factors'!$B$13:$Y$152,14,FALSE)*$F23,0)</f>
        <v>2.0804019120516024</v>
      </c>
      <c r="X23" s="76">
        <f ca="1">IF($J23&lt;&gt;0,VLOOKUP($L23,'Distribution Allocation Factors'!$B$13:$Y$152,15,FALSE)*$J23,0)+IF($F23&lt;&gt;0,VLOOKUP($H23,'Distribution Allocation Factors'!$B$13:$Y$152,15,FALSE)*$F23,0)</f>
        <v>0</v>
      </c>
      <c r="Y23" s="76">
        <f ca="1">IF($J23&lt;&gt;0,VLOOKUP($L23,'Distribution Allocation Factors'!$B$13:$Y$152,16,FALSE)*$J23,0)+IF($F23&lt;&gt;0,VLOOKUP($H23,'Distribution Allocation Factors'!$B$13:$Y$152,16,FALSE)*$F23,0)</f>
        <v>7.7272071019059521</v>
      </c>
      <c r="Z23" s="76">
        <f ca="1">IF($J23&lt;&gt;0,VLOOKUP($L23,'Distribution Allocation Factors'!$B$13:$Y$152,17,FALSE)*$J23,0)+IF($F23&lt;&gt;0,VLOOKUP($H23,'Distribution Allocation Factors'!$B$13:$Y$152,17,FALSE)*$F23,0)</f>
        <v>6.0926055995796933</v>
      </c>
      <c r="AA23" s="76">
        <f ca="1">IF($J23&lt;&gt;0,VLOOKUP($L23,'Distribution Allocation Factors'!$B$13:$Y$152,18,FALSE)*$J23,0)+IF($F23&lt;&gt;0,VLOOKUP($H23,'Distribution Allocation Factors'!$B$13:$Y$152,18,FALSE)*$F23,0)</f>
        <v>0</v>
      </c>
      <c r="AB23" s="76">
        <f ca="1">IF($J23&lt;&gt;0,VLOOKUP($L23,'Distribution Allocation Factors'!$B$13:$Y$152,19,FALSE)*$J23,0)+IF($F23&lt;&gt;0,VLOOKUP($H23,'Distribution Allocation Factors'!$B$13:$Y$152,19,FALSE)*$F23,0)</f>
        <v>0</v>
      </c>
      <c r="AC23" s="76">
        <f ca="1">IF($J23&lt;&gt;0,VLOOKUP($L23,'Distribution Allocation Factors'!$B$13:$Y$152,20,FALSE)*$J23,0)+IF($F23&lt;&gt;0,VLOOKUP($H23,'Distribution Allocation Factors'!$B$13:$Y$152,20,FALSE)*$F23,0)</f>
        <v>0.7430006828755723</v>
      </c>
      <c r="AD23" s="76">
        <f ca="1">IF($J23&lt;&gt;0,VLOOKUP($L23,'Distribution Allocation Factors'!$B$13:$Y$152,21,FALSE)*$J23,0)+IF($F23&lt;&gt;0,VLOOKUP($H23,'Distribution Allocation Factors'!$B$13:$Y$152,21,FALSE)*$F23,0)</f>
        <v>0.14860013657511448</v>
      </c>
      <c r="AE23" s="76">
        <f ca="1">IF($J23&lt;&gt;0,VLOOKUP($L23,'Distribution Allocation Factors'!$B$13:$Y$152,22,FALSE)*$J23,0)+IF($F23&lt;&gt;0,VLOOKUP($H23,'Distribution Allocation Factors'!$B$13:$Y$152,22,FALSE)*$F23,0)</f>
        <v>0</v>
      </c>
      <c r="AF23" s="76">
        <f ca="1">IF($J23&lt;&gt;0,VLOOKUP($L23,'Distribution Allocation Factors'!$B$13:$Y$152,23,FALSE)*$J23,0)+IF($F23&lt;&gt;0,VLOOKUP($H23,'Distribution Allocation Factors'!$B$13:$Y$152,23,FALSE)*$F23,0)</f>
        <v>0</v>
      </c>
      <c r="AG23" s="76">
        <f ca="1">IF($J23&lt;&gt;0,VLOOKUP($L23,'Distribution Allocation Factors'!$B$13:$Y$152,24,FALSE)*$J23,0)+IF($F23&lt;&gt;0,VLOOKUP($H23,'Distribution Allocation Factors'!$B$13:$Y$152,24,FALSE)*$F23,0)</f>
        <v>0</v>
      </c>
      <c r="AH23" s="76">
        <v>0</v>
      </c>
      <c r="AI23" s="106"/>
    </row>
    <row r="24" spans="1:35" x14ac:dyDescent="0.25">
      <c r="A24" s="2">
        <f t="shared" si="1"/>
        <v>8</v>
      </c>
      <c r="B24" s="31" t="s">
        <v>406</v>
      </c>
      <c r="D24" s="76">
        <f ca="1">'Distribution - One Rate Zone'!D24-'Distribution One Rate Zone Gas'!D24</f>
        <v>292703.2162159463</v>
      </c>
      <c r="E24" s="76"/>
      <c r="F24" s="76"/>
      <c r="G24" s="76"/>
      <c r="H24" s="116"/>
      <c r="I24" s="76"/>
      <c r="J24" s="76">
        <f t="shared" ca="1" si="0"/>
        <v>292703.2162159463</v>
      </c>
      <c r="L24" s="2" t="s">
        <v>497</v>
      </c>
      <c r="N24" s="76">
        <f ca="1">IF($J24&lt;&gt;0,VLOOKUP($L24,'Distribution Allocation Factors'!$B$13:$Y$152,5,FALSE)*$J24,0)+IF($F24&lt;&gt;0,VLOOKUP($H24,'Distribution Allocation Factors'!$B$13:$Y$152,5,FALSE)*$F24,0)</f>
        <v>260568.97915837297</v>
      </c>
      <c r="O24" s="76">
        <f ca="1">IF($J24&lt;&gt;0,VLOOKUP($L24,'Distribution Allocation Factors'!$B$13:$Y$152,6,FALSE)*$J24,0)+IF($F24&lt;&gt;0,VLOOKUP($H24,'Distribution Allocation Factors'!$B$13:$Y$152,6,FALSE)*$F24,0)</f>
        <v>26992.36010537839</v>
      </c>
      <c r="P24" s="76">
        <f ca="1">IF($J24&lt;&gt;0,VLOOKUP($L24,'Distribution Allocation Factors'!$B$13:$Y$152,7,FALSE)*$J24,0)+IF($F24&lt;&gt;0,VLOOKUP($H24,'Distribution Allocation Factors'!$B$13:$Y$152,7,FALSE)*$F24,0)</f>
        <v>2943.2083102686897</v>
      </c>
      <c r="Q24" s="76"/>
      <c r="R24" s="76"/>
      <c r="S24" s="76">
        <f ca="1">IF($J24&lt;&gt;0,VLOOKUP($L24,'Distribution Allocation Factors'!$B$13:$Y$152,10,FALSE)*$J24,0)+IF($F24&lt;&gt;0,VLOOKUP($H24,'Distribution Allocation Factors'!$B$13:$Y$152,10,FALSE)*$F24,0)</f>
        <v>997.77113997615447</v>
      </c>
      <c r="T24" s="76">
        <f ca="1">IF($J24&lt;&gt;0,VLOOKUP($L24,'Distribution Allocation Factors'!$B$13:$Y$152,11,FALSE)*$J24,0)+IF($F24&lt;&gt;0,VLOOKUP($H24,'Distribution Allocation Factors'!$B$13:$Y$152,11,FALSE)*$F24,0)</f>
        <v>0</v>
      </c>
      <c r="U24" s="76">
        <f ca="1">IF($J24&lt;&gt;0,VLOOKUP($L24,'Distribution Allocation Factors'!$B$13:$Y$152,12,FALSE)*$J24,0)+IF($F24&lt;&gt;0,VLOOKUP($H24,'Distribution Allocation Factors'!$B$13:$Y$152,12,FALSE)*$F24,0)</f>
        <v>321.76753273497621</v>
      </c>
      <c r="V24" s="76">
        <f ca="1">IF($J24&lt;&gt;0,VLOOKUP($L24,'Distribution Allocation Factors'!$B$13:$Y$152,13,FALSE)*$J24,0)+IF($F24&lt;&gt;0,VLOOKUP($H24,'Distribution Allocation Factors'!$B$13:$Y$152,13,FALSE)*$F24,0)</f>
        <v>11.17831328498904</v>
      </c>
      <c r="W24" s="76">
        <f ca="1">IF($J24&lt;&gt;0,VLOOKUP($L24,'Distribution Allocation Factors'!$B$13:$Y$152,14,FALSE)*$J24,0)+IF($F24&lt;&gt;0,VLOOKUP($H24,'Distribution Allocation Factors'!$B$13:$Y$152,14,FALSE)*$F24,0)</f>
        <v>195.08816405874555</v>
      </c>
      <c r="X24" s="76">
        <f ca="1">IF($J24&lt;&gt;0,VLOOKUP($L24,'Distribution Allocation Factors'!$B$13:$Y$152,15,FALSE)*$J24,0)+IF($F24&lt;&gt;0,VLOOKUP($H24,'Distribution Allocation Factors'!$B$13:$Y$152,15,FALSE)*$F24,0)</f>
        <v>0</v>
      </c>
      <c r="Y24" s="76">
        <f ca="1">IF($J24&lt;&gt;0,VLOOKUP($L24,'Distribution Allocation Factors'!$B$13:$Y$152,16,FALSE)*$J24,0)+IF($F24&lt;&gt;0,VLOOKUP($H24,'Distribution Allocation Factors'!$B$13:$Y$152,16,FALSE)*$F24,0)</f>
        <v>343.39997237728187</v>
      </c>
      <c r="Z24" s="76">
        <f ca="1">IF($J24&lt;&gt;0,VLOOKUP($L24,'Distribution Allocation Factors'!$B$13:$Y$152,17,FALSE)*$J24,0)+IF($F24&lt;&gt;0,VLOOKUP($H24,'Distribution Allocation Factors'!$B$13:$Y$152,17,FALSE)*$F24,0)</f>
        <v>284.93279961561808</v>
      </c>
      <c r="AA24" s="76">
        <f ca="1">IF($J24&lt;&gt;0,VLOOKUP($L24,'Distribution Allocation Factors'!$B$13:$Y$152,18,FALSE)*$J24,0)+IF($F24&lt;&gt;0,VLOOKUP($H24,'Distribution Allocation Factors'!$B$13:$Y$152,18,FALSE)*$F24,0)</f>
        <v>0</v>
      </c>
      <c r="AB24" s="76">
        <f ca="1">IF($J24&lt;&gt;0,VLOOKUP($L24,'Distribution Allocation Factors'!$B$13:$Y$152,19,FALSE)*$J24,0)+IF($F24&lt;&gt;0,VLOOKUP($H24,'Distribution Allocation Factors'!$B$13:$Y$152,19,FALSE)*$F24,0)</f>
        <v>0</v>
      </c>
      <c r="AC24" s="76">
        <f ca="1">IF($J24&lt;&gt;0,VLOOKUP($L24,'Distribution Allocation Factors'!$B$13:$Y$152,20,FALSE)*$J24,0)+IF($F24&lt;&gt;0,VLOOKUP($H24,'Distribution Allocation Factors'!$B$13:$Y$152,20,FALSE)*$F24,0)</f>
        <v>22.609160193632025</v>
      </c>
      <c r="AD24" s="76">
        <f ca="1">IF($J24&lt;&gt;0,VLOOKUP($L24,'Distribution Allocation Factors'!$B$13:$Y$152,21,FALSE)*$J24,0)+IF($F24&lt;&gt;0,VLOOKUP($H24,'Distribution Allocation Factors'!$B$13:$Y$152,21,FALSE)*$F24,0)</f>
        <v>21.921559684883427</v>
      </c>
      <c r="AE24" s="76">
        <f ca="1">IF($J24&lt;&gt;0,VLOOKUP($L24,'Distribution Allocation Factors'!$B$13:$Y$152,22,FALSE)*$J24,0)+IF($F24&lt;&gt;0,VLOOKUP($H24,'Distribution Allocation Factors'!$B$13:$Y$152,22,FALSE)*$F24,0)</f>
        <v>0</v>
      </c>
      <c r="AF24" s="76">
        <f ca="1">IF($J24&lt;&gt;0,VLOOKUP($L24,'Distribution Allocation Factors'!$B$13:$Y$152,23,FALSE)*$J24,0)+IF($F24&lt;&gt;0,VLOOKUP($H24,'Distribution Allocation Factors'!$B$13:$Y$152,23,FALSE)*$F24,0)</f>
        <v>0</v>
      </c>
      <c r="AG24" s="76">
        <f ca="1">IF($J24&lt;&gt;0,VLOOKUP($L24,'Distribution Allocation Factors'!$B$13:$Y$152,24,FALSE)*$J24,0)+IF($F24&lt;&gt;0,VLOOKUP($H24,'Distribution Allocation Factors'!$B$13:$Y$152,24,FALSE)*$F24,0)</f>
        <v>0</v>
      </c>
      <c r="AH24" s="76">
        <v>0</v>
      </c>
      <c r="AI24" s="106"/>
    </row>
    <row r="25" spans="1:35" x14ac:dyDescent="0.25">
      <c r="A25" s="2">
        <f t="shared" si="1"/>
        <v>9</v>
      </c>
      <c r="B25" s="31" t="s">
        <v>408</v>
      </c>
      <c r="D25" s="76">
        <f ca="1">'Distribution - One Rate Zone'!D25-'Distribution One Rate Zone Gas'!D25</f>
        <v>45350.157242930072</v>
      </c>
      <c r="E25" s="76"/>
      <c r="F25" s="76"/>
      <c r="G25" s="76"/>
      <c r="H25" s="116"/>
      <c r="I25" s="76"/>
      <c r="J25" s="76">
        <f t="shared" ca="1" si="0"/>
        <v>45350.157242930072</v>
      </c>
      <c r="L25" s="2" t="s">
        <v>498</v>
      </c>
      <c r="N25" s="76">
        <f ca="1">IF($J25&lt;&gt;0,VLOOKUP($L25,'Distribution Allocation Factors'!$B$13:$Y$152,5,FALSE)*$J25,0)+IF($F25&lt;&gt;0,VLOOKUP($H25,'Distribution Allocation Factors'!$B$13:$Y$152,5,FALSE)*$F25,0)</f>
        <v>15268.615542731912</v>
      </c>
      <c r="O25" s="76">
        <f ca="1">IF($J25&lt;&gt;0,VLOOKUP($L25,'Distribution Allocation Factors'!$B$13:$Y$152,6,FALSE)*$J25,0)+IF($F25&lt;&gt;0,VLOOKUP($H25,'Distribution Allocation Factors'!$B$13:$Y$152,6,FALSE)*$F25,0)</f>
        <v>19809.489101284591</v>
      </c>
      <c r="P25" s="76">
        <f ca="1">IF($J25&lt;&gt;0,VLOOKUP($L25,'Distribution Allocation Factors'!$B$13:$Y$152,7,FALSE)*$J25,0)+IF($F25&lt;&gt;0,VLOOKUP($H25,'Distribution Allocation Factors'!$B$13:$Y$152,7,FALSE)*$F25,0)</f>
        <v>4001.6544106470251</v>
      </c>
      <c r="Q25" s="76"/>
      <c r="R25" s="76"/>
      <c r="S25" s="76">
        <f ca="1">IF($J25&lt;&gt;0,VLOOKUP($L25,'Distribution Allocation Factors'!$B$13:$Y$152,10,FALSE)*$J25,0)+IF($F25&lt;&gt;0,VLOOKUP($H25,'Distribution Allocation Factors'!$B$13:$Y$152,10,FALSE)*$F25,0)</f>
        <v>3030.7140228291651</v>
      </c>
      <c r="T25" s="76">
        <f ca="1">IF($J25&lt;&gt;0,VLOOKUP($L25,'Distribution Allocation Factors'!$B$13:$Y$152,11,FALSE)*$J25,0)+IF($F25&lt;&gt;0,VLOOKUP($H25,'Distribution Allocation Factors'!$B$13:$Y$152,11,FALSE)*$F25,0)</f>
        <v>0</v>
      </c>
      <c r="U25" s="76">
        <f ca="1">IF($J25&lt;&gt;0,VLOOKUP($L25,'Distribution Allocation Factors'!$B$13:$Y$152,12,FALSE)*$J25,0)+IF($F25&lt;&gt;0,VLOOKUP($H25,'Distribution Allocation Factors'!$B$13:$Y$152,12,FALSE)*$F25,0)</f>
        <v>380.89652322754603</v>
      </c>
      <c r="V25" s="76">
        <f ca="1">IF($J25&lt;&gt;0,VLOOKUP($L25,'Distribution Allocation Factors'!$B$13:$Y$152,13,FALSE)*$J25,0)+IF($F25&lt;&gt;0,VLOOKUP($H25,'Distribution Allocation Factors'!$B$13:$Y$152,13,FALSE)*$F25,0)</f>
        <v>2.7323952623125733</v>
      </c>
      <c r="W25" s="76">
        <f ca="1">IF($J25&lt;&gt;0,VLOOKUP($L25,'Distribution Allocation Factors'!$B$13:$Y$152,14,FALSE)*$J25,0)+IF($F25&lt;&gt;0,VLOOKUP($H25,'Distribution Allocation Factors'!$B$13:$Y$152,14,FALSE)*$F25,0)</f>
        <v>1837.9930365589278</v>
      </c>
      <c r="X25" s="76">
        <f ca="1">IF($J25&lt;&gt;0,VLOOKUP($L25,'Distribution Allocation Factors'!$B$13:$Y$152,15,FALSE)*$J25,0)+IF($F25&lt;&gt;0,VLOOKUP($H25,'Distribution Allocation Factors'!$B$13:$Y$152,15,FALSE)*$F25,0)</f>
        <v>5.6544643413380751</v>
      </c>
      <c r="Y25" s="76">
        <f ca="1">IF($J25&lt;&gt;0,VLOOKUP($L25,'Distribution Allocation Factors'!$B$13:$Y$152,16,FALSE)*$J25,0)+IF($F25&lt;&gt;0,VLOOKUP($H25,'Distribution Allocation Factors'!$B$13:$Y$152,16,FALSE)*$F25,0)</f>
        <v>448.04205658788896</v>
      </c>
      <c r="Z25" s="76">
        <f ca="1">IF($J25&lt;&gt;0,VLOOKUP($L25,'Distribution Allocation Factors'!$B$13:$Y$152,17,FALSE)*$J25,0)+IF($F25&lt;&gt;0,VLOOKUP($H25,'Distribution Allocation Factors'!$B$13:$Y$152,17,FALSE)*$F25,0)</f>
        <v>196.28804392505631</v>
      </c>
      <c r="AA25" s="76">
        <f ca="1">IF($J25&lt;&gt;0,VLOOKUP($L25,'Distribution Allocation Factors'!$B$13:$Y$152,18,FALSE)*$J25,0)+IF($F25&lt;&gt;0,VLOOKUP($H25,'Distribution Allocation Factors'!$B$13:$Y$152,18,FALSE)*$F25,0)</f>
        <v>0</v>
      </c>
      <c r="AB25" s="76">
        <f ca="1">IF($J25&lt;&gt;0,VLOOKUP($L25,'Distribution Allocation Factors'!$B$13:$Y$152,19,FALSE)*$J25,0)+IF($F25&lt;&gt;0,VLOOKUP($H25,'Distribution Allocation Factors'!$B$13:$Y$152,19,FALSE)*$F25,0)</f>
        <v>0</v>
      </c>
      <c r="AC25" s="76">
        <f ca="1">IF($J25&lt;&gt;0,VLOOKUP($L25,'Distribution Allocation Factors'!$B$13:$Y$152,20,FALSE)*$J25,0)+IF($F25&lt;&gt;0,VLOOKUP($H25,'Distribution Allocation Factors'!$B$13:$Y$152,20,FALSE)*$F25,0)</f>
        <v>66.392461470482075</v>
      </c>
      <c r="AD25" s="76">
        <f ca="1">IF($J25&lt;&gt;0,VLOOKUP($L25,'Distribution Allocation Factors'!$B$13:$Y$152,21,FALSE)*$J25,0)+IF($F25&lt;&gt;0,VLOOKUP($H25,'Distribution Allocation Factors'!$B$13:$Y$152,21,FALSE)*$F25,0)</f>
        <v>301.68518406383055</v>
      </c>
      <c r="AE25" s="76">
        <f ca="1">IF($J25&lt;&gt;0,VLOOKUP($L25,'Distribution Allocation Factors'!$B$13:$Y$152,22,FALSE)*$J25,0)+IF($F25&lt;&gt;0,VLOOKUP($H25,'Distribution Allocation Factors'!$B$13:$Y$152,22,FALSE)*$F25,0)</f>
        <v>0</v>
      </c>
      <c r="AF25" s="76">
        <f ca="1">IF($J25&lt;&gt;0,VLOOKUP($L25,'Distribution Allocation Factors'!$B$13:$Y$152,23,FALSE)*$J25,0)+IF($F25&lt;&gt;0,VLOOKUP($H25,'Distribution Allocation Factors'!$B$13:$Y$152,23,FALSE)*$F25,0)</f>
        <v>0</v>
      </c>
      <c r="AG25" s="76">
        <f ca="1">IF($J25&lt;&gt;0,VLOOKUP($L25,'Distribution Allocation Factors'!$B$13:$Y$152,24,FALSE)*$J25,0)+IF($F25&lt;&gt;0,VLOOKUP($H25,'Distribution Allocation Factors'!$B$13:$Y$152,24,FALSE)*$F25,0)</f>
        <v>0</v>
      </c>
      <c r="AH25" s="76">
        <v>0</v>
      </c>
      <c r="AI25" s="106"/>
    </row>
    <row r="26" spans="1:35" x14ac:dyDescent="0.25">
      <c r="B26" s="31" t="s">
        <v>410</v>
      </c>
      <c r="D26" s="76"/>
      <c r="E26" s="76"/>
      <c r="F26" s="76"/>
      <c r="G26" s="76"/>
      <c r="H26" s="116"/>
      <c r="I26" s="76"/>
      <c r="J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106"/>
    </row>
    <row r="27" spans="1:35" x14ac:dyDescent="0.25">
      <c r="A27" s="2">
        <f>A25+1</f>
        <v>10</v>
      </c>
      <c r="B27" s="79" t="s">
        <v>141</v>
      </c>
      <c r="D27" s="76">
        <f ca="1">'Distribution - One Rate Zone'!D27-'Distribution One Rate Zone Gas'!D27</f>
        <v>12619.21223901281</v>
      </c>
      <c r="F27" s="48"/>
      <c r="J27" s="76">
        <f t="shared" ca="1" si="0"/>
        <v>12619.21223901281</v>
      </c>
      <c r="L27" s="2" t="s">
        <v>332</v>
      </c>
      <c r="N27" s="76">
        <f ca="1">IF($J27&lt;&gt;0,VLOOKUP($L27,'Distribution Allocation Factors'!$B$13:$Y$152,5,FALSE)*$J27,0)+IF($F27&lt;&gt;0,VLOOKUP($H27,'Distribution Allocation Factors'!$B$13:$Y$152,5,FALSE)*$F27,0)</f>
        <v>11237.779409960747</v>
      </c>
      <c r="O27" s="76">
        <f ca="1">IF($J27&lt;&gt;0,VLOOKUP($L27,'Distribution Allocation Factors'!$B$13:$Y$152,6,FALSE)*$J27,0)+IF($F27&lt;&gt;0,VLOOKUP($H27,'Distribution Allocation Factors'!$B$13:$Y$152,6,FALSE)*$F27,0)</f>
        <v>98.131559963507698</v>
      </c>
      <c r="P27" s="76">
        <f ca="1">IF($J27&lt;&gt;0,VLOOKUP($L27,'Distribution Allocation Factors'!$B$13:$Y$152,7,FALSE)*$J27,0)+IF($F27&lt;&gt;0,VLOOKUP($H27,'Distribution Allocation Factors'!$B$13:$Y$152,7,FALSE)*$F27,0)</f>
        <v>974.90116271374586</v>
      </c>
      <c r="Q27" s="76"/>
      <c r="R27" s="76"/>
      <c r="S27" s="76">
        <f ca="1">IF($J27&lt;&gt;0,VLOOKUP($L27,'Distribution Allocation Factors'!$B$13:$Y$152,10,FALSE)*$J27,0)+IF($F27&lt;&gt;0,VLOOKUP($H27,'Distribution Allocation Factors'!$B$13:$Y$152,10,FALSE)*$F27,0)</f>
        <v>101.95044838836557</v>
      </c>
      <c r="T27" s="76">
        <f ca="1">IF($J27&lt;&gt;0,VLOOKUP($L27,'Distribution Allocation Factors'!$B$13:$Y$152,11,FALSE)*$J27,0)+IF($F27&lt;&gt;0,VLOOKUP($H27,'Distribution Allocation Factors'!$B$13:$Y$152,11,FALSE)*$F27,0)</f>
        <v>0</v>
      </c>
      <c r="U27" s="76">
        <f ca="1">IF($J27&lt;&gt;0,VLOOKUP($L27,'Distribution Allocation Factors'!$B$13:$Y$152,12,FALSE)*$J27,0)+IF($F27&lt;&gt;0,VLOOKUP($H27,'Distribution Allocation Factors'!$B$13:$Y$152,12,FALSE)*$F27,0)</f>
        <v>62.444649637873923</v>
      </c>
      <c r="V27" s="76">
        <f ca="1">IF($J27&lt;&gt;0,VLOOKUP($L27,'Distribution Allocation Factors'!$B$13:$Y$152,13,FALSE)*$J27,0)+IF($F27&lt;&gt;0,VLOOKUP($H27,'Distribution Allocation Factors'!$B$13:$Y$152,13,FALSE)*$F27,0)</f>
        <v>0</v>
      </c>
      <c r="W27" s="76">
        <f ca="1">IF($J27&lt;&gt;0,VLOOKUP($L27,'Distribution Allocation Factors'!$B$13:$Y$152,14,FALSE)*$J27,0)+IF($F27&lt;&gt;0,VLOOKUP($H27,'Distribution Allocation Factors'!$B$13:$Y$152,14,FALSE)*$F27,0)</f>
        <v>17.841328467963972</v>
      </c>
      <c r="X27" s="76">
        <f ca="1">IF($J27&lt;&gt;0,VLOOKUP($L27,'Distribution Allocation Factors'!$B$13:$Y$152,15,FALSE)*$J27,0)+IF($F27&lt;&gt;0,VLOOKUP($H27,'Distribution Allocation Factors'!$B$13:$Y$152,15,FALSE)*$F27,0)</f>
        <v>0</v>
      </c>
      <c r="Y27" s="76">
        <f ca="1">IF($J27&lt;&gt;0,VLOOKUP($L27,'Distribution Allocation Factors'!$B$13:$Y$152,16,FALSE)*$J27,0)+IF($F27&lt;&gt;0,VLOOKUP($H27,'Distribution Allocation Factors'!$B$13:$Y$152,16,FALSE)*$F27,0)</f>
        <v>66.267791452437635</v>
      </c>
      <c r="Z27" s="76">
        <f ca="1">IF($J27&lt;&gt;0,VLOOKUP($L27,'Distribution Allocation Factors'!$B$13:$Y$152,17,FALSE)*$J27,0)+IF($F27&lt;&gt;0,VLOOKUP($H27,'Distribution Allocation Factors'!$B$13:$Y$152,17,FALSE)*$F27,0)</f>
        <v>52.249604799037357</v>
      </c>
      <c r="AA27" s="76">
        <f ca="1">IF($J27&lt;&gt;0,VLOOKUP($L27,'Distribution Allocation Factors'!$B$13:$Y$152,18,FALSE)*$J27,0)+IF($F27&lt;&gt;0,VLOOKUP($H27,'Distribution Allocation Factors'!$B$13:$Y$152,18,FALSE)*$F27,0)</f>
        <v>0</v>
      </c>
      <c r="AB27" s="76">
        <f ca="1">IF($J27&lt;&gt;0,VLOOKUP($L27,'Distribution Allocation Factors'!$B$13:$Y$152,19,FALSE)*$J27,0)+IF($F27&lt;&gt;0,VLOOKUP($H27,'Distribution Allocation Factors'!$B$13:$Y$152,19,FALSE)*$F27,0)</f>
        <v>0</v>
      </c>
      <c r="AC27" s="76">
        <f ca="1">IF($J27&lt;&gt;0,VLOOKUP($L27,'Distribution Allocation Factors'!$B$13:$Y$152,20,FALSE)*$J27,0)+IF($F27&lt;&gt;0,VLOOKUP($H27,'Distribution Allocation Factors'!$B$13:$Y$152,20,FALSE)*$F27,0)</f>
        <v>6.3719030242728483</v>
      </c>
      <c r="AD27" s="76">
        <f ca="1">IF($J27&lt;&gt;0,VLOOKUP($L27,'Distribution Allocation Factors'!$B$13:$Y$152,21,FALSE)*$J27,0)+IF($F27&lt;&gt;0,VLOOKUP($H27,'Distribution Allocation Factors'!$B$13:$Y$152,21,FALSE)*$F27,0)</f>
        <v>1.2743806048545698</v>
      </c>
      <c r="AE27" s="76">
        <f ca="1">IF($J27&lt;&gt;0,VLOOKUP($L27,'Distribution Allocation Factors'!$B$13:$Y$152,22,FALSE)*$J27,0)+IF($F27&lt;&gt;0,VLOOKUP($H27,'Distribution Allocation Factors'!$B$13:$Y$152,22,FALSE)*$F27,0)</f>
        <v>0</v>
      </c>
      <c r="AF27" s="76">
        <f ca="1">IF($J27&lt;&gt;0,VLOOKUP($L27,'Distribution Allocation Factors'!$B$13:$Y$152,23,FALSE)*$J27,0)+IF($F27&lt;&gt;0,VLOOKUP($H27,'Distribution Allocation Factors'!$B$13:$Y$152,23,FALSE)*$F27,0)</f>
        <v>0</v>
      </c>
      <c r="AG27" s="76">
        <f ca="1">IF($J27&lt;&gt;0,VLOOKUP($L27,'Distribution Allocation Factors'!$B$13:$Y$152,24,FALSE)*$J27,0)+IF($F27&lt;&gt;0,VLOOKUP($H27,'Distribution Allocation Factors'!$B$13:$Y$152,24,FALSE)*$F27,0)</f>
        <v>0</v>
      </c>
      <c r="AH27" s="76">
        <v>0</v>
      </c>
      <c r="AI27" s="106"/>
    </row>
    <row r="28" spans="1:35" x14ac:dyDescent="0.25">
      <c r="A28" s="2">
        <f t="shared" si="1"/>
        <v>11</v>
      </c>
      <c r="B28" s="79" t="s">
        <v>134</v>
      </c>
      <c r="D28" s="76">
        <f ca="1">'Distribution - One Rate Zone'!D28-'Distribution One Rate Zone Gas'!D28</f>
        <v>132202.55170421681</v>
      </c>
      <c r="F28" s="76">
        <f>'Distribution - One Rate Zone'!F28-'Distribution One Rate Zone Gas'!F28</f>
        <v>11616</v>
      </c>
      <c r="H28" s="2" t="s">
        <v>412</v>
      </c>
      <c r="J28" s="76">
        <f t="shared" ca="1" si="0"/>
        <v>120586.55170421681</v>
      </c>
      <c r="L28" s="2" t="s">
        <v>330</v>
      </c>
      <c r="N28" s="76">
        <f ca="1">IF($J28&lt;&gt;0,VLOOKUP($L28,'Distribution Allocation Factors'!$B$13:$Y$152,5,FALSE)*$J28,0)+IF($F28&lt;&gt;0,VLOOKUP($H28,'Distribution Allocation Factors'!$B$13:$Y$152,5,FALSE)*$F28,0)</f>
        <v>128388.76796470529</v>
      </c>
      <c r="O28" s="76">
        <f ca="1">IF($J28&lt;&gt;0,VLOOKUP($L28,'Distribution Allocation Factors'!$B$13:$Y$152,6,FALSE)*$J28,0)+IF($F28&lt;&gt;0,VLOOKUP($H28,'Distribution Allocation Factors'!$B$13:$Y$152,6,FALSE)*$F28,0)</f>
        <v>1121.1280825642546</v>
      </c>
      <c r="P28" s="76">
        <f ca="1">IF($J28&lt;&gt;0,VLOOKUP($L28,'Distribution Allocation Factors'!$B$13:$Y$152,7,FALSE)*$J28,0)+IF($F28&lt;&gt;0,VLOOKUP($H28,'Distribution Allocation Factors'!$B$13:$Y$152,7,FALSE)*$F28,0)</f>
        <v>2029.5955227865581</v>
      </c>
      <c r="Q28" s="76"/>
      <c r="R28" s="76"/>
      <c r="S28" s="76">
        <f ca="1">IF($J28&lt;&gt;0,VLOOKUP($L28,'Distribution Allocation Factors'!$B$13:$Y$152,10,FALSE)*$J28,0)+IF($F28&lt;&gt;0,VLOOKUP($H28,'Distribution Allocation Factors'!$B$13:$Y$152,10,FALSE)*$F28,0)</f>
        <v>212.24528342865972</v>
      </c>
      <c r="T28" s="76">
        <f ca="1">IF($J28&lt;&gt;0,VLOOKUP($L28,'Distribution Allocation Factors'!$B$13:$Y$152,11,FALSE)*$J28,0)+IF($F28&lt;&gt;0,VLOOKUP($H28,'Distribution Allocation Factors'!$B$13:$Y$152,11,FALSE)*$F28,0)</f>
        <v>0</v>
      </c>
      <c r="U28" s="76">
        <f ca="1">IF($J28&lt;&gt;0,VLOOKUP($L28,'Distribution Allocation Factors'!$B$13:$Y$152,12,FALSE)*$J28,0)+IF($F28&lt;&gt;0,VLOOKUP($H28,'Distribution Allocation Factors'!$B$13:$Y$152,12,FALSE)*$F28,0)</f>
        <v>130.00023610005405</v>
      </c>
      <c r="V28" s="76">
        <f ca="1">IF($J28&lt;&gt;0,VLOOKUP($L28,'Distribution Allocation Factors'!$B$13:$Y$152,13,FALSE)*$J28,0)+IF($F28&lt;&gt;0,VLOOKUP($H28,'Distribution Allocation Factors'!$B$13:$Y$152,13,FALSE)*$F28,0)</f>
        <v>0</v>
      </c>
      <c r="W28" s="76">
        <f ca="1">IF($J28&lt;&gt;0,VLOOKUP($L28,'Distribution Allocation Factors'!$B$13:$Y$152,14,FALSE)*$J28,0)+IF($F28&lt;&gt;0,VLOOKUP($H28,'Distribution Allocation Factors'!$B$13:$Y$152,14,FALSE)*$F28,0)</f>
        <v>37.142924600015434</v>
      </c>
      <c r="X28" s="76">
        <f ca="1">IF($J28&lt;&gt;0,VLOOKUP($L28,'Distribution Allocation Factors'!$B$13:$Y$152,15,FALSE)*$J28,0)+IF($F28&lt;&gt;0,VLOOKUP($H28,'Distribution Allocation Factors'!$B$13:$Y$152,15,FALSE)*$F28,0)</f>
        <v>0</v>
      </c>
      <c r="Y28" s="76">
        <f ca="1">IF($J28&lt;&gt;0,VLOOKUP($L28,'Distribution Allocation Factors'!$B$13:$Y$152,16,FALSE)*$J28,0)+IF($F28&lt;&gt;0,VLOOKUP($H28,'Distribution Allocation Factors'!$B$13:$Y$152,16,FALSE)*$F28,0)</f>
        <v>137.95943422862879</v>
      </c>
      <c r="Z28" s="76">
        <f ca="1">IF($J28&lt;&gt;0,VLOOKUP($L28,'Distribution Allocation Factors'!$B$13:$Y$152,17,FALSE)*$J28,0)+IF($F28&lt;&gt;0,VLOOKUP($H28,'Distribution Allocation Factors'!$B$13:$Y$152,17,FALSE)*$F28,0)</f>
        <v>108.77570775718809</v>
      </c>
      <c r="AA28" s="76">
        <f ca="1">IF($J28&lt;&gt;0,VLOOKUP($L28,'Distribution Allocation Factors'!$B$13:$Y$152,18,FALSE)*$J28,0)+IF($F28&lt;&gt;0,VLOOKUP($H28,'Distribution Allocation Factors'!$B$13:$Y$152,18,FALSE)*$F28,0)</f>
        <v>0</v>
      </c>
      <c r="AB28" s="76">
        <f ca="1">IF($J28&lt;&gt;0,VLOOKUP($L28,'Distribution Allocation Factors'!$B$13:$Y$152,19,FALSE)*$J28,0)+IF($F28&lt;&gt;0,VLOOKUP($H28,'Distribution Allocation Factors'!$B$13:$Y$152,19,FALSE)*$F28,0)</f>
        <v>0</v>
      </c>
      <c r="AC28" s="76">
        <f ca="1">IF($J28&lt;&gt;0,VLOOKUP($L28,'Distribution Allocation Factors'!$B$13:$Y$152,20,FALSE)*$J28,0)+IF($F28&lt;&gt;0,VLOOKUP($H28,'Distribution Allocation Factors'!$B$13:$Y$152,20,FALSE)*$F28,0)</f>
        <v>13.265330214291232</v>
      </c>
      <c r="AD28" s="76">
        <f ca="1">IF($J28&lt;&gt;0,VLOOKUP($L28,'Distribution Allocation Factors'!$B$13:$Y$152,21,FALSE)*$J28,0)+IF($F28&lt;&gt;0,VLOOKUP($H28,'Distribution Allocation Factors'!$B$13:$Y$152,21,FALSE)*$F28,0)</f>
        <v>2.6530660428582462</v>
      </c>
      <c r="AE28" s="76">
        <f ca="1">IF($J28&lt;&gt;0,VLOOKUP($L28,'Distribution Allocation Factors'!$B$13:$Y$152,22,FALSE)*$J28,0)+IF($F28&lt;&gt;0,VLOOKUP($H28,'Distribution Allocation Factors'!$B$13:$Y$152,22,FALSE)*$F28,0)</f>
        <v>21.018151788996185</v>
      </c>
      <c r="AF28" s="76">
        <f ca="1">IF($J28&lt;&gt;0,VLOOKUP($L28,'Distribution Allocation Factors'!$B$13:$Y$152,23,FALSE)*$J28,0)+IF($F28&lt;&gt;0,VLOOKUP($H28,'Distribution Allocation Factors'!$B$13:$Y$152,23,FALSE)*$F28,0)</f>
        <v>0</v>
      </c>
      <c r="AG28" s="76">
        <f ca="1">IF($J28&lt;&gt;0,VLOOKUP($L28,'Distribution Allocation Factors'!$B$13:$Y$152,24,FALSE)*$J28,0)+IF($F28&lt;&gt;0,VLOOKUP($H28,'Distribution Allocation Factors'!$B$13:$Y$152,24,FALSE)*$F28,0)</f>
        <v>0</v>
      </c>
      <c r="AH28" s="76">
        <v>0</v>
      </c>
      <c r="AI28" s="106"/>
    </row>
    <row r="29" spans="1:35" x14ac:dyDescent="0.25">
      <c r="A29" s="2">
        <f t="shared" si="1"/>
        <v>12</v>
      </c>
      <c r="B29" s="79" t="s">
        <v>139</v>
      </c>
      <c r="D29" s="76">
        <f ca="1">'Distribution - One Rate Zone'!D29-'Distribution One Rate Zone Gas'!D29</f>
        <v>16855.932785702535</v>
      </c>
      <c r="F29" s="48"/>
      <c r="J29" s="76">
        <f t="shared" ca="1" si="0"/>
        <v>16855.932785702535</v>
      </c>
      <c r="L29" s="2" t="s">
        <v>499</v>
      </c>
      <c r="N29" s="76">
        <f ca="1">IF($J29&lt;&gt;0,VLOOKUP($L29,'Distribution Allocation Factors'!$B$13:$Y$152,5,FALSE)*$J29,0)+IF($F29&lt;&gt;0,VLOOKUP($H29,'Distribution Allocation Factors'!$B$13:$Y$152,5,FALSE)*$F29,0)</f>
        <v>0</v>
      </c>
      <c r="O29" s="76">
        <f ca="1">IF($J29&lt;&gt;0,VLOOKUP($L29,'Distribution Allocation Factors'!$B$13:$Y$152,6,FALSE)*$J29,0)+IF($F29&lt;&gt;0,VLOOKUP($H29,'Distribution Allocation Factors'!$B$13:$Y$152,6,FALSE)*$F29,0)</f>
        <v>0</v>
      </c>
      <c r="P29" s="76">
        <f ca="1">IF($J29&lt;&gt;0,VLOOKUP($L29,'Distribution Allocation Factors'!$B$13:$Y$152,7,FALSE)*$J29,0)+IF($F29&lt;&gt;0,VLOOKUP($H29,'Distribution Allocation Factors'!$B$13:$Y$152,7,FALSE)*$F29,0)</f>
        <v>12805.152513468161</v>
      </c>
      <c r="Q29" s="76"/>
      <c r="R29" s="76"/>
      <c r="S29" s="76">
        <f ca="1">IF($J29&lt;&gt;0,VLOOKUP($L29,'Distribution Allocation Factors'!$B$13:$Y$152,10,FALSE)*$J29,0)+IF($F29&lt;&gt;0,VLOOKUP($H29,'Distribution Allocation Factors'!$B$13:$Y$152,10,FALSE)*$F29,0)</f>
        <v>1339.100916441115</v>
      </c>
      <c r="T29" s="76">
        <f ca="1">IF($J29&lt;&gt;0,VLOOKUP($L29,'Distribution Allocation Factors'!$B$13:$Y$152,11,FALSE)*$J29,0)+IF($F29&lt;&gt;0,VLOOKUP($H29,'Distribution Allocation Factors'!$B$13:$Y$152,11,FALSE)*$F29,0)</f>
        <v>0</v>
      </c>
      <c r="U29" s="76">
        <f ca="1">IF($J29&lt;&gt;0,VLOOKUP($L29,'Distribution Allocation Factors'!$B$13:$Y$152,12,FALSE)*$J29,0)+IF($F29&lt;&gt;0,VLOOKUP($H29,'Distribution Allocation Factors'!$B$13:$Y$152,12,FALSE)*$F29,0)</f>
        <v>820.19931132018291</v>
      </c>
      <c r="V29" s="76">
        <f ca="1">IF($J29&lt;&gt;0,VLOOKUP($L29,'Distribution Allocation Factors'!$B$13:$Y$152,13,FALSE)*$J29,0)+IF($F29&lt;&gt;0,VLOOKUP($H29,'Distribution Allocation Factors'!$B$13:$Y$152,13,FALSE)*$F29,0)</f>
        <v>0</v>
      </c>
      <c r="W29" s="76">
        <f ca="1">IF($J29&lt;&gt;0,VLOOKUP($L29,'Distribution Allocation Factors'!$B$13:$Y$152,14,FALSE)*$J29,0)+IF($F29&lt;&gt;0,VLOOKUP($H29,'Distribution Allocation Factors'!$B$13:$Y$152,14,FALSE)*$F29,0)</f>
        <v>234.3426603771951</v>
      </c>
      <c r="X29" s="76">
        <f ca="1">IF($J29&lt;&gt;0,VLOOKUP($L29,'Distribution Allocation Factors'!$B$13:$Y$152,15,FALSE)*$J29,0)+IF($F29&lt;&gt;0,VLOOKUP($H29,'Distribution Allocation Factors'!$B$13:$Y$152,15,FALSE)*$F29,0)</f>
        <v>0</v>
      </c>
      <c r="Y29" s="76">
        <f ca="1">IF($J29&lt;&gt;0,VLOOKUP($L29,'Distribution Allocation Factors'!$B$13:$Y$152,16,FALSE)*$J29,0)+IF($F29&lt;&gt;0,VLOOKUP($H29,'Distribution Allocation Factors'!$B$13:$Y$152,16,FALSE)*$F29,0)</f>
        <v>870.41559568672471</v>
      </c>
      <c r="Z29" s="76">
        <f ca="1">IF($J29&lt;&gt;0,VLOOKUP($L29,'Distribution Allocation Factors'!$B$13:$Y$152,17,FALSE)*$J29,0)+IF($F29&lt;&gt;0,VLOOKUP($H29,'Distribution Allocation Factors'!$B$13:$Y$152,17,FALSE)*$F29,0)</f>
        <v>686.28921967607141</v>
      </c>
      <c r="AA29" s="76">
        <f ca="1">IF($J29&lt;&gt;0,VLOOKUP($L29,'Distribution Allocation Factors'!$B$13:$Y$152,18,FALSE)*$J29,0)+IF($F29&lt;&gt;0,VLOOKUP($H29,'Distribution Allocation Factors'!$B$13:$Y$152,18,FALSE)*$F29,0)</f>
        <v>0</v>
      </c>
      <c r="AB29" s="76">
        <f ca="1">IF($J29&lt;&gt;0,VLOOKUP($L29,'Distribution Allocation Factors'!$B$13:$Y$152,19,FALSE)*$J29,0)+IF($F29&lt;&gt;0,VLOOKUP($H29,'Distribution Allocation Factors'!$B$13:$Y$152,19,FALSE)*$F29,0)</f>
        <v>0</v>
      </c>
      <c r="AC29" s="76">
        <f ca="1">IF($J29&lt;&gt;0,VLOOKUP($L29,'Distribution Allocation Factors'!$B$13:$Y$152,20,FALSE)*$J29,0)+IF($F29&lt;&gt;0,VLOOKUP($H29,'Distribution Allocation Factors'!$B$13:$Y$152,20,FALSE)*$F29,0)</f>
        <v>83.69380727756969</v>
      </c>
      <c r="AD29" s="76">
        <f ca="1">IF($J29&lt;&gt;0,VLOOKUP($L29,'Distribution Allocation Factors'!$B$13:$Y$152,21,FALSE)*$J29,0)+IF($F29&lt;&gt;0,VLOOKUP($H29,'Distribution Allocation Factors'!$B$13:$Y$152,21,FALSE)*$F29,0)</f>
        <v>16.738761455513938</v>
      </c>
      <c r="AE29" s="76">
        <f ca="1">IF($J29&lt;&gt;0,VLOOKUP($L29,'Distribution Allocation Factors'!$B$13:$Y$152,22,FALSE)*$J29,0)+IF($F29&lt;&gt;0,VLOOKUP($H29,'Distribution Allocation Factors'!$B$13:$Y$152,22,FALSE)*$F29,0)</f>
        <v>0</v>
      </c>
      <c r="AF29" s="76">
        <f ca="1">IF($J29&lt;&gt;0,VLOOKUP($L29,'Distribution Allocation Factors'!$B$13:$Y$152,23,FALSE)*$J29,0)+IF($F29&lt;&gt;0,VLOOKUP($H29,'Distribution Allocation Factors'!$B$13:$Y$152,23,FALSE)*$F29,0)</f>
        <v>0</v>
      </c>
      <c r="AG29" s="76">
        <f ca="1">IF($J29&lt;&gt;0,VLOOKUP($L29,'Distribution Allocation Factors'!$B$13:$Y$152,24,FALSE)*$J29,0)+IF($F29&lt;&gt;0,VLOOKUP($H29,'Distribution Allocation Factors'!$B$13:$Y$152,24,FALSE)*$F29,0)</f>
        <v>0</v>
      </c>
      <c r="AH29" s="76">
        <v>0</v>
      </c>
      <c r="AI29" s="106"/>
    </row>
    <row r="30" spans="1:35" x14ac:dyDescent="0.25">
      <c r="A30" s="2">
        <f t="shared" si="1"/>
        <v>13</v>
      </c>
      <c r="B30" s="31" t="s">
        <v>415</v>
      </c>
      <c r="D30" s="76">
        <f ca="1">'Distribution - One Rate Zone'!D30-'Distribution One Rate Zone Gas'!D30</f>
        <v>0</v>
      </c>
      <c r="F30" s="48"/>
      <c r="J30" s="76">
        <f t="shared" ca="1" si="0"/>
        <v>0</v>
      </c>
      <c r="L30" s="2" t="s">
        <v>500</v>
      </c>
      <c r="N30" s="76">
        <f ca="1">IF($J30&lt;&gt;0,VLOOKUP($L30,'Distribution Allocation Factors'!$B$13:$Y$152,5,FALSE)*$J30,0)+IF($F30&lt;&gt;0,VLOOKUP($H30,'Distribution Allocation Factors'!$B$13:$Y$152,5,FALSE)*$F30,0)</f>
        <v>0</v>
      </c>
      <c r="O30" s="76">
        <f ca="1">IF($J30&lt;&gt;0,VLOOKUP($L30,'Distribution Allocation Factors'!$B$13:$Y$152,6,FALSE)*$J30,0)+IF($F30&lt;&gt;0,VLOOKUP($H30,'Distribution Allocation Factors'!$B$13:$Y$152,6,FALSE)*$F30,0)</f>
        <v>0</v>
      </c>
      <c r="P30" s="76">
        <f ca="1">IF($J30&lt;&gt;0,VLOOKUP($L30,'Distribution Allocation Factors'!$B$13:$Y$152,7,FALSE)*$J30,0)+IF($F30&lt;&gt;0,VLOOKUP($H30,'Distribution Allocation Factors'!$B$13:$Y$152,7,FALSE)*$F30,0)</f>
        <v>0</v>
      </c>
      <c r="Q30" s="76"/>
      <c r="R30" s="76"/>
      <c r="S30" s="76">
        <f ca="1">IF($J30&lt;&gt;0,VLOOKUP($L30,'Distribution Allocation Factors'!$B$13:$Y$152,10,FALSE)*$J30,0)+IF($F30&lt;&gt;0,VLOOKUP($H30,'Distribution Allocation Factors'!$B$13:$Y$152,10,FALSE)*$F30,0)</f>
        <v>0</v>
      </c>
      <c r="T30" s="76">
        <f ca="1">IF($J30&lt;&gt;0,VLOOKUP($L30,'Distribution Allocation Factors'!$B$13:$Y$152,11,FALSE)*$J30,0)+IF($F30&lt;&gt;0,VLOOKUP($H30,'Distribution Allocation Factors'!$B$13:$Y$152,11,FALSE)*$F30,0)</f>
        <v>0</v>
      </c>
      <c r="U30" s="76">
        <f ca="1">IF($J30&lt;&gt;0,VLOOKUP($L30,'Distribution Allocation Factors'!$B$13:$Y$152,12,FALSE)*$J30,0)+IF($F30&lt;&gt;0,VLOOKUP($H30,'Distribution Allocation Factors'!$B$13:$Y$152,12,FALSE)*$F30,0)</f>
        <v>0</v>
      </c>
      <c r="V30" s="76">
        <f ca="1">IF($J30&lt;&gt;0,VLOOKUP($L30,'Distribution Allocation Factors'!$B$13:$Y$152,13,FALSE)*$J30,0)+IF($F30&lt;&gt;0,VLOOKUP($H30,'Distribution Allocation Factors'!$B$13:$Y$152,13,FALSE)*$F30,0)</f>
        <v>0</v>
      </c>
      <c r="W30" s="76">
        <f ca="1">IF($J30&lt;&gt;0,VLOOKUP($L30,'Distribution Allocation Factors'!$B$13:$Y$152,14,FALSE)*$J30,0)+IF($F30&lt;&gt;0,VLOOKUP($H30,'Distribution Allocation Factors'!$B$13:$Y$152,14,FALSE)*$F30,0)</f>
        <v>0</v>
      </c>
      <c r="X30" s="76">
        <f ca="1">IF($J30&lt;&gt;0,VLOOKUP($L30,'Distribution Allocation Factors'!$B$13:$Y$152,15,FALSE)*$J30,0)+IF($F30&lt;&gt;0,VLOOKUP($H30,'Distribution Allocation Factors'!$B$13:$Y$152,15,FALSE)*$F30,0)</f>
        <v>0</v>
      </c>
      <c r="Y30" s="76">
        <f ca="1">IF($J30&lt;&gt;0,VLOOKUP($L30,'Distribution Allocation Factors'!$B$13:$Y$152,16,FALSE)*$J30,0)+IF($F30&lt;&gt;0,VLOOKUP($H30,'Distribution Allocation Factors'!$B$13:$Y$152,16,FALSE)*$F30,0)</f>
        <v>0</v>
      </c>
      <c r="Z30" s="76">
        <f ca="1">IF($J30&lt;&gt;0,VLOOKUP($L30,'Distribution Allocation Factors'!$B$13:$Y$152,17,FALSE)*$J30,0)+IF($F30&lt;&gt;0,VLOOKUP($H30,'Distribution Allocation Factors'!$B$13:$Y$152,17,FALSE)*$F30,0)</f>
        <v>0</v>
      </c>
      <c r="AA30" s="76">
        <f ca="1">IF($J30&lt;&gt;0,VLOOKUP($L30,'Distribution Allocation Factors'!$B$13:$Y$152,18,FALSE)*$J30,0)+IF($F30&lt;&gt;0,VLOOKUP($H30,'Distribution Allocation Factors'!$B$13:$Y$152,18,FALSE)*$F30,0)</f>
        <v>0</v>
      </c>
      <c r="AB30" s="76">
        <f ca="1">IF($J30&lt;&gt;0,VLOOKUP($L30,'Distribution Allocation Factors'!$B$13:$Y$152,19,FALSE)*$J30,0)+IF($F30&lt;&gt;0,VLOOKUP($H30,'Distribution Allocation Factors'!$B$13:$Y$152,19,FALSE)*$F30,0)</f>
        <v>0</v>
      </c>
      <c r="AC30" s="76">
        <f ca="1">IF($J30&lt;&gt;0,VLOOKUP($L30,'Distribution Allocation Factors'!$B$13:$Y$152,20,FALSE)*$J30,0)+IF($F30&lt;&gt;0,VLOOKUP($H30,'Distribution Allocation Factors'!$B$13:$Y$152,20,FALSE)*$F30,0)</f>
        <v>0</v>
      </c>
      <c r="AD30" s="76">
        <f ca="1">IF($J30&lt;&gt;0,VLOOKUP($L30,'Distribution Allocation Factors'!$B$13:$Y$152,21,FALSE)*$J30,0)+IF($F30&lt;&gt;0,VLOOKUP($H30,'Distribution Allocation Factors'!$B$13:$Y$152,21,FALSE)*$F30,0)</f>
        <v>0</v>
      </c>
      <c r="AE30" s="76">
        <f ca="1">IF($J30&lt;&gt;0,VLOOKUP($L30,'Distribution Allocation Factors'!$B$13:$Y$152,22,FALSE)*$J30,0)+IF($F30&lt;&gt;0,VLOOKUP($H30,'Distribution Allocation Factors'!$B$13:$Y$152,22,FALSE)*$F30,0)</f>
        <v>0</v>
      </c>
      <c r="AF30" s="76">
        <f ca="1">IF($J30&lt;&gt;0,VLOOKUP($L30,'Distribution Allocation Factors'!$B$13:$Y$152,23,FALSE)*$J30,0)+IF($F30&lt;&gt;0,VLOOKUP($H30,'Distribution Allocation Factors'!$B$13:$Y$152,23,FALSE)*$F30,0)</f>
        <v>0</v>
      </c>
      <c r="AG30" s="76">
        <f ca="1">IF($J30&lt;&gt;0,VLOOKUP($L30,'Distribution Allocation Factors'!$B$13:$Y$152,24,FALSE)*$J30,0)+IF($F30&lt;&gt;0,VLOOKUP($H30,'Distribution Allocation Factors'!$B$13:$Y$152,24,FALSE)*$F30,0)</f>
        <v>0</v>
      </c>
      <c r="AH30" s="76">
        <v>0</v>
      </c>
      <c r="AI30" s="106"/>
    </row>
    <row r="31" spans="1:35" ht="13" thickBot="1" x14ac:dyDescent="0.3">
      <c r="A31" s="2">
        <f t="shared" si="1"/>
        <v>14</v>
      </c>
      <c r="B31" s="31" t="s">
        <v>417</v>
      </c>
      <c r="D31" s="140">
        <f ca="1">SUM(D16:D30)</f>
        <v>2370309.2073122398</v>
      </c>
      <c r="F31" s="140">
        <f>SUM(F16:F30)</f>
        <v>11616</v>
      </c>
      <c r="J31" s="140">
        <f ca="1">SUM(J16:J30)</f>
        <v>2358693.2073122398</v>
      </c>
      <c r="N31" s="140">
        <f ca="1">SUM(N16:N30)</f>
        <v>1918993.4139275665</v>
      </c>
      <c r="O31" s="140">
        <f t="shared" ref="O31:AG31" ca="1" si="2">SUM(O16:O30)</f>
        <v>268401.20554547082</v>
      </c>
      <c r="P31" s="140">
        <f t="shared" ca="1" si="2"/>
        <v>83409.25506292416</v>
      </c>
      <c r="Q31" s="140"/>
      <c r="R31" s="140"/>
      <c r="S31" s="140">
        <f t="shared" ca="1" si="2"/>
        <v>37431.388398364208</v>
      </c>
      <c r="T31" s="140">
        <f t="shared" ca="1" si="2"/>
        <v>354.56988655916393</v>
      </c>
      <c r="U31" s="140">
        <f t="shared" ca="1" si="2"/>
        <v>10641.12284739781</v>
      </c>
      <c r="V31" s="140">
        <f t="shared" ca="1" si="2"/>
        <v>670.0681130712104</v>
      </c>
      <c r="W31" s="140">
        <f t="shared" ca="1" si="2"/>
        <v>35606.237794357046</v>
      </c>
      <c r="X31" s="140">
        <f t="shared" ca="1" si="2"/>
        <v>1339.9982298717332</v>
      </c>
      <c r="Y31" s="140">
        <f t="shared" ca="1" si="2"/>
        <v>3918.4402525328783</v>
      </c>
      <c r="Z31" s="140">
        <f t="shared" ca="1" si="2"/>
        <v>2665.6259260328029</v>
      </c>
      <c r="AA31" s="140">
        <f t="shared" ca="1" si="2"/>
        <v>0</v>
      </c>
      <c r="AB31" s="140">
        <f t="shared" ca="1" si="2"/>
        <v>299.64336920608292</v>
      </c>
      <c r="AC31" s="140">
        <f t="shared" ca="1" si="2"/>
        <v>2644.9331365353469</v>
      </c>
      <c r="AD31" s="140">
        <f t="shared" ca="1" si="2"/>
        <v>3912.2866705616589</v>
      </c>
      <c r="AE31" s="140">
        <f t="shared" ca="1" si="2"/>
        <v>21.018151788996185</v>
      </c>
      <c r="AF31" s="140">
        <f t="shared" ca="1" si="2"/>
        <v>0</v>
      </c>
      <c r="AG31" s="140">
        <f t="shared" ca="1" si="2"/>
        <v>0</v>
      </c>
      <c r="AH31" s="140">
        <f t="shared" ref="AH31" si="3">SUM(AH16:AH30)</f>
        <v>0</v>
      </c>
      <c r="AI31" s="106"/>
    </row>
    <row r="32" spans="1:35" ht="13" thickTop="1" x14ac:dyDescent="0.25">
      <c r="F32" s="48"/>
      <c r="J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spans="2:35" x14ac:dyDescent="0.25">
      <c r="F33" s="48"/>
      <c r="J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I33" s="48"/>
    </row>
    <row r="34" spans="2:35" x14ac:dyDescent="0.25">
      <c r="D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2:35" ht="13" x14ac:dyDescent="0.3">
      <c r="B35" s="134"/>
      <c r="C35" s="134"/>
      <c r="D35" s="134"/>
      <c r="E35" s="134"/>
      <c r="F35" s="134"/>
      <c r="N35" s="105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2:35" x14ac:dyDescent="0.25"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2:35" ht="13" x14ac:dyDescent="0.3">
      <c r="L37" s="107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2:35" x14ac:dyDescent="0.25"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40" spans="2:35" x14ac:dyDescent="0.25">
      <c r="N40" s="48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F31F-EAA8-454F-B282-7D4A96C8B9F5}">
  <sheetPr>
    <tabColor theme="0" tint="-0.249977111117893"/>
  </sheetPr>
  <dimension ref="A6:AI40"/>
  <sheetViews>
    <sheetView zoomScale="80" zoomScaleNormal="80" workbookViewId="0">
      <selection activeCell="J39" sqref="J39"/>
    </sheetView>
  </sheetViews>
  <sheetFormatPr defaultColWidth="9.1796875" defaultRowHeight="12.5" x14ac:dyDescent="0.25"/>
  <cols>
    <col min="1" max="1" width="5.7265625" style="2" customWidth="1"/>
    <col min="2" max="2" width="44.7265625" style="31" customWidth="1"/>
    <col min="3" max="3" width="1.7265625" style="31" customWidth="1"/>
    <col min="4" max="4" width="20.1796875" style="31" customWidth="1"/>
    <col min="5" max="5" width="1.7265625" style="31" customWidth="1"/>
    <col min="6" max="6" width="17.1796875" style="31" customWidth="1"/>
    <col min="7" max="7" width="1.7265625" style="31" customWidth="1"/>
    <col min="8" max="8" width="19.7265625" style="2" customWidth="1"/>
    <col min="9" max="9" width="1.7265625" style="31" customWidth="1"/>
    <col min="10" max="10" width="17.1796875" style="31" customWidth="1"/>
    <col min="11" max="11" width="1.7265625" style="31" customWidth="1"/>
    <col min="12" max="12" width="20" style="2" customWidth="1"/>
    <col min="13" max="13" width="1.7265625" style="31" customWidth="1"/>
    <col min="14" max="14" width="14" style="31" bestFit="1" customWidth="1"/>
    <col min="15" max="15" width="12.81640625" style="31" customWidth="1"/>
    <col min="16" max="16" width="12.26953125" style="31" bestFit="1" customWidth="1"/>
    <col min="17" max="18" width="10.7265625" style="31" hidden="1" customWidth="1"/>
    <col min="19" max="19" width="12.26953125" style="31" bestFit="1" customWidth="1"/>
    <col min="20" max="20" width="10.7265625" style="31" customWidth="1"/>
    <col min="21" max="21" width="11.26953125" style="31" bestFit="1" customWidth="1"/>
    <col min="22" max="22" width="10.7265625" style="31" customWidth="1"/>
    <col min="23" max="23" width="12.26953125" style="31" bestFit="1" customWidth="1"/>
    <col min="24" max="26" width="10.7265625" style="31" customWidth="1"/>
    <col min="27" max="28" width="10.54296875" style="31" customWidth="1"/>
    <col min="29" max="30" width="11.26953125" style="31" bestFit="1" customWidth="1"/>
    <col min="31" max="31" width="9.1796875" style="31"/>
    <col min="32" max="32" width="11.26953125" style="31" customWidth="1"/>
    <col min="33" max="33" width="10.7265625" style="31" customWidth="1"/>
    <col min="34" max="34" width="9.1796875" style="31"/>
    <col min="35" max="35" width="14.81640625" style="31" customWidth="1"/>
    <col min="36" max="16384" width="9.1796875" style="31"/>
  </cols>
  <sheetData>
    <row r="6" spans="1:35" x14ac:dyDescent="0.25">
      <c r="B6" s="158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35" x14ac:dyDescent="0.25">
      <c r="B7" s="158" t="s">
        <v>502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9" spans="1:35" x14ac:dyDescent="0.25">
      <c r="D9" s="2" t="s">
        <v>337</v>
      </c>
    </row>
    <row r="10" spans="1:35" x14ac:dyDescent="0.25">
      <c r="A10" s="2" t="s">
        <v>6</v>
      </c>
      <c r="D10" s="2" t="s">
        <v>13</v>
      </c>
      <c r="F10" s="2" t="s">
        <v>338</v>
      </c>
      <c r="H10" s="2" t="s">
        <v>339</v>
      </c>
      <c r="I10" s="2"/>
      <c r="J10" s="2" t="s">
        <v>340</v>
      </c>
      <c r="L10" s="2" t="s">
        <v>10</v>
      </c>
      <c r="N10" s="2" t="s">
        <v>426</v>
      </c>
      <c r="O10" s="2" t="s">
        <v>426</v>
      </c>
      <c r="P10" s="2" t="s">
        <v>426</v>
      </c>
      <c r="Q10" s="2"/>
      <c r="R10" s="2"/>
      <c r="S10" s="2" t="s">
        <v>426</v>
      </c>
      <c r="T10" s="2" t="s">
        <v>426</v>
      </c>
      <c r="U10" s="2" t="s">
        <v>426</v>
      </c>
      <c r="V10" s="2" t="s">
        <v>426</v>
      </c>
      <c r="W10" s="2" t="s">
        <v>426</v>
      </c>
      <c r="X10" s="2" t="s">
        <v>426</v>
      </c>
      <c r="Y10" s="2" t="s">
        <v>426</v>
      </c>
      <c r="Z10" s="2" t="s">
        <v>426</v>
      </c>
      <c r="AA10" s="2" t="s">
        <v>426</v>
      </c>
      <c r="AB10" s="2" t="s">
        <v>426</v>
      </c>
      <c r="AC10" s="2" t="s">
        <v>426</v>
      </c>
      <c r="AD10" s="2" t="s">
        <v>426</v>
      </c>
      <c r="AE10" s="2" t="s">
        <v>426</v>
      </c>
      <c r="AF10" s="2" t="s">
        <v>426</v>
      </c>
      <c r="AG10" s="2" t="s">
        <v>426</v>
      </c>
      <c r="AH10" s="2" t="s">
        <v>426</v>
      </c>
    </row>
    <row r="11" spans="1:35" x14ac:dyDescent="0.25">
      <c r="A11" s="33" t="s">
        <v>11</v>
      </c>
      <c r="B11" s="77" t="s">
        <v>12</v>
      </c>
      <c r="D11" s="33" t="s">
        <v>342</v>
      </c>
      <c r="F11" s="33" t="s">
        <v>8</v>
      </c>
      <c r="H11" s="33" t="s">
        <v>14</v>
      </c>
      <c r="I11" s="2"/>
      <c r="J11" s="33" t="s">
        <v>343</v>
      </c>
      <c r="L11" s="33" t="s">
        <v>14</v>
      </c>
      <c r="N11" s="33" t="s">
        <v>427</v>
      </c>
      <c r="O11" s="33" t="s">
        <v>428</v>
      </c>
      <c r="P11" s="33" t="s">
        <v>429</v>
      </c>
      <c r="Q11" s="33"/>
      <c r="R11" s="33"/>
      <c r="S11" s="33" t="s">
        <v>430</v>
      </c>
      <c r="T11" s="33" t="s">
        <v>431</v>
      </c>
      <c r="U11" s="33" t="s">
        <v>432</v>
      </c>
      <c r="V11" s="33" t="s">
        <v>433</v>
      </c>
      <c r="W11" s="33" t="s">
        <v>434</v>
      </c>
      <c r="X11" s="33" t="s">
        <v>435</v>
      </c>
      <c r="Y11" s="33" t="s">
        <v>436</v>
      </c>
      <c r="Z11" s="33" t="s">
        <v>437</v>
      </c>
      <c r="AA11" s="117" t="s">
        <v>438</v>
      </c>
      <c r="AB11" s="33" t="s">
        <v>477</v>
      </c>
      <c r="AC11" s="33" t="s">
        <v>439</v>
      </c>
      <c r="AD11" s="33" t="s">
        <v>440</v>
      </c>
      <c r="AE11" s="33" t="s">
        <v>478</v>
      </c>
      <c r="AF11" s="33" t="s">
        <v>479</v>
      </c>
      <c r="AG11" s="33" t="s">
        <v>480</v>
      </c>
      <c r="AH11" s="33" t="s">
        <v>481</v>
      </c>
    </row>
    <row r="12" spans="1:35" x14ac:dyDescent="0.25">
      <c r="D12" s="81" t="s">
        <v>22</v>
      </c>
      <c r="F12" s="81" t="s">
        <v>23</v>
      </c>
      <c r="H12" s="81" t="s">
        <v>24</v>
      </c>
      <c r="J12" s="81" t="s">
        <v>165</v>
      </c>
      <c r="L12" s="81" t="s">
        <v>26</v>
      </c>
      <c r="N12" s="81" t="s">
        <v>27</v>
      </c>
      <c r="O12" s="81" t="s">
        <v>28</v>
      </c>
      <c r="P12" s="81" t="s">
        <v>29</v>
      </c>
      <c r="S12" s="81" t="s">
        <v>30</v>
      </c>
      <c r="T12" s="81" t="s">
        <v>180</v>
      </c>
      <c r="U12" s="81" t="s">
        <v>181</v>
      </c>
      <c r="V12" s="81" t="s">
        <v>241</v>
      </c>
      <c r="W12" s="81" t="s">
        <v>242</v>
      </c>
      <c r="X12" s="81" t="s">
        <v>285</v>
      </c>
      <c r="Y12" s="81" t="s">
        <v>286</v>
      </c>
      <c r="Z12" s="81" t="s">
        <v>441</v>
      </c>
      <c r="AA12" s="81" t="s">
        <v>442</v>
      </c>
      <c r="AB12" s="81" t="s">
        <v>443</v>
      </c>
      <c r="AC12" s="81" t="s">
        <v>444</v>
      </c>
      <c r="AD12" s="81" t="s">
        <v>487</v>
      </c>
      <c r="AE12" s="81" t="s">
        <v>488</v>
      </c>
      <c r="AF12" s="81" t="s">
        <v>489</v>
      </c>
      <c r="AG12" s="81" t="s">
        <v>490</v>
      </c>
      <c r="AH12" s="81" t="s">
        <v>491</v>
      </c>
    </row>
    <row r="13" spans="1:35" x14ac:dyDescent="0.25">
      <c r="D13" s="2"/>
      <c r="F13" s="81"/>
      <c r="H13" s="81"/>
      <c r="J13" s="81"/>
      <c r="L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5" x14ac:dyDescent="0.25">
      <c r="B14" s="74"/>
      <c r="D14" s="2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106"/>
    </row>
    <row r="15" spans="1:35" x14ac:dyDescent="0.25">
      <c r="B15" s="74" t="s">
        <v>390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106"/>
    </row>
    <row r="16" spans="1:35" x14ac:dyDescent="0.25">
      <c r="A16" s="2">
        <v>1</v>
      </c>
      <c r="B16" s="31" t="s">
        <v>391</v>
      </c>
      <c r="D16" s="76">
        <f ca="1">'Rate Zone Allocation - Gas Cost'!F42</f>
        <v>10709.990086266376</v>
      </c>
      <c r="E16" s="76"/>
      <c r="F16" s="76"/>
      <c r="G16" s="76"/>
      <c r="H16" s="116"/>
      <c r="I16" s="76"/>
      <c r="J16" s="76">
        <f t="shared" ref="J16:J30" ca="1" si="0">D16-F16</f>
        <v>10709.990086266376</v>
      </c>
      <c r="L16" s="2" t="s">
        <v>492</v>
      </c>
      <c r="N16" s="76">
        <f ca="1">IF($J16&lt;&gt;0,VLOOKUP($L16,'Distribution Allocation Factors'!$B$13:$Z$47,5,FALSE)*$J16,0)+IF($F16&lt;&gt;0,VLOOKUP($H16,'Distribution Allocation Factors'!$B$13:$Z$47,5,FALSE)*$F16,0)</f>
        <v>5037.8383417307696</v>
      </c>
      <c r="O16" s="76">
        <f ca="1">IF($J16&lt;&gt;0,VLOOKUP($L16,'Distribution Allocation Factors'!$B$13:$Z$47,6,FALSE)*$J16,0)+IF($F16&lt;&gt;0,VLOOKUP($H16,'Distribution Allocation Factors'!$B$13:$Z$47,6,FALSE)*$F16,0)</f>
        <v>2337.8096605028395</v>
      </c>
      <c r="P16" s="76">
        <f ca="1">IF($J16&lt;&gt;0,VLOOKUP($L16,'Distribution Allocation Factors'!$B$13:$Z$47,7,FALSE)*$J16,0)+IF($F16&lt;&gt;0,VLOOKUP($H16,'Distribution Allocation Factors'!$B$13:$Z$47,7,FALSE)*$F16,0)</f>
        <v>834.89538671814762</v>
      </c>
      <c r="Q16" s="76"/>
      <c r="R16" s="76"/>
      <c r="S16" s="76">
        <f ca="1">IF($J16&lt;&gt;0,VLOOKUP($L16,'Distribution Allocation Factors'!$B$13:$Z$47,10,FALSE)*$J16,0)+IF($F16&lt;&gt;0,VLOOKUP($H16,'Distribution Allocation Factors'!$B$13:$Z$47,10,FALSE)*$F16,0)</f>
        <v>874.4203820667633</v>
      </c>
      <c r="T16" s="76">
        <f ca="1">IF($J16&lt;&gt;0,VLOOKUP($L16,'Distribution Allocation Factors'!$B$13:$Z$47,11,FALSE)*$J16,0)+IF($F16&lt;&gt;0,VLOOKUP($H16,'Distribution Allocation Factors'!$B$13:$Z$47,11,FALSE)*$F16,0)</f>
        <v>0</v>
      </c>
      <c r="U16" s="76">
        <f ca="1">IF($J16&lt;&gt;0,VLOOKUP($L16,'Distribution Allocation Factors'!$B$13:$Z$47,12,FALSE)*$J16,0)+IF($F16&lt;&gt;0,VLOOKUP($H16,'Distribution Allocation Factors'!$B$13:$Z$47,12,FALSE)*$F16,0)</f>
        <v>244.99276013758271</v>
      </c>
      <c r="V16" s="76">
        <f ca="1">IF($J16&lt;&gt;0,VLOOKUP($L16,'Distribution Allocation Factors'!$B$13:$Z$47,13,FALSE)*$J16,0)+IF($F16&lt;&gt;0,VLOOKUP($H16,'Distribution Allocation Factors'!$B$13:$Z$47,13,FALSE)*$F16,0)</f>
        <v>0</v>
      </c>
      <c r="W16" s="76">
        <f ca="1">IF($J16&lt;&gt;0,VLOOKUP($L16,'Distribution Allocation Factors'!$B$13:$Z$47,14,FALSE)*$J16,0)+IF($F16&lt;&gt;0,VLOOKUP($H16,'Distribution Allocation Factors'!$B$13:$Z$47,14,FALSE)*$F16,0)</f>
        <v>1161.3419975378981</v>
      </c>
      <c r="X16" s="76">
        <f ca="1">IF($J16&lt;&gt;0,VLOOKUP($L16,'Distribution Allocation Factors'!$B$13:$Z$47,15,FALSE)*$J16,0)+IF($F16&lt;&gt;0,VLOOKUP($H16,'Distribution Allocation Factors'!$B$13:$Z$47,15,FALSE)*$F16,0)</f>
        <v>0</v>
      </c>
      <c r="Y16" s="76">
        <f ca="1">IF($J16&lt;&gt;0,VLOOKUP($L16,'Distribution Allocation Factors'!$B$13:$Z$47,16,FALSE)*$J16,0)+IF($F16&lt;&gt;0,VLOOKUP($H16,'Distribution Allocation Factors'!$B$13:$Z$47,16,FALSE)*$F16,0)</f>
        <v>6.6628514144802808E-2</v>
      </c>
      <c r="Z16" s="76">
        <f ca="1">IF($J16&lt;&gt;0,VLOOKUP($L16,'Distribution Allocation Factors'!$B$13:$Z$47,17,FALSE)*$J16,0)+IF($F16&lt;&gt;0,VLOOKUP($H16,'Distribution Allocation Factors'!$B$13:$Z$47,17,FALSE)*$F16,0)</f>
        <v>0.89551617480533696</v>
      </c>
      <c r="AA16" s="76">
        <f ca="1">IF($J16&lt;&gt;0,VLOOKUP($L16,'Distribution Allocation Factors'!$B$13:$Z$47,18,FALSE)*$J16,0)+IF($F16&lt;&gt;0,VLOOKUP($H16,'Distribution Allocation Factors'!$B$13:$Z$47,18,FALSE)*$F16,0)</f>
        <v>0</v>
      </c>
      <c r="AB16" s="76">
        <f ca="1">IF($J16&lt;&gt;0,VLOOKUP($L16,'Distribution Allocation Factors'!$B$13:$Z$47,19,FALSE)*$J16,0)+IF($F16&lt;&gt;0,VLOOKUP($H16,'Distribution Allocation Factors'!$B$13:$Z$47,19,FALSE)*$F16,0)</f>
        <v>10.793400366745637</v>
      </c>
      <c r="AC16" s="76">
        <f ca="1">IF($J16&lt;&gt;0,VLOOKUP($L16,'Distribution Allocation Factors'!$B$13:$Z$47,20,FALSE)*$J16,0)+IF($F16&lt;&gt;0,VLOOKUP($H16,'Distribution Allocation Factors'!$B$13:$Z$47,20,FALSE)*$F16,0)</f>
        <v>83.135613855668112</v>
      </c>
      <c r="AD16" s="76">
        <f ca="1">IF($J16&lt;&gt;0,VLOOKUP($L16,'Distribution Allocation Factors'!$B$13:$Z$47,21,FALSE)*$J16,0)+IF($F16&lt;&gt;0,VLOOKUP($H16,'Distribution Allocation Factors'!$B$13:$Z$47,21,FALSE)*$F16,0)</f>
        <v>123.8003986610111</v>
      </c>
      <c r="AE16" s="76">
        <f ca="1">IF($J16&lt;&gt;0,VLOOKUP($L16,'Distribution Allocation Factors'!$B$13:$Z$47,22,FALSE)*$J16,0)+IF($F16&lt;&gt;0,VLOOKUP($H16,'Distribution Allocation Factors'!$B$13:$Z$47,22,FALSE)*$F16,0)</f>
        <v>0</v>
      </c>
      <c r="AF16" s="76">
        <f ca="1">IF($J16&lt;&gt;0,VLOOKUP($L16,'Distribution Allocation Factors'!$B$13:$Z$47,23,FALSE)*$J16,0)+IF($F16&lt;&gt;0,VLOOKUP($H16,'Distribution Allocation Factors'!$B$13:$Z$47,23,FALSE)*$F16,0)</f>
        <v>0</v>
      </c>
      <c r="AG16" s="76">
        <f ca="1">IF($J16&lt;&gt;0,VLOOKUP($L16,'Distribution Allocation Factors'!$B$13:$Z$47,24,FALSE)*$J16,0)+IF($F16&lt;&gt;0,VLOOKUP($H16,'Distribution Allocation Factors'!$B$13:$Z$47,24,FALSE)*$F16,0)</f>
        <v>0</v>
      </c>
      <c r="AH16" s="76">
        <v>0</v>
      </c>
      <c r="AI16" s="106"/>
    </row>
    <row r="17" spans="1:35" x14ac:dyDescent="0.25">
      <c r="A17" s="2">
        <f>A16+1</f>
        <v>2</v>
      </c>
      <c r="B17" s="31" t="s">
        <v>393</v>
      </c>
      <c r="D17" s="76">
        <f ca="1">'Rate Zone Allocation - Gas Cost'!F43</f>
        <v>0</v>
      </c>
      <c r="E17" s="76"/>
      <c r="F17" s="76"/>
      <c r="G17" s="76"/>
      <c r="H17" s="116"/>
      <c r="I17" s="76"/>
      <c r="J17" s="76">
        <f t="shared" ca="1" si="0"/>
        <v>0</v>
      </c>
      <c r="L17" s="2" t="s">
        <v>493</v>
      </c>
      <c r="N17" s="76">
        <f ca="1">IF($J17&lt;&gt;0,VLOOKUP($L17,'Distribution Allocation Factors'!$B$13:$Z$47,5,FALSE)*$J17,0)+IF($F17&lt;&gt;0,VLOOKUP($H17,'Distribution Allocation Factors'!$B$13:$Z$47,5,FALSE)*$F17,0)</f>
        <v>0</v>
      </c>
      <c r="O17" s="76">
        <f ca="1">IF($J17&lt;&gt;0,VLOOKUP($L17,'Distribution Allocation Factors'!$B$13:$Z$47,6,FALSE)*$J17,0)+IF($F17&lt;&gt;0,VLOOKUP($H17,'Distribution Allocation Factors'!$B$13:$Z$47,6,FALSE)*$F17,0)</f>
        <v>0</v>
      </c>
      <c r="P17" s="76">
        <f ca="1">IF($J17&lt;&gt;0,VLOOKUP($L17,'Distribution Allocation Factors'!$B$13:$Z$47,7,FALSE)*$J17,0)+IF($F17&lt;&gt;0,VLOOKUP($H17,'Distribution Allocation Factors'!$B$13:$Z$47,7,FALSE)*$F17,0)</f>
        <v>0</v>
      </c>
      <c r="Q17" s="76"/>
      <c r="R17" s="76"/>
      <c r="S17" s="76">
        <f ca="1">IF($J17&lt;&gt;0,VLOOKUP($L17,'Distribution Allocation Factors'!$B$13:$Z$47,10,FALSE)*$J17,0)+IF($F17&lt;&gt;0,VLOOKUP($H17,'Distribution Allocation Factors'!$B$13:$Z$47,10,FALSE)*$F17,0)</f>
        <v>0</v>
      </c>
      <c r="T17" s="76">
        <f ca="1">IF($J17&lt;&gt;0,VLOOKUP($L17,'Distribution Allocation Factors'!$B$13:$Z$47,11,FALSE)*$J17,0)+IF($F17&lt;&gt;0,VLOOKUP($H17,'Distribution Allocation Factors'!$B$13:$Z$47,11,FALSE)*$F17,0)</f>
        <v>0</v>
      </c>
      <c r="U17" s="76">
        <f ca="1">IF($J17&lt;&gt;0,VLOOKUP($L17,'Distribution Allocation Factors'!$B$13:$Z$47,12,FALSE)*$J17,0)+IF($F17&lt;&gt;0,VLOOKUP($H17,'Distribution Allocation Factors'!$B$13:$Z$47,12,FALSE)*$F17,0)</f>
        <v>0</v>
      </c>
      <c r="V17" s="76">
        <f ca="1">IF($J17&lt;&gt;0,VLOOKUP($L17,'Distribution Allocation Factors'!$B$13:$Z$47,13,FALSE)*$J17,0)+IF($F17&lt;&gt;0,VLOOKUP($H17,'Distribution Allocation Factors'!$B$13:$Z$47,13,FALSE)*$F17,0)</f>
        <v>0</v>
      </c>
      <c r="W17" s="76">
        <f ca="1">IF($J17&lt;&gt;0,VLOOKUP($L17,'Distribution Allocation Factors'!$B$13:$Z$47,14,FALSE)*$J17,0)+IF($F17&lt;&gt;0,VLOOKUP($H17,'Distribution Allocation Factors'!$B$13:$Z$47,14,FALSE)*$F17,0)</f>
        <v>0</v>
      </c>
      <c r="X17" s="76">
        <f ca="1">IF($J17&lt;&gt;0,VLOOKUP($L17,'Distribution Allocation Factors'!$B$13:$Z$47,15,FALSE)*$J17,0)+IF($F17&lt;&gt;0,VLOOKUP($H17,'Distribution Allocation Factors'!$B$13:$Z$47,15,FALSE)*$F17,0)</f>
        <v>0</v>
      </c>
      <c r="Y17" s="76">
        <f ca="1">IF($J17&lt;&gt;0,VLOOKUP($L17,'Distribution Allocation Factors'!$B$13:$Z$47,16,FALSE)*$J17,0)+IF($F17&lt;&gt;0,VLOOKUP($H17,'Distribution Allocation Factors'!$B$13:$Z$47,16,FALSE)*$F17,0)</f>
        <v>0</v>
      </c>
      <c r="Z17" s="76">
        <f ca="1">IF($J17&lt;&gt;0,VLOOKUP($L17,'Distribution Allocation Factors'!$B$13:$Z$47,17,FALSE)*$J17,0)+IF($F17&lt;&gt;0,VLOOKUP($H17,'Distribution Allocation Factors'!$B$13:$Z$47,17,FALSE)*$F17,0)</f>
        <v>0</v>
      </c>
      <c r="AA17" s="76">
        <f ca="1">IF($J17&lt;&gt;0,VLOOKUP($L17,'Distribution Allocation Factors'!$B$13:$Z$47,18,FALSE)*$J17,0)+IF($F17&lt;&gt;0,VLOOKUP($H17,'Distribution Allocation Factors'!$B$13:$Z$47,18,FALSE)*$F17,0)</f>
        <v>0</v>
      </c>
      <c r="AB17" s="76">
        <f ca="1">IF($J17&lt;&gt;0,VLOOKUP($L17,'Distribution Allocation Factors'!$B$13:$Z$47,19,FALSE)*$J17,0)+IF($F17&lt;&gt;0,VLOOKUP($H17,'Distribution Allocation Factors'!$B$13:$Z$47,19,FALSE)*$F17,0)</f>
        <v>0</v>
      </c>
      <c r="AC17" s="76">
        <f ca="1">IF($J17&lt;&gt;0,VLOOKUP($L17,'Distribution Allocation Factors'!$B$13:$Z$47,20,FALSE)*$J17,0)+IF($F17&lt;&gt;0,VLOOKUP($H17,'Distribution Allocation Factors'!$B$13:$Z$47,20,FALSE)*$F17,0)</f>
        <v>0</v>
      </c>
      <c r="AD17" s="76">
        <f ca="1">IF($J17&lt;&gt;0,VLOOKUP($L17,'Distribution Allocation Factors'!$B$13:$Z$47,21,FALSE)*$J17,0)+IF($F17&lt;&gt;0,VLOOKUP($H17,'Distribution Allocation Factors'!$B$13:$Z$47,21,FALSE)*$F17,0)</f>
        <v>0</v>
      </c>
      <c r="AE17" s="76">
        <f ca="1">IF($J17&lt;&gt;0,VLOOKUP($L17,'Distribution Allocation Factors'!$B$13:$Z$47,22,FALSE)*$J17,0)+IF($F17&lt;&gt;0,VLOOKUP($H17,'Distribution Allocation Factors'!$B$13:$Z$47,22,FALSE)*$F17,0)</f>
        <v>0</v>
      </c>
      <c r="AF17" s="76">
        <f ca="1">IF($J17&lt;&gt;0,VLOOKUP($L17,'Distribution Allocation Factors'!$B$13:$Z$47,23,FALSE)*$J17,0)+IF($F17&lt;&gt;0,VLOOKUP($H17,'Distribution Allocation Factors'!$B$13:$Z$47,23,FALSE)*$F17,0)</f>
        <v>0</v>
      </c>
      <c r="AG17" s="76">
        <f ca="1">IF($J17&lt;&gt;0,VLOOKUP($L17,'Distribution Allocation Factors'!$B$13:$Z$47,24,FALSE)*$J17,0)+IF($F17&lt;&gt;0,VLOOKUP($H17,'Distribution Allocation Factors'!$B$13:$Z$47,24,FALSE)*$F17,0)</f>
        <v>0</v>
      </c>
      <c r="AH17" s="76">
        <v>0</v>
      </c>
      <c r="AI17" s="106"/>
    </row>
    <row r="18" spans="1:35" x14ac:dyDescent="0.25">
      <c r="A18" s="2">
        <f t="shared" ref="A18:A31" si="1">A17+1</f>
        <v>3</v>
      </c>
      <c r="B18" s="31" t="s">
        <v>395</v>
      </c>
      <c r="D18" s="76">
        <f ca="1">'Rate Zone Allocation - Gas Cost'!F44</f>
        <v>0</v>
      </c>
      <c r="E18" s="76"/>
      <c r="F18" s="76"/>
      <c r="G18" s="76"/>
      <c r="H18" s="116"/>
      <c r="I18" s="76"/>
      <c r="J18" s="76">
        <f t="shared" ca="1" si="0"/>
        <v>0</v>
      </c>
      <c r="L18" s="2" t="s">
        <v>494</v>
      </c>
      <c r="N18" s="76">
        <f ca="1">IF($J18&lt;&gt;0,VLOOKUP($L18,'Distribution Allocation Factors'!$B$13:$Z$47,5,FALSE)*$J18,0)+IF($F18&lt;&gt;0,VLOOKUP($H18,'Distribution Allocation Factors'!$B$13:$Z$47,5,FALSE)*$F18,0)</f>
        <v>0</v>
      </c>
      <c r="O18" s="76">
        <f ca="1">IF($J18&lt;&gt;0,VLOOKUP($L18,'Distribution Allocation Factors'!$B$13:$Z$47,6,FALSE)*$J18,0)+IF($F18&lt;&gt;0,VLOOKUP($H18,'Distribution Allocation Factors'!$B$13:$Z$47,6,FALSE)*$F18,0)</f>
        <v>0</v>
      </c>
      <c r="P18" s="76">
        <f ca="1">IF($J18&lt;&gt;0,VLOOKUP($L18,'Distribution Allocation Factors'!$B$13:$Z$47,7,FALSE)*$J18,0)+IF($F18&lt;&gt;0,VLOOKUP($H18,'Distribution Allocation Factors'!$B$13:$Z$47,7,FALSE)*$F18,0)</f>
        <v>0</v>
      </c>
      <c r="Q18" s="76"/>
      <c r="R18" s="76"/>
      <c r="S18" s="76">
        <f ca="1">IF($J18&lt;&gt;0,VLOOKUP($L18,'Distribution Allocation Factors'!$B$13:$Z$47,10,FALSE)*$J18,0)+IF($F18&lt;&gt;0,VLOOKUP($H18,'Distribution Allocation Factors'!$B$13:$Z$47,10,FALSE)*$F18,0)</f>
        <v>0</v>
      </c>
      <c r="T18" s="76">
        <f ca="1">IF($J18&lt;&gt;0,VLOOKUP($L18,'Distribution Allocation Factors'!$B$13:$Z$47,11,FALSE)*$J18,0)+IF($F18&lt;&gt;0,VLOOKUP($H18,'Distribution Allocation Factors'!$B$13:$Z$47,11,FALSE)*$F18,0)</f>
        <v>0</v>
      </c>
      <c r="U18" s="76">
        <f ca="1">IF($J18&lt;&gt;0,VLOOKUP($L18,'Distribution Allocation Factors'!$B$13:$Z$47,12,FALSE)*$J18,0)+IF($F18&lt;&gt;0,VLOOKUP($H18,'Distribution Allocation Factors'!$B$13:$Z$47,12,FALSE)*$F18,0)</f>
        <v>0</v>
      </c>
      <c r="V18" s="76">
        <f ca="1">IF($J18&lt;&gt;0,VLOOKUP($L18,'Distribution Allocation Factors'!$B$13:$Z$47,13,FALSE)*$J18,0)+IF($F18&lt;&gt;0,VLOOKUP($H18,'Distribution Allocation Factors'!$B$13:$Z$47,13,FALSE)*$F18,0)</f>
        <v>0</v>
      </c>
      <c r="W18" s="76">
        <f ca="1">IF($J18&lt;&gt;0,VLOOKUP($L18,'Distribution Allocation Factors'!$B$13:$Z$47,14,FALSE)*$J18,0)+IF($F18&lt;&gt;0,VLOOKUP($H18,'Distribution Allocation Factors'!$B$13:$Z$47,14,FALSE)*$F18,0)</f>
        <v>0</v>
      </c>
      <c r="X18" s="76">
        <f ca="1">IF($J18&lt;&gt;0,VLOOKUP($L18,'Distribution Allocation Factors'!$B$13:$Z$47,15,FALSE)*$J18,0)+IF($F18&lt;&gt;0,VLOOKUP($H18,'Distribution Allocation Factors'!$B$13:$Z$47,15,FALSE)*$F18,0)</f>
        <v>0</v>
      </c>
      <c r="Y18" s="76">
        <f ca="1">IF($J18&lt;&gt;0,VLOOKUP($L18,'Distribution Allocation Factors'!$B$13:$Z$47,16,FALSE)*$J18,0)+IF($F18&lt;&gt;0,VLOOKUP($H18,'Distribution Allocation Factors'!$B$13:$Z$47,16,FALSE)*$F18,0)</f>
        <v>0</v>
      </c>
      <c r="Z18" s="76">
        <f ca="1">IF($J18&lt;&gt;0,VLOOKUP($L18,'Distribution Allocation Factors'!$B$13:$Z$47,17,FALSE)*$J18,0)+IF($F18&lt;&gt;0,VLOOKUP($H18,'Distribution Allocation Factors'!$B$13:$Z$47,17,FALSE)*$F18,0)</f>
        <v>0</v>
      </c>
      <c r="AA18" s="76">
        <f ca="1">IF($J18&lt;&gt;0,VLOOKUP($L18,'Distribution Allocation Factors'!$B$13:$Z$47,18,FALSE)*$J18,0)+IF($F18&lt;&gt;0,VLOOKUP($H18,'Distribution Allocation Factors'!$B$13:$Z$47,18,FALSE)*$F18,0)</f>
        <v>0</v>
      </c>
      <c r="AB18" s="76">
        <f ca="1">IF($J18&lt;&gt;0,VLOOKUP($L18,'Distribution Allocation Factors'!$B$13:$Z$47,19,FALSE)*$J18,0)+IF($F18&lt;&gt;0,VLOOKUP($H18,'Distribution Allocation Factors'!$B$13:$Z$47,19,FALSE)*$F18,0)</f>
        <v>0</v>
      </c>
      <c r="AC18" s="76">
        <f ca="1">IF($J18&lt;&gt;0,VLOOKUP($L18,'Distribution Allocation Factors'!$B$13:$Z$47,20,FALSE)*$J18,0)+IF($F18&lt;&gt;0,VLOOKUP($H18,'Distribution Allocation Factors'!$B$13:$Z$47,20,FALSE)*$F18,0)</f>
        <v>0</v>
      </c>
      <c r="AD18" s="76">
        <f ca="1">IF($J18&lt;&gt;0,VLOOKUP($L18,'Distribution Allocation Factors'!$B$13:$Z$47,21,FALSE)*$J18,0)+IF($F18&lt;&gt;0,VLOOKUP($H18,'Distribution Allocation Factors'!$B$13:$Z$47,21,FALSE)*$F18,0)</f>
        <v>0</v>
      </c>
      <c r="AE18" s="76">
        <f ca="1">IF($J18&lt;&gt;0,VLOOKUP($L18,'Distribution Allocation Factors'!$B$13:$Z$47,22,FALSE)*$J18,0)+IF($F18&lt;&gt;0,VLOOKUP($H18,'Distribution Allocation Factors'!$B$13:$Z$47,22,FALSE)*$F18,0)</f>
        <v>0</v>
      </c>
      <c r="AF18" s="76">
        <f ca="1">IF($J18&lt;&gt;0,VLOOKUP($L18,'Distribution Allocation Factors'!$B$13:$Z$47,23,FALSE)*$J18,0)+IF($F18&lt;&gt;0,VLOOKUP($H18,'Distribution Allocation Factors'!$B$13:$Z$47,23,FALSE)*$F18,0)</f>
        <v>0</v>
      </c>
      <c r="AG18" s="76">
        <f ca="1">IF($J18&lt;&gt;0,VLOOKUP($L18,'Distribution Allocation Factors'!$B$13:$Z$47,24,FALSE)*$J18,0)+IF($F18&lt;&gt;0,VLOOKUP($H18,'Distribution Allocation Factors'!$B$13:$Z$47,24,FALSE)*$F18,0)</f>
        <v>0</v>
      </c>
      <c r="AH18" s="76">
        <v>0</v>
      </c>
      <c r="AI18" s="106"/>
    </row>
    <row r="19" spans="1:35" x14ac:dyDescent="0.25">
      <c r="B19" s="31" t="s">
        <v>397</v>
      </c>
      <c r="D19" s="76"/>
      <c r="E19" s="76"/>
      <c r="F19" s="76"/>
      <c r="G19" s="76"/>
      <c r="H19" s="116"/>
      <c r="I19" s="76"/>
      <c r="J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106"/>
    </row>
    <row r="20" spans="1:35" x14ac:dyDescent="0.25">
      <c r="A20" s="2">
        <f>A18+1</f>
        <v>4</v>
      </c>
      <c r="B20" s="79" t="s">
        <v>398</v>
      </c>
      <c r="D20" s="76">
        <f ca="1">'Rate Zone Allocation - Gas Cost'!F46</f>
        <v>0</v>
      </c>
      <c r="E20" s="76"/>
      <c r="F20" s="76"/>
      <c r="G20" s="76"/>
      <c r="H20" s="116"/>
      <c r="I20" s="76"/>
      <c r="J20" s="76">
        <f t="shared" ca="1" si="0"/>
        <v>0</v>
      </c>
      <c r="L20" s="2" t="s">
        <v>495</v>
      </c>
      <c r="N20" s="76">
        <f ca="1">IF($J20&lt;&gt;0,VLOOKUP($L20,'Distribution Allocation Factors'!$B$13:$Z$47,5,FALSE)*$J20,0)+IF($F20&lt;&gt;0,VLOOKUP($H20,'Distribution Allocation Factors'!$B$13:$Z$47,5,FALSE)*$F20,0)</f>
        <v>0</v>
      </c>
      <c r="O20" s="76">
        <f ca="1">IF($J20&lt;&gt;0,VLOOKUP($L20,'Distribution Allocation Factors'!$B$13:$Z$47,6,FALSE)*$J20,0)+IF($F20&lt;&gt;0,VLOOKUP($H20,'Distribution Allocation Factors'!$B$13:$Z$47,6,FALSE)*$F20,0)</f>
        <v>0</v>
      </c>
      <c r="P20" s="76">
        <f ca="1">IF($J20&lt;&gt;0,VLOOKUP($L20,'Distribution Allocation Factors'!$B$13:$Z$47,7,FALSE)*$J20,0)+IF($F20&lt;&gt;0,VLOOKUP($H20,'Distribution Allocation Factors'!$B$13:$Z$47,7,FALSE)*$F20,0)</f>
        <v>0</v>
      </c>
      <c r="Q20" s="76"/>
      <c r="R20" s="76"/>
      <c r="S20" s="76">
        <f ca="1">IF($J20&lt;&gt;0,VLOOKUP($L20,'Distribution Allocation Factors'!$B$13:$Z$47,10,FALSE)*$J20,0)+IF($F20&lt;&gt;0,VLOOKUP($H20,'Distribution Allocation Factors'!$B$13:$Z$47,10,FALSE)*$F20,0)</f>
        <v>0</v>
      </c>
      <c r="T20" s="76">
        <f ca="1">IF($J20&lt;&gt;0,VLOOKUP($L20,'Distribution Allocation Factors'!$B$13:$Z$47,11,FALSE)*$J20,0)+IF($F20&lt;&gt;0,VLOOKUP($H20,'Distribution Allocation Factors'!$B$13:$Z$47,11,FALSE)*$F20,0)</f>
        <v>0</v>
      </c>
      <c r="U20" s="76">
        <f ca="1">IF($J20&lt;&gt;0,VLOOKUP($L20,'Distribution Allocation Factors'!$B$13:$Z$47,12,FALSE)*$J20,0)+IF($F20&lt;&gt;0,VLOOKUP($H20,'Distribution Allocation Factors'!$B$13:$Z$47,12,FALSE)*$F20,0)</f>
        <v>0</v>
      </c>
      <c r="V20" s="76">
        <f ca="1">IF($J20&lt;&gt;0,VLOOKUP($L20,'Distribution Allocation Factors'!$B$13:$Z$47,13,FALSE)*$J20,0)+IF($F20&lt;&gt;0,VLOOKUP($H20,'Distribution Allocation Factors'!$B$13:$Z$47,13,FALSE)*$F20,0)</f>
        <v>0</v>
      </c>
      <c r="W20" s="76">
        <f ca="1">IF($J20&lt;&gt;0,VLOOKUP($L20,'Distribution Allocation Factors'!$B$13:$Z$47,14,FALSE)*$J20,0)+IF($F20&lt;&gt;0,VLOOKUP($H20,'Distribution Allocation Factors'!$B$13:$Z$47,14,FALSE)*$F20,0)</f>
        <v>0</v>
      </c>
      <c r="X20" s="76">
        <f ca="1">IF($J20&lt;&gt;0,VLOOKUP($L20,'Distribution Allocation Factors'!$B$13:$Z$47,15,FALSE)*$J20,0)+IF($F20&lt;&gt;0,VLOOKUP($H20,'Distribution Allocation Factors'!$B$13:$Z$47,15,FALSE)*$F20,0)</f>
        <v>0</v>
      </c>
      <c r="Y20" s="76">
        <f ca="1">IF($J20&lt;&gt;0,VLOOKUP($L20,'Distribution Allocation Factors'!$B$13:$Z$47,16,FALSE)*$J20,0)+IF($F20&lt;&gt;0,VLOOKUP($H20,'Distribution Allocation Factors'!$B$13:$Z$47,16,FALSE)*$F20,0)</f>
        <v>0</v>
      </c>
      <c r="Z20" s="76">
        <f ca="1">IF($J20&lt;&gt;0,VLOOKUP($L20,'Distribution Allocation Factors'!$B$13:$Z$47,17,FALSE)*$J20,0)+IF($F20&lt;&gt;0,VLOOKUP($H20,'Distribution Allocation Factors'!$B$13:$Z$47,17,FALSE)*$F20,0)</f>
        <v>0</v>
      </c>
      <c r="AA20" s="76">
        <f ca="1">IF($J20&lt;&gt;0,VLOOKUP($L20,'Distribution Allocation Factors'!$B$13:$Z$47,18,FALSE)*$J20,0)+IF($F20&lt;&gt;0,VLOOKUP($H20,'Distribution Allocation Factors'!$B$13:$Z$47,18,FALSE)*$F20,0)</f>
        <v>0</v>
      </c>
      <c r="AB20" s="76">
        <f ca="1">IF($J20&lt;&gt;0,VLOOKUP($L20,'Distribution Allocation Factors'!$B$13:$Z$47,19,FALSE)*$J20,0)+IF($F20&lt;&gt;0,VLOOKUP($H20,'Distribution Allocation Factors'!$B$13:$Z$47,19,FALSE)*$F20,0)</f>
        <v>0</v>
      </c>
      <c r="AC20" s="76">
        <f ca="1">IF($J20&lt;&gt;0,VLOOKUP($L20,'Distribution Allocation Factors'!$B$13:$Z$47,20,FALSE)*$J20,0)+IF($F20&lt;&gt;0,VLOOKUP($H20,'Distribution Allocation Factors'!$B$13:$Z$47,20,FALSE)*$F20,0)</f>
        <v>0</v>
      </c>
      <c r="AD20" s="76">
        <f ca="1">IF($J20&lt;&gt;0,VLOOKUP($L20,'Distribution Allocation Factors'!$B$13:$Z$47,21,FALSE)*$J20,0)+IF($F20&lt;&gt;0,VLOOKUP($H20,'Distribution Allocation Factors'!$B$13:$Z$47,21,FALSE)*$F20,0)</f>
        <v>0</v>
      </c>
      <c r="AE20" s="76">
        <f ca="1">IF($J20&lt;&gt;0,VLOOKUP($L20,'Distribution Allocation Factors'!$B$13:$Z$47,22,FALSE)*$J20,0)+IF($F20&lt;&gt;0,VLOOKUP($H20,'Distribution Allocation Factors'!$B$13:$Z$47,22,FALSE)*$F20,0)</f>
        <v>0</v>
      </c>
      <c r="AF20" s="76">
        <f ca="1">IF($J20&lt;&gt;0,VLOOKUP($L20,'Distribution Allocation Factors'!$B$13:$Z$47,23,FALSE)*$J20,0)+IF($F20&lt;&gt;0,VLOOKUP($H20,'Distribution Allocation Factors'!$B$13:$Z$47,23,FALSE)*$F20,0)</f>
        <v>0</v>
      </c>
      <c r="AG20" s="76">
        <f ca="1">IF($J20&lt;&gt;0,VLOOKUP($L20,'Distribution Allocation Factors'!$B$13:$Z$47,24,FALSE)*$J20,0)+IF($F20&lt;&gt;0,VLOOKUP($H20,'Distribution Allocation Factors'!$B$13:$Z$47,24,FALSE)*$F20,0)</f>
        <v>0</v>
      </c>
      <c r="AH20" s="76">
        <v>0</v>
      </c>
      <c r="AI20" s="106"/>
    </row>
    <row r="21" spans="1:35" x14ac:dyDescent="0.25">
      <c r="A21" s="2">
        <f t="shared" si="1"/>
        <v>5</v>
      </c>
      <c r="B21" s="79" t="s">
        <v>400</v>
      </c>
      <c r="D21" s="76">
        <f ca="1">'Rate Zone Allocation - Gas Cost'!F47</f>
        <v>0</v>
      </c>
      <c r="E21" s="76"/>
      <c r="F21" s="76"/>
      <c r="G21" s="76"/>
      <c r="H21" s="116"/>
      <c r="I21" s="76"/>
      <c r="J21" s="76">
        <f t="shared" ca="1" si="0"/>
        <v>0</v>
      </c>
      <c r="L21" s="2" t="s">
        <v>496</v>
      </c>
      <c r="N21" s="76">
        <f ca="1">IF($J21&lt;&gt;0,VLOOKUP($L21,'Distribution Allocation Factors'!$B$13:$Z$47,5,FALSE)*$J21,0)+IF($F21&lt;&gt;0,VLOOKUP($H21,'Distribution Allocation Factors'!$B$13:$Z$47,5,FALSE)*$F21,0)</f>
        <v>0</v>
      </c>
      <c r="O21" s="76">
        <f ca="1">IF($J21&lt;&gt;0,VLOOKUP($L21,'Distribution Allocation Factors'!$B$13:$Z$47,6,FALSE)*$J21,0)+IF($F21&lt;&gt;0,VLOOKUP($H21,'Distribution Allocation Factors'!$B$13:$Z$47,6,FALSE)*$F21,0)</f>
        <v>0</v>
      </c>
      <c r="P21" s="76">
        <f ca="1">IF($J21&lt;&gt;0,VLOOKUP($L21,'Distribution Allocation Factors'!$B$13:$Z$47,7,FALSE)*$J21,0)+IF($F21&lt;&gt;0,VLOOKUP($H21,'Distribution Allocation Factors'!$B$13:$Z$47,7,FALSE)*$F21,0)</f>
        <v>0</v>
      </c>
      <c r="Q21" s="76"/>
      <c r="R21" s="76"/>
      <c r="S21" s="76">
        <f ca="1">IF($J21&lt;&gt;0,VLOOKUP($L21,'Distribution Allocation Factors'!$B$13:$Z$47,10,FALSE)*$J21,0)+IF($F21&lt;&gt;0,VLOOKUP($H21,'Distribution Allocation Factors'!$B$13:$Z$47,10,FALSE)*$F21,0)</f>
        <v>0</v>
      </c>
      <c r="T21" s="76">
        <f ca="1">IF($J21&lt;&gt;0,VLOOKUP($L21,'Distribution Allocation Factors'!$B$13:$Z$47,11,FALSE)*$J21,0)+IF($F21&lt;&gt;0,VLOOKUP($H21,'Distribution Allocation Factors'!$B$13:$Z$47,11,FALSE)*$F21,0)</f>
        <v>0</v>
      </c>
      <c r="U21" s="76">
        <f ca="1">IF($J21&lt;&gt;0,VLOOKUP($L21,'Distribution Allocation Factors'!$B$13:$Z$47,12,FALSE)*$J21,0)+IF($F21&lt;&gt;0,VLOOKUP($H21,'Distribution Allocation Factors'!$B$13:$Z$47,12,FALSE)*$F21,0)</f>
        <v>0</v>
      </c>
      <c r="V21" s="76">
        <f ca="1">IF($J21&lt;&gt;0,VLOOKUP($L21,'Distribution Allocation Factors'!$B$13:$Z$47,13,FALSE)*$J21,0)+IF($F21&lt;&gt;0,VLOOKUP($H21,'Distribution Allocation Factors'!$B$13:$Z$47,13,FALSE)*$F21,0)</f>
        <v>0</v>
      </c>
      <c r="W21" s="76">
        <f ca="1">IF($J21&lt;&gt;0,VLOOKUP($L21,'Distribution Allocation Factors'!$B$13:$Z$47,14,FALSE)*$J21,0)+IF($F21&lt;&gt;0,VLOOKUP($H21,'Distribution Allocation Factors'!$B$13:$Z$47,14,FALSE)*$F21,0)</f>
        <v>0</v>
      </c>
      <c r="X21" s="76">
        <f ca="1">IF($J21&lt;&gt;0,VLOOKUP($L21,'Distribution Allocation Factors'!$B$13:$Z$47,15,FALSE)*$J21,0)+IF($F21&lt;&gt;0,VLOOKUP($H21,'Distribution Allocation Factors'!$B$13:$Z$47,15,FALSE)*$F21,0)</f>
        <v>0</v>
      </c>
      <c r="Y21" s="76">
        <f ca="1">IF($J21&lt;&gt;0,VLOOKUP($L21,'Distribution Allocation Factors'!$B$13:$Z$47,16,FALSE)*$J21,0)+IF($F21&lt;&gt;0,VLOOKUP($H21,'Distribution Allocation Factors'!$B$13:$Z$47,16,FALSE)*$F21,0)</f>
        <v>0</v>
      </c>
      <c r="Z21" s="76">
        <f ca="1">IF($J21&lt;&gt;0,VLOOKUP($L21,'Distribution Allocation Factors'!$B$13:$Z$47,17,FALSE)*$J21,0)+IF($F21&lt;&gt;0,VLOOKUP($H21,'Distribution Allocation Factors'!$B$13:$Z$47,17,FALSE)*$F21,0)</f>
        <v>0</v>
      </c>
      <c r="AA21" s="76">
        <f ca="1">IF($J21&lt;&gt;0,VLOOKUP($L21,'Distribution Allocation Factors'!$B$13:$Z$47,18,FALSE)*$J21,0)+IF($F21&lt;&gt;0,VLOOKUP($H21,'Distribution Allocation Factors'!$B$13:$Z$47,18,FALSE)*$F21,0)</f>
        <v>0</v>
      </c>
      <c r="AB21" s="76">
        <f ca="1">IF($J21&lt;&gt;0,VLOOKUP($L21,'Distribution Allocation Factors'!$B$13:$Z$47,19,FALSE)*$J21,0)+IF($F21&lt;&gt;0,VLOOKUP($H21,'Distribution Allocation Factors'!$B$13:$Z$47,19,FALSE)*$F21,0)</f>
        <v>0</v>
      </c>
      <c r="AC21" s="76">
        <f ca="1">IF($J21&lt;&gt;0,VLOOKUP($L21,'Distribution Allocation Factors'!$B$13:$Z$47,20,FALSE)*$J21,0)+IF($F21&lt;&gt;0,VLOOKUP($H21,'Distribution Allocation Factors'!$B$13:$Z$47,20,FALSE)*$F21,0)</f>
        <v>0</v>
      </c>
      <c r="AD21" s="76">
        <f ca="1">IF($J21&lt;&gt;0,VLOOKUP($L21,'Distribution Allocation Factors'!$B$13:$Z$47,21,FALSE)*$J21,0)+IF($F21&lt;&gt;0,VLOOKUP($H21,'Distribution Allocation Factors'!$B$13:$Z$47,21,FALSE)*$F21,0)</f>
        <v>0</v>
      </c>
      <c r="AE21" s="76">
        <f ca="1">IF($J21&lt;&gt;0,VLOOKUP($L21,'Distribution Allocation Factors'!$B$13:$Z$47,22,FALSE)*$J21,0)+IF($F21&lt;&gt;0,VLOOKUP($H21,'Distribution Allocation Factors'!$B$13:$Z$47,22,FALSE)*$F21,0)</f>
        <v>0</v>
      </c>
      <c r="AF21" s="76">
        <f ca="1">IF($J21&lt;&gt;0,VLOOKUP($L21,'Distribution Allocation Factors'!$B$13:$Z$47,23,FALSE)*$J21,0)+IF($F21&lt;&gt;0,VLOOKUP($H21,'Distribution Allocation Factors'!$B$13:$Z$47,23,FALSE)*$F21,0)</f>
        <v>0</v>
      </c>
      <c r="AG21" s="76">
        <f ca="1">IF($J21&lt;&gt;0,VLOOKUP($L21,'Distribution Allocation Factors'!$B$13:$Z$47,24,FALSE)*$J21,0)+IF($F21&lt;&gt;0,VLOOKUP($H21,'Distribution Allocation Factors'!$B$13:$Z$47,24,FALSE)*$F21,0)</f>
        <v>0</v>
      </c>
      <c r="AH21" s="76">
        <v>0</v>
      </c>
      <c r="AI21" s="106"/>
    </row>
    <row r="22" spans="1:35" x14ac:dyDescent="0.25">
      <c r="A22" s="2">
        <f t="shared" si="1"/>
        <v>6</v>
      </c>
      <c r="B22" s="31" t="s">
        <v>402</v>
      </c>
      <c r="D22" s="76">
        <f ca="1">'Rate Zone Allocation - Gas Cost'!F48</f>
        <v>0</v>
      </c>
      <c r="E22" s="76"/>
      <c r="F22" s="76"/>
      <c r="G22" s="76"/>
      <c r="H22" s="116"/>
      <c r="I22" s="76"/>
      <c r="J22" s="76">
        <f t="shared" ca="1" si="0"/>
        <v>0</v>
      </c>
      <c r="L22" s="2" t="s">
        <v>330</v>
      </c>
      <c r="N22" s="76">
        <f ca="1">IF($J22&lt;&gt;0,VLOOKUP($L22,'Distribution Allocation Factors'!$B$13:$Z$47,5,FALSE)*$J22,0)+IF($F22&lt;&gt;0,VLOOKUP($H22,'Distribution Allocation Factors'!$B$13:$Z$47,5,FALSE)*$F22,0)</f>
        <v>0</v>
      </c>
      <c r="O22" s="76">
        <f ca="1">IF($J22&lt;&gt;0,VLOOKUP($L22,'Distribution Allocation Factors'!$B$13:$Z$47,6,FALSE)*$J22,0)+IF($F22&lt;&gt;0,VLOOKUP($H22,'Distribution Allocation Factors'!$B$13:$Z$47,6,FALSE)*$F22,0)</f>
        <v>0</v>
      </c>
      <c r="P22" s="76">
        <f ca="1">IF($J22&lt;&gt;0,VLOOKUP($L22,'Distribution Allocation Factors'!$B$13:$Z$47,7,FALSE)*$J22,0)+IF($F22&lt;&gt;0,VLOOKUP($H22,'Distribution Allocation Factors'!$B$13:$Z$47,7,FALSE)*$F22,0)</f>
        <v>0</v>
      </c>
      <c r="Q22" s="76"/>
      <c r="R22" s="76"/>
      <c r="S22" s="76">
        <f ca="1">IF($J22&lt;&gt;0,VLOOKUP($L22,'Distribution Allocation Factors'!$B$13:$Z$47,10,FALSE)*$J22,0)+IF($F22&lt;&gt;0,VLOOKUP($H22,'Distribution Allocation Factors'!$B$13:$Z$47,10,FALSE)*$F22,0)</f>
        <v>0</v>
      </c>
      <c r="T22" s="76">
        <f ca="1">IF($J22&lt;&gt;0,VLOOKUP($L22,'Distribution Allocation Factors'!$B$13:$Z$47,11,FALSE)*$J22,0)+IF($F22&lt;&gt;0,VLOOKUP($H22,'Distribution Allocation Factors'!$B$13:$Z$47,11,FALSE)*$F22,0)</f>
        <v>0</v>
      </c>
      <c r="U22" s="76">
        <f ca="1">IF($J22&lt;&gt;0,VLOOKUP($L22,'Distribution Allocation Factors'!$B$13:$Z$47,12,FALSE)*$J22,0)+IF($F22&lt;&gt;0,VLOOKUP($H22,'Distribution Allocation Factors'!$B$13:$Z$47,12,FALSE)*$F22,0)</f>
        <v>0</v>
      </c>
      <c r="V22" s="76">
        <f ca="1">IF($J22&lt;&gt;0,VLOOKUP($L22,'Distribution Allocation Factors'!$B$13:$Z$47,13,FALSE)*$J22,0)+IF($F22&lt;&gt;0,VLOOKUP($H22,'Distribution Allocation Factors'!$B$13:$Z$47,13,FALSE)*$F22,0)</f>
        <v>0</v>
      </c>
      <c r="W22" s="76">
        <f ca="1">IF($J22&lt;&gt;0,VLOOKUP($L22,'Distribution Allocation Factors'!$B$13:$Z$47,14,FALSE)*$J22,0)+IF($F22&lt;&gt;0,VLOOKUP($H22,'Distribution Allocation Factors'!$B$13:$Z$47,14,FALSE)*$F22,0)</f>
        <v>0</v>
      </c>
      <c r="X22" s="76">
        <f ca="1">IF($J22&lt;&gt;0,VLOOKUP($L22,'Distribution Allocation Factors'!$B$13:$Z$47,15,FALSE)*$J22,0)+IF($F22&lt;&gt;0,VLOOKUP($H22,'Distribution Allocation Factors'!$B$13:$Z$47,15,FALSE)*$F22,0)</f>
        <v>0</v>
      </c>
      <c r="Y22" s="76">
        <f ca="1">IF($J22&lt;&gt;0,VLOOKUP($L22,'Distribution Allocation Factors'!$B$13:$Z$47,16,FALSE)*$J22,0)+IF($F22&lt;&gt;0,VLOOKUP($H22,'Distribution Allocation Factors'!$B$13:$Z$47,16,FALSE)*$F22,0)</f>
        <v>0</v>
      </c>
      <c r="Z22" s="76">
        <f ca="1">IF($J22&lt;&gt;0,VLOOKUP($L22,'Distribution Allocation Factors'!$B$13:$Z$47,17,FALSE)*$J22,0)+IF($F22&lt;&gt;0,VLOOKUP($H22,'Distribution Allocation Factors'!$B$13:$Z$47,17,FALSE)*$F22,0)</f>
        <v>0</v>
      </c>
      <c r="AA22" s="76">
        <f ca="1">IF($J22&lt;&gt;0,VLOOKUP($L22,'Distribution Allocation Factors'!$B$13:$Z$47,18,FALSE)*$J22,0)+IF($F22&lt;&gt;0,VLOOKUP($H22,'Distribution Allocation Factors'!$B$13:$Z$47,18,FALSE)*$F22,0)</f>
        <v>0</v>
      </c>
      <c r="AB22" s="76">
        <f ca="1">IF($J22&lt;&gt;0,VLOOKUP($L22,'Distribution Allocation Factors'!$B$13:$Z$47,19,FALSE)*$J22,0)+IF($F22&lt;&gt;0,VLOOKUP($H22,'Distribution Allocation Factors'!$B$13:$Z$47,19,FALSE)*$F22,0)</f>
        <v>0</v>
      </c>
      <c r="AC22" s="76">
        <f ca="1">IF($J22&lt;&gt;0,VLOOKUP($L22,'Distribution Allocation Factors'!$B$13:$Z$47,20,FALSE)*$J22,0)+IF($F22&lt;&gt;0,VLOOKUP($H22,'Distribution Allocation Factors'!$B$13:$Z$47,20,FALSE)*$F22,0)</f>
        <v>0</v>
      </c>
      <c r="AD22" s="76">
        <f ca="1">IF($J22&lt;&gt;0,VLOOKUP($L22,'Distribution Allocation Factors'!$B$13:$Z$47,21,FALSE)*$J22,0)+IF($F22&lt;&gt;0,VLOOKUP($H22,'Distribution Allocation Factors'!$B$13:$Z$47,21,FALSE)*$F22,0)</f>
        <v>0</v>
      </c>
      <c r="AE22" s="76">
        <f ca="1">IF($J22&lt;&gt;0,VLOOKUP($L22,'Distribution Allocation Factors'!$B$13:$Z$47,22,FALSE)*$J22,0)+IF($F22&lt;&gt;0,VLOOKUP($H22,'Distribution Allocation Factors'!$B$13:$Z$47,22,FALSE)*$F22,0)</f>
        <v>0</v>
      </c>
      <c r="AF22" s="76">
        <f ca="1">IF($J22&lt;&gt;0,VLOOKUP($L22,'Distribution Allocation Factors'!$B$13:$Z$47,23,FALSE)*$J22,0)+IF($F22&lt;&gt;0,VLOOKUP($H22,'Distribution Allocation Factors'!$B$13:$Z$47,23,FALSE)*$F22,0)</f>
        <v>0</v>
      </c>
      <c r="AG22" s="76">
        <f ca="1">IF($J22&lt;&gt;0,VLOOKUP($L22,'Distribution Allocation Factors'!$B$13:$Z$47,24,FALSE)*$J22,0)+IF($F22&lt;&gt;0,VLOOKUP($H22,'Distribution Allocation Factors'!$B$13:$Z$47,24,FALSE)*$F22,0)</f>
        <v>0</v>
      </c>
      <c r="AH22" s="76">
        <v>0</v>
      </c>
      <c r="AI22" s="106"/>
    </row>
    <row r="23" spans="1:35" x14ac:dyDescent="0.25">
      <c r="A23" s="2">
        <f t="shared" si="1"/>
        <v>7</v>
      </c>
      <c r="B23" s="31" t="s">
        <v>404</v>
      </c>
      <c r="D23" s="76">
        <f ca="1">'Rate Zone Allocation - Gas Cost'!F49</f>
        <v>0</v>
      </c>
      <c r="E23" s="76"/>
      <c r="F23" s="76"/>
      <c r="G23" s="76"/>
      <c r="H23" s="116"/>
      <c r="I23" s="76"/>
      <c r="J23" s="76">
        <f t="shared" ca="1" si="0"/>
        <v>0</v>
      </c>
      <c r="L23" s="2" t="s">
        <v>330</v>
      </c>
      <c r="N23" s="76">
        <f ca="1">IF($J23&lt;&gt;0,VLOOKUP($L23,'Distribution Allocation Factors'!$B$13:$Z$47,5,FALSE)*$J23,0)+IF($F23&lt;&gt;0,VLOOKUP($H23,'Distribution Allocation Factors'!$B$13:$Z$47,5,FALSE)*$F23,0)</f>
        <v>0</v>
      </c>
      <c r="O23" s="76">
        <f ca="1">IF($J23&lt;&gt;0,VLOOKUP($L23,'Distribution Allocation Factors'!$B$13:$Z$47,6,FALSE)*$J23,0)+IF($F23&lt;&gt;0,VLOOKUP($H23,'Distribution Allocation Factors'!$B$13:$Z$47,6,FALSE)*$F23,0)</f>
        <v>0</v>
      </c>
      <c r="P23" s="76">
        <f ca="1">IF($J23&lt;&gt;0,VLOOKUP($L23,'Distribution Allocation Factors'!$B$13:$Z$47,7,FALSE)*$J23,0)+IF($F23&lt;&gt;0,VLOOKUP($H23,'Distribution Allocation Factors'!$B$13:$Z$47,7,FALSE)*$F23,0)</f>
        <v>0</v>
      </c>
      <c r="Q23" s="76"/>
      <c r="R23" s="76"/>
      <c r="S23" s="76">
        <f ca="1">IF($J23&lt;&gt;0,VLOOKUP($L23,'Distribution Allocation Factors'!$B$13:$Z$47,10,FALSE)*$J23,0)+IF($F23&lt;&gt;0,VLOOKUP($H23,'Distribution Allocation Factors'!$B$13:$Z$47,10,FALSE)*$F23,0)</f>
        <v>0</v>
      </c>
      <c r="T23" s="76">
        <f ca="1">IF($J23&lt;&gt;0,VLOOKUP($L23,'Distribution Allocation Factors'!$B$13:$Z$47,11,FALSE)*$J23,0)+IF($F23&lt;&gt;0,VLOOKUP($H23,'Distribution Allocation Factors'!$B$13:$Z$47,11,FALSE)*$F23,0)</f>
        <v>0</v>
      </c>
      <c r="U23" s="76">
        <f ca="1">IF($J23&lt;&gt;0,VLOOKUP($L23,'Distribution Allocation Factors'!$B$13:$Z$47,12,FALSE)*$J23,0)+IF($F23&lt;&gt;0,VLOOKUP($H23,'Distribution Allocation Factors'!$B$13:$Z$47,12,FALSE)*$F23,0)</f>
        <v>0</v>
      </c>
      <c r="V23" s="76">
        <f ca="1">IF($J23&lt;&gt;0,VLOOKUP($L23,'Distribution Allocation Factors'!$B$13:$Z$47,13,FALSE)*$J23,0)+IF($F23&lt;&gt;0,VLOOKUP($H23,'Distribution Allocation Factors'!$B$13:$Z$47,13,FALSE)*$F23,0)</f>
        <v>0</v>
      </c>
      <c r="W23" s="76">
        <f ca="1">IF($J23&lt;&gt;0,VLOOKUP($L23,'Distribution Allocation Factors'!$B$13:$Z$47,14,FALSE)*$J23,0)+IF($F23&lt;&gt;0,VLOOKUP($H23,'Distribution Allocation Factors'!$B$13:$Z$47,14,FALSE)*$F23,0)</f>
        <v>0</v>
      </c>
      <c r="X23" s="76">
        <f ca="1">IF($J23&lt;&gt;0,VLOOKUP($L23,'Distribution Allocation Factors'!$B$13:$Z$47,15,FALSE)*$J23,0)+IF($F23&lt;&gt;0,VLOOKUP($H23,'Distribution Allocation Factors'!$B$13:$Z$47,15,FALSE)*$F23,0)</f>
        <v>0</v>
      </c>
      <c r="Y23" s="76">
        <f ca="1">IF($J23&lt;&gt;0,VLOOKUP($L23,'Distribution Allocation Factors'!$B$13:$Z$47,16,FALSE)*$J23,0)+IF($F23&lt;&gt;0,VLOOKUP($H23,'Distribution Allocation Factors'!$B$13:$Z$47,16,FALSE)*$F23,0)</f>
        <v>0</v>
      </c>
      <c r="Z23" s="76">
        <f ca="1">IF($J23&lt;&gt;0,VLOOKUP($L23,'Distribution Allocation Factors'!$B$13:$Z$47,17,FALSE)*$J23,0)+IF($F23&lt;&gt;0,VLOOKUP($H23,'Distribution Allocation Factors'!$B$13:$Z$47,17,FALSE)*$F23,0)</f>
        <v>0</v>
      </c>
      <c r="AA23" s="76">
        <f ca="1">IF($J23&lt;&gt;0,VLOOKUP($L23,'Distribution Allocation Factors'!$B$13:$Z$47,18,FALSE)*$J23,0)+IF($F23&lt;&gt;0,VLOOKUP($H23,'Distribution Allocation Factors'!$B$13:$Z$47,18,FALSE)*$F23,0)</f>
        <v>0</v>
      </c>
      <c r="AB23" s="76">
        <f ca="1">IF($J23&lt;&gt;0,VLOOKUP($L23,'Distribution Allocation Factors'!$B$13:$Z$47,19,FALSE)*$J23,0)+IF($F23&lt;&gt;0,VLOOKUP($H23,'Distribution Allocation Factors'!$B$13:$Z$47,19,FALSE)*$F23,0)</f>
        <v>0</v>
      </c>
      <c r="AC23" s="76">
        <f ca="1">IF($J23&lt;&gt;0,VLOOKUP($L23,'Distribution Allocation Factors'!$B$13:$Z$47,20,FALSE)*$J23,0)+IF($F23&lt;&gt;0,VLOOKUP($H23,'Distribution Allocation Factors'!$B$13:$Z$47,20,FALSE)*$F23,0)</f>
        <v>0</v>
      </c>
      <c r="AD23" s="76">
        <f ca="1">IF($J23&lt;&gt;0,VLOOKUP($L23,'Distribution Allocation Factors'!$B$13:$Z$47,21,FALSE)*$J23,0)+IF($F23&lt;&gt;0,VLOOKUP($H23,'Distribution Allocation Factors'!$B$13:$Z$47,21,FALSE)*$F23,0)</f>
        <v>0</v>
      </c>
      <c r="AE23" s="76">
        <f ca="1">IF($J23&lt;&gt;0,VLOOKUP($L23,'Distribution Allocation Factors'!$B$13:$Z$47,22,FALSE)*$J23,0)+IF($F23&lt;&gt;0,VLOOKUP($H23,'Distribution Allocation Factors'!$B$13:$Z$47,22,FALSE)*$F23,0)</f>
        <v>0</v>
      </c>
      <c r="AF23" s="76">
        <f ca="1">IF($J23&lt;&gt;0,VLOOKUP($L23,'Distribution Allocation Factors'!$B$13:$Z$47,23,FALSE)*$J23,0)+IF($F23&lt;&gt;0,VLOOKUP($H23,'Distribution Allocation Factors'!$B$13:$Z$47,23,FALSE)*$F23,0)</f>
        <v>0</v>
      </c>
      <c r="AG23" s="76">
        <f ca="1">IF($J23&lt;&gt;0,VLOOKUP($L23,'Distribution Allocation Factors'!$B$13:$Z$47,24,FALSE)*$J23,0)+IF($F23&lt;&gt;0,VLOOKUP($H23,'Distribution Allocation Factors'!$B$13:$Z$47,24,FALSE)*$F23,0)</f>
        <v>0</v>
      </c>
      <c r="AH23" s="76">
        <v>0</v>
      </c>
      <c r="AI23" s="106"/>
    </row>
    <row r="24" spans="1:35" x14ac:dyDescent="0.25">
      <c r="A24" s="2">
        <f t="shared" si="1"/>
        <v>8</v>
      </c>
      <c r="B24" s="31" t="s">
        <v>406</v>
      </c>
      <c r="D24" s="76">
        <f ca="1">'Rate Zone Allocation - Gas Cost'!F50</f>
        <v>0</v>
      </c>
      <c r="E24" s="76"/>
      <c r="F24" s="76"/>
      <c r="G24" s="76"/>
      <c r="H24" s="116"/>
      <c r="I24" s="76"/>
      <c r="J24" s="76">
        <f t="shared" ca="1" si="0"/>
        <v>0</v>
      </c>
      <c r="L24" s="2" t="s">
        <v>497</v>
      </c>
      <c r="N24" s="76">
        <f ca="1">IF($J24&lt;&gt;0,VLOOKUP($L24,'Distribution Allocation Factors'!$B$13:$Z$47,5,FALSE)*$J24,0)+IF($F24&lt;&gt;0,VLOOKUP($H24,'Distribution Allocation Factors'!$B$13:$Z$47,5,FALSE)*$F24,0)</f>
        <v>0</v>
      </c>
      <c r="O24" s="76">
        <f ca="1">IF($J24&lt;&gt;0,VLOOKUP($L24,'Distribution Allocation Factors'!$B$13:$Z$47,6,FALSE)*$J24,0)+IF($F24&lt;&gt;0,VLOOKUP($H24,'Distribution Allocation Factors'!$B$13:$Z$47,6,FALSE)*$F24,0)</f>
        <v>0</v>
      </c>
      <c r="P24" s="76">
        <f ca="1">IF($J24&lt;&gt;0,VLOOKUP($L24,'Distribution Allocation Factors'!$B$13:$Z$47,7,FALSE)*$J24,0)+IF($F24&lt;&gt;0,VLOOKUP($H24,'Distribution Allocation Factors'!$B$13:$Z$47,7,FALSE)*$F24,0)</f>
        <v>0</v>
      </c>
      <c r="Q24" s="76"/>
      <c r="R24" s="76"/>
      <c r="S24" s="76">
        <f ca="1">IF($J24&lt;&gt;0,VLOOKUP($L24,'Distribution Allocation Factors'!$B$13:$Z$47,10,FALSE)*$J24,0)+IF($F24&lt;&gt;0,VLOOKUP($H24,'Distribution Allocation Factors'!$B$13:$Z$47,10,FALSE)*$F24,0)</f>
        <v>0</v>
      </c>
      <c r="T24" s="76">
        <f ca="1">IF($J24&lt;&gt;0,VLOOKUP($L24,'Distribution Allocation Factors'!$B$13:$Z$47,11,FALSE)*$J24,0)+IF($F24&lt;&gt;0,VLOOKUP($H24,'Distribution Allocation Factors'!$B$13:$Z$47,11,FALSE)*$F24,0)</f>
        <v>0</v>
      </c>
      <c r="U24" s="76">
        <f ca="1">IF($J24&lt;&gt;0,VLOOKUP($L24,'Distribution Allocation Factors'!$B$13:$Z$47,12,FALSE)*$J24,0)+IF($F24&lt;&gt;0,VLOOKUP($H24,'Distribution Allocation Factors'!$B$13:$Z$47,12,FALSE)*$F24,0)</f>
        <v>0</v>
      </c>
      <c r="V24" s="76">
        <f ca="1">IF($J24&lt;&gt;0,VLOOKUP($L24,'Distribution Allocation Factors'!$B$13:$Z$47,13,FALSE)*$J24,0)+IF($F24&lt;&gt;0,VLOOKUP($H24,'Distribution Allocation Factors'!$B$13:$Z$47,13,FALSE)*$F24,0)</f>
        <v>0</v>
      </c>
      <c r="W24" s="76">
        <f ca="1">IF($J24&lt;&gt;0,VLOOKUP($L24,'Distribution Allocation Factors'!$B$13:$Z$47,14,FALSE)*$J24,0)+IF($F24&lt;&gt;0,VLOOKUP($H24,'Distribution Allocation Factors'!$B$13:$Z$47,14,FALSE)*$F24,0)</f>
        <v>0</v>
      </c>
      <c r="X24" s="76">
        <f ca="1">IF($J24&lt;&gt;0,VLOOKUP($L24,'Distribution Allocation Factors'!$B$13:$Z$47,15,FALSE)*$J24,0)+IF($F24&lt;&gt;0,VLOOKUP($H24,'Distribution Allocation Factors'!$B$13:$Z$47,15,FALSE)*$F24,0)</f>
        <v>0</v>
      </c>
      <c r="Y24" s="76">
        <f ca="1">IF($J24&lt;&gt;0,VLOOKUP($L24,'Distribution Allocation Factors'!$B$13:$Z$47,16,FALSE)*$J24,0)+IF($F24&lt;&gt;0,VLOOKUP($H24,'Distribution Allocation Factors'!$B$13:$Z$47,16,FALSE)*$F24,0)</f>
        <v>0</v>
      </c>
      <c r="Z24" s="76">
        <f ca="1">IF($J24&lt;&gt;0,VLOOKUP($L24,'Distribution Allocation Factors'!$B$13:$Z$47,17,FALSE)*$J24,0)+IF($F24&lt;&gt;0,VLOOKUP($H24,'Distribution Allocation Factors'!$B$13:$Z$47,17,FALSE)*$F24,0)</f>
        <v>0</v>
      </c>
      <c r="AA24" s="76">
        <f ca="1">IF($J24&lt;&gt;0,VLOOKUP($L24,'Distribution Allocation Factors'!$B$13:$Z$47,18,FALSE)*$J24,0)+IF($F24&lt;&gt;0,VLOOKUP($H24,'Distribution Allocation Factors'!$B$13:$Z$47,18,FALSE)*$F24,0)</f>
        <v>0</v>
      </c>
      <c r="AB24" s="76">
        <f ca="1">IF($J24&lt;&gt;0,VLOOKUP($L24,'Distribution Allocation Factors'!$B$13:$Z$47,19,FALSE)*$J24,0)+IF($F24&lt;&gt;0,VLOOKUP($H24,'Distribution Allocation Factors'!$B$13:$Z$47,19,FALSE)*$F24,0)</f>
        <v>0</v>
      </c>
      <c r="AC24" s="76">
        <f ca="1">IF($J24&lt;&gt;0,VLOOKUP($L24,'Distribution Allocation Factors'!$B$13:$Z$47,20,FALSE)*$J24,0)+IF($F24&lt;&gt;0,VLOOKUP($H24,'Distribution Allocation Factors'!$B$13:$Z$47,20,FALSE)*$F24,0)</f>
        <v>0</v>
      </c>
      <c r="AD24" s="76">
        <f ca="1">IF($J24&lt;&gt;0,VLOOKUP($L24,'Distribution Allocation Factors'!$B$13:$Z$47,21,FALSE)*$J24,0)+IF($F24&lt;&gt;0,VLOOKUP($H24,'Distribution Allocation Factors'!$B$13:$Z$47,21,FALSE)*$F24,0)</f>
        <v>0</v>
      </c>
      <c r="AE24" s="76">
        <f ca="1">IF($J24&lt;&gt;0,VLOOKUP($L24,'Distribution Allocation Factors'!$B$13:$Z$47,22,FALSE)*$J24,0)+IF($F24&lt;&gt;0,VLOOKUP($H24,'Distribution Allocation Factors'!$B$13:$Z$47,22,FALSE)*$F24,0)</f>
        <v>0</v>
      </c>
      <c r="AF24" s="76">
        <f ca="1">IF($J24&lt;&gt;0,VLOOKUP($L24,'Distribution Allocation Factors'!$B$13:$Z$47,23,FALSE)*$J24,0)+IF($F24&lt;&gt;0,VLOOKUP($H24,'Distribution Allocation Factors'!$B$13:$Z$47,23,FALSE)*$F24,0)</f>
        <v>0</v>
      </c>
      <c r="AG24" s="76">
        <f ca="1">IF($J24&lt;&gt;0,VLOOKUP($L24,'Distribution Allocation Factors'!$B$13:$Z$47,24,FALSE)*$J24,0)+IF($F24&lt;&gt;0,VLOOKUP($H24,'Distribution Allocation Factors'!$B$13:$Z$47,24,FALSE)*$F24,0)</f>
        <v>0</v>
      </c>
      <c r="AH24" s="76">
        <v>0</v>
      </c>
      <c r="AI24" s="106"/>
    </row>
    <row r="25" spans="1:35" x14ac:dyDescent="0.25">
      <c r="A25" s="2">
        <f t="shared" si="1"/>
        <v>9</v>
      </c>
      <c r="B25" s="31" t="s">
        <v>408</v>
      </c>
      <c r="D25" s="76">
        <f ca="1">'Rate Zone Allocation - Gas Cost'!F51</f>
        <v>0</v>
      </c>
      <c r="E25" s="76"/>
      <c r="F25" s="76"/>
      <c r="G25" s="76"/>
      <c r="H25" s="116"/>
      <c r="I25" s="76"/>
      <c r="J25" s="76">
        <f t="shared" ca="1" si="0"/>
        <v>0</v>
      </c>
      <c r="L25" s="2" t="s">
        <v>498</v>
      </c>
      <c r="N25" s="76">
        <f ca="1">IF($J25&lt;&gt;0,VLOOKUP($L25,'Distribution Allocation Factors'!$B$13:$Z$47,5,FALSE)*$J25,0)+IF($F25&lt;&gt;0,VLOOKUP($H25,'Distribution Allocation Factors'!$B$13:$Z$47,5,FALSE)*$F25,0)</f>
        <v>0</v>
      </c>
      <c r="O25" s="76">
        <f ca="1">IF($J25&lt;&gt;0,VLOOKUP($L25,'Distribution Allocation Factors'!$B$13:$Z$47,6,FALSE)*$J25,0)+IF($F25&lt;&gt;0,VLOOKUP($H25,'Distribution Allocation Factors'!$B$13:$Z$47,6,FALSE)*$F25,0)</f>
        <v>0</v>
      </c>
      <c r="P25" s="76">
        <f ca="1">IF($J25&lt;&gt;0,VLOOKUP($L25,'Distribution Allocation Factors'!$B$13:$Z$47,7,FALSE)*$J25,0)+IF($F25&lt;&gt;0,VLOOKUP($H25,'Distribution Allocation Factors'!$B$13:$Z$47,7,FALSE)*$F25,0)</f>
        <v>0</v>
      </c>
      <c r="Q25" s="76"/>
      <c r="R25" s="76"/>
      <c r="S25" s="76">
        <f ca="1">IF($J25&lt;&gt;0,VLOOKUP($L25,'Distribution Allocation Factors'!$B$13:$Z$47,10,FALSE)*$J25,0)+IF($F25&lt;&gt;0,VLOOKUP($H25,'Distribution Allocation Factors'!$B$13:$Z$47,10,FALSE)*$F25,0)</f>
        <v>0</v>
      </c>
      <c r="T25" s="76">
        <f ca="1">IF($J25&lt;&gt;0,VLOOKUP($L25,'Distribution Allocation Factors'!$B$13:$Z$47,11,FALSE)*$J25,0)+IF($F25&lt;&gt;0,VLOOKUP($H25,'Distribution Allocation Factors'!$B$13:$Z$47,11,FALSE)*$F25,0)</f>
        <v>0</v>
      </c>
      <c r="U25" s="76">
        <f ca="1">IF($J25&lt;&gt;0,VLOOKUP($L25,'Distribution Allocation Factors'!$B$13:$Z$47,12,FALSE)*$J25,0)+IF($F25&lt;&gt;0,VLOOKUP($H25,'Distribution Allocation Factors'!$B$13:$Z$47,12,FALSE)*$F25,0)</f>
        <v>0</v>
      </c>
      <c r="V25" s="76">
        <f ca="1">IF($J25&lt;&gt;0,VLOOKUP($L25,'Distribution Allocation Factors'!$B$13:$Z$47,13,FALSE)*$J25,0)+IF($F25&lt;&gt;0,VLOOKUP($H25,'Distribution Allocation Factors'!$B$13:$Z$47,13,FALSE)*$F25,0)</f>
        <v>0</v>
      </c>
      <c r="W25" s="76">
        <f ca="1">IF($J25&lt;&gt;0,VLOOKUP($L25,'Distribution Allocation Factors'!$B$13:$Z$47,14,FALSE)*$J25,0)+IF($F25&lt;&gt;0,VLOOKUP($H25,'Distribution Allocation Factors'!$B$13:$Z$47,14,FALSE)*$F25,0)</f>
        <v>0</v>
      </c>
      <c r="X25" s="76">
        <f ca="1">IF($J25&lt;&gt;0,VLOOKUP($L25,'Distribution Allocation Factors'!$B$13:$Z$47,15,FALSE)*$J25,0)+IF($F25&lt;&gt;0,VLOOKUP($H25,'Distribution Allocation Factors'!$B$13:$Z$47,15,FALSE)*$F25,0)</f>
        <v>0</v>
      </c>
      <c r="Y25" s="76">
        <f ca="1">IF($J25&lt;&gt;0,VLOOKUP($L25,'Distribution Allocation Factors'!$B$13:$Z$47,16,FALSE)*$J25,0)+IF($F25&lt;&gt;0,VLOOKUP($H25,'Distribution Allocation Factors'!$B$13:$Z$47,16,FALSE)*$F25,0)</f>
        <v>0</v>
      </c>
      <c r="Z25" s="76">
        <f ca="1">IF($J25&lt;&gt;0,VLOOKUP($L25,'Distribution Allocation Factors'!$B$13:$Z$47,17,FALSE)*$J25,0)+IF($F25&lt;&gt;0,VLOOKUP($H25,'Distribution Allocation Factors'!$B$13:$Z$47,17,FALSE)*$F25,0)</f>
        <v>0</v>
      </c>
      <c r="AA25" s="76">
        <f ca="1">IF($J25&lt;&gt;0,VLOOKUP($L25,'Distribution Allocation Factors'!$B$13:$Z$47,18,FALSE)*$J25,0)+IF($F25&lt;&gt;0,VLOOKUP($H25,'Distribution Allocation Factors'!$B$13:$Z$47,18,FALSE)*$F25,0)</f>
        <v>0</v>
      </c>
      <c r="AB25" s="76">
        <f ca="1">IF($J25&lt;&gt;0,VLOOKUP($L25,'Distribution Allocation Factors'!$B$13:$Z$47,19,FALSE)*$J25,0)+IF($F25&lt;&gt;0,VLOOKUP($H25,'Distribution Allocation Factors'!$B$13:$Z$47,19,FALSE)*$F25,0)</f>
        <v>0</v>
      </c>
      <c r="AC25" s="76">
        <f ca="1">IF($J25&lt;&gt;0,VLOOKUP($L25,'Distribution Allocation Factors'!$B$13:$Z$47,20,FALSE)*$J25,0)+IF($F25&lt;&gt;0,VLOOKUP($H25,'Distribution Allocation Factors'!$B$13:$Z$47,20,FALSE)*$F25,0)</f>
        <v>0</v>
      </c>
      <c r="AD25" s="76">
        <f ca="1">IF($J25&lt;&gt;0,VLOOKUP($L25,'Distribution Allocation Factors'!$B$13:$Z$47,21,FALSE)*$J25,0)+IF($F25&lt;&gt;0,VLOOKUP($H25,'Distribution Allocation Factors'!$B$13:$Z$47,21,FALSE)*$F25,0)</f>
        <v>0</v>
      </c>
      <c r="AE25" s="76">
        <f ca="1">IF($J25&lt;&gt;0,VLOOKUP($L25,'Distribution Allocation Factors'!$B$13:$Z$47,22,FALSE)*$J25,0)+IF($F25&lt;&gt;0,VLOOKUP($H25,'Distribution Allocation Factors'!$B$13:$Z$47,22,FALSE)*$F25,0)</f>
        <v>0</v>
      </c>
      <c r="AF25" s="76">
        <f ca="1">IF($J25&lt;&gt;0,VLOOKUP($L25,'Distribution Allocation Factors'!$B$13:$Z$47,23,FALSE)*$J25,0)+IF($F25&lt;&gt;0,VLOOKUP($H25,'Distribution Allocation Factors'!$B$13:$Z$47,23,FALSE)*$F25,0)</f>
        <v>0</v>
      </c>
      <c r="AG25" s="76">
        <f ca="1">IF($J25&lt;&gt;0,VLOOKUP($L25,'Distribution Allocation Factors'!$B$13:$Z$47,24,FALSE)*$J25,0)+IF($F25&lt;&gt;0,VLOOKUP($H25,'Distribution Allocation Factors'!$B$13:$Z$47,24,FALSE)*$F25,0)</f>
        <v>0</v>
      </c>
      <c r="AH25" s="76">
        <v>0</v>
      </c>
      <c r="AI25" s="106"/>
    </row>
    <row r="26" spans="1:35" x14ac:dyDescent="0.25">
      <c r="B26" s="31" t="s">
        <v>410</v>
      </c>
      <c r="D26" s="76"/>
      <c r="E26" s="76"/>
      <c r="F26" s="76"/>
      <c r="G26" s="76"/>
      <c r="H26" s="116"/>
      <c r="I26" s="76"/>
      <c r="J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106"/>
    </row>
    <row r="27" spans="1:35" x14ac:dyDescent="0.25">
      <c r="A27" s="2">
        <f>A25+1</f>
        <v>10</v>
      </c>
      <c r="B27" s="79" t="s">
        <v>141</v>
      </c>
      <c r="D27" s="76">
        <f ca="1">'Rate Zone Allocation - Gas Cost'!F53</f>
        <v>0</v>
      </c>
      <c r="F27" s="48"/>
      <c r="J27" s="76">
        <f t="shared" ca="1" si="0"/>
        <v>0</v>
      </c>
      <c r="L27" s="2" t="s">
        <v>332</v>
      </c>
      <c r="N27" s="76">
        <f ca="1">IF($J27&lt;&gt;0,VLOOKUP($L27,'Distribution Allocation Factors'!$B$13:$Z$47,5,FALSE)*$J27,0)+IF($F27&lt;&gt;0,VLOOKUP($H27,'Distribution Allocation Factors'!$B$13:$Z$47,5,FALSE)*$F27,0)</f>
        <v>0</v>
      </c>
      <c r="O27" s="76">
        <f ca="1">IF($J27&lt;&gt;0,VLOOKUP($L27,'Distribution Allocation Factors'!$B$13:$Z$47,6,FALSE)*$J27,0)+IF($F27&lt;&gt;0,VLOOKUP($H27,'Distribution Allocation Factors'!$B$13:$Z$47,6,FALSE)*$F27,0)</f>
        <v>0</v>
      </c>
      <c r="P27" s="76">
        <f ca="1">IF($J27&lt;&gt;0,VLOOKUP($L27,'Distribution Allocation Factors'!$B$13:$Z$47,7,FALSE)*$J27,0)+IF($F27&lt;&gt;0,VLOOKUP($H27,'Distribution Allocation Factors'!$B$13:$Z$47,7,FALSE)*$F27,0)</f>
        <v>0</v>
      </c>
      <c r="Q27" s="76"/>
      <c r="R27" s="76"/>
      <c r="S27" s="76">
        <f ca="1">IF($J27&lt;&gt;0,VLOOKUP($L27,'Distribution Allocation Factors'!$B$13:$Z$47,10,FALSE)*$J27,0)+IF($F27&lt;&gt;0,VLOOKUP($H27,'Distribution Allocation Factors'!$B$13:$Z$47,10,FALSE)*$F27,0)</f>
        <v>0</v>
      </c>
      <c r="T27" s="76">
        <f ca="1">IF($J27&lt;&gt;0,VLOOKUP($L27,'Distribution Allocation Factors'!$B$13:$Z$47,11,FALSE)*$J27,0)+IF($F27&lt;&gt;0,VLOOKUP($H27,'Distribution Allocation Factors'!$B$13:$Z$47,11,FALSE)*$F27,0)</f>
        <v>0</v>
      </c>
      <c r="U27" s="76">
        <f ca="1">IF($J27&lt;&gt;0,VLOOKUP($L27,'Distribution Allocation Factors'!$B$13:$Z$47,12,FALSE)*$J27,0)+IF($F27&lt;&gt;0,VLOOKUP($H27,'Distribution Allocation Factors'!$B$13:$Z$47,12,FALSE)*$F27,0)</f>
        <v>0</v>
      </c>
      <c r="V27" s="76">
        <f ca="1">IF($J27&lt;&gt;0,VLOOKUP($L27,'Distribution Allocation Factors'!$B$13:$Z$47,13,FALSE)*$J27,0)+IF($F27&lt;&gt;0,VLOOKUP($H27,'Distribution Allocation Factors'!$B$13:$Z$47,13,FALSE)*$F27,0)</f>
        <v>0</v>
      </c>
      <c r="W27" s="76">
        <f ca="1">IF($J27&lt;&gt;0,VLOOKUP($L27,'Distribution Allocation Factors'!$B$13:$Z$47,14,FALSE)*$J27,0)+IF($F27&lt;&gt;0,VLOOKUP($H27,'Distribution Allocation Factors'!$B$13:$Z$47,14,FALSE)*$F27,0)</f>
        <v>0</v>
      </c>
      <c r="X27" s="76">
        <f ca="1">IF($J27&lt;&gt;0,VLOOKUP($L27,'Distribution Allocation Factors'!$B$13:$Z$47,15,FALSE)*$J27,0)+IF($F27&lt;&gt;0,VLOOKUP($H27,'Distribution Allocation Factors'!$B$13:$Z$47,15,FALSE)*$F27,0)</f>
        <v>0</v>
      </c>
      <c r="Y27" s="76">
        <f ca="1">IF($J27&lt;&gt;0,VLOOKUP($L27,'Distribution Allocation Factors'!$B$13:$Z$47,16,FALSE)*$J27,0)+IF($F27&lt;&gt;0,VLOOKUP($H27,'Distribution Allocation Factors'!$B$13:$Z$47,16,FALSE)*$F27,0)</f>
        <v>0</v>
      </c>
      <c r="Z27" s="76">
        <f ca="1">IF($J27&lt;&gt;0,VLOOKUP($L27,'Distribution Allocation Factors'!$B$13:$Z$47,17,FALSE)*$J27,0)+IF($F27&lt;&gt;0,VLOOKUP($H27,'Distribution Allocation Factors'!$B$13:$Z$47,17,FALSE)*$F27,0)</f>
        <v>0</v>
      </c>
      <c r="AA27" s="76">
        <f ca="1">IF($J27&lt;&gt;0,VLOOKUP($L27,'Distribution Allocation Factors'!$B$13:$Z$47,18,FALSE)*$J27,0)+IF($F27&lt;&gt;0,VLOOKUP($H27,'Distribution Allocation Factors'!$B$13:$Z$47,18,FALSE)*$F27,0)</f>
        <v>0</v>
      </c>
      <c r="AB27" s="76">
        <f ca="1">IF($J27&lt;&gt;0,VLOOKUP($L27,'Distribution Allocation Factors'!$B$13:$Z$47,19,FALSE)*$J27,0)+IF($F27&lt;&gt;0,VLOOKUP($H27,'Distribution Allocation Factors'!$B$13:$Z$47,19,FALSE)*$F27,0)</f>
        <v>0</v>
      </c>
      <c r="AC27" s="76">
        <f ca="1">IF($J27&lt;&gt;0,VLOOKUP($L27,'Distribution Allocation Factors'!$B$13:$Z$47,20,FALSE)*$J27,0)+IF($F27&lt;&gt;0,VLOOKUP($H27,'Distribution Allocation Factors'!$B$13:$Z$47,20,FALSE)*$F27,0)</f>
        <v>0</v>
      </c>
      <c r="AD27" s="76">
        <f ca="1">IF($J27&lt;&gt;0,VLOOKUP($L27,'Distribution Allocation Factors'!$B$13:$Z$47,21,FALSE)*$J27,0)+IF($F27&lt;&gt;0,VLOOKUP($H27,'Distribution Allocation Factors'!$B$13:$Z$47,21,FALSE)*$F27,0)</f>
        <v>0</v>
      </c>
      <c r="AE27" s="76">
        <f ca="1">IF($J27&lt;&gt;0,VLOOKUP($L27,'Distribution Allocation Factors'!$B$13:$Z$47,22,FALSE)*$J27,0)+IF($F27&lt;&gt;0,VLOOKUP($H27,'Distribution Allocation Factors'!$B$13:$Z$47,22,FALSE)*$F27,0)</f>
        <v>0</v>
      </c>
      <c r="AF27" s="76">
        <f ca="1">IF($J27&lt;&gt;0,VLOOKUP($L27,'Distribution Allocation Factors'!$B$13:$Z$47,23,FALSE)*$J27,0)+IF($F27&lt;&gt;0,VLOOKUP($H27,'Distribution Allocation Factors'!$B$13:$Z$47,23,FALSE)*$F27,0)</f>
        <v>0</v>
      </c>
      <c r="AG27" s="76">
        <f ca="1">IF($J27&lt;&gt;0,VLOOKUP($L27,'Distribution Allocation Factors'!$B$13:$Z$47,24,FALSE)*$J27,0)+IF($F27&lt;&gt;0,VLOOKUP($H27,'Distribution Allocation Factors'!$B$13:$Z$47,24,FALSE)*$F27,0)</f>
        <v>0</v>
      </c>
      <c r="AH27" s="76">
        <v>0</v>
      </c>
      <c r="AI27" s="106"/>
    </row>
    <row r="28" spans="1:35" x14ac:dyDescent="0.25">
      <c r="A28" s="2">
        <f t="shared" si="1"/>
        <v>11</v>
      </c>
      <c r="B28" s="79" t="s">
        <v>134</v>
      </c>
      <c r="D28" s="76">
        <f ca="1">'Rate Zone Allocation - Gas Cost'!F54</f>
        <v>0</v>
      </c>
      <c r="F28" s="76"/>
      <c r="H28" s="2" t="s">
        <v>412</v>
      </c>
      <c r="J28" s="76">
        <f t="shared" ca="1" si="0"/>
        <v>0</v>
      </c>
      <c r="L28" s="2" t="s">
        <v>330</v>
      </c>
      <c r="N28" s="76">
        <f ca="1">IF($J28&lt;&gt;0,VLOOKUP($L28,'Distribution Allocation Factors'!$B$13:$Z$47,5,FALSE)*$J28,0)+IF($F28&lt;&gt;0,VLOOKUP($H28,'Distribution Allocation Factors'!$B$13:$Z$47,5,FALSE)*$F28,0)</f>
        <v>0</v>
      </c>
      <c r="O28" s="76">
        <f ca="1">IF($J28&lt;&gt;0,VLOOKUP($L28,'Distribution Allocation Factors'!$B$13:$Z$47,6,FALSE)*$J28,0)+IF($F28&lt;&gt;0,VLOOKUP($H28,'Distribution Allocation Factors'!$B$13:$Z$47,6,FALSE)*$F28,0)</f>
        <v>0</v>
      </c>
      <c r="P28" s="76">
        <f ca="1">IF($J28&lt;&gt;0,VLOOKUP($L28,'Distribution Allocation Factors'!$B$13:$Z$47,7,FALSE)*$J28,0)+IF($F28&lt;&gt;0,VLOOKUP($H28,'Distribution Allocation Factors'!$B$13:$Z$47,7,FALSE)*$F28,0)</f>
        <v>0</v>
      </c>
      <c r="Q28" s="76"/>
      <c r="R28" s="76"/>
      <c r="S28" s="76">
        <f ca="1">IF($J28&lt;&gt;0,VLOOKUP($L28,'Distribution Allocation Factors'!$B$13:$Z$47,10,FALSE)*$J28,0)+IF($F28&lt;&gt;0,VLOOKUP($H28,'Distribution Allocation Factors'!$B$13:$Z$47,10,FALSE)*$F28,0)</f>
        <v>0</v>
      </c>
      <c r="T28" s="76">
        <f ca="1">IF($J28&lt;&gt;0,VLOOKUP($L28,'Distribution Allocation Factors'!$B$13:$Z$47,11,FALSE)*$J28,0)+IF($F28&lt;&gt;0,VLOOKUP($H28,'Distribution Allocation Factors'!$B$13:$Z$47,11,FALSE)*$F28,0)</f>
        <v>0</v>
      </c>
      <c r="U28" s="76">
        <f ca="1">IF($J28&lt;&gt;0,VLOOKUP($L28,'Distribution Allocation Factors'!$B$13:$Z$47,12,FALSE)*$J28,0)+IF($F28&lt;&gt;0,VLOOKUP($H28,'Distribution Allocation Factors'!$B$13:$Z$47,12,FALSE)*$F28,0)</f>
        <v>0</v>
      </c>
      <c r="V28" s="76">
        <f ca="1">IF($J28&lt;&gt;0,VLOOKUP($L28,'Distribution Allocation Factors'!$B$13:$Z$47,13,FALSE)*$J28,0)+IF($F28&lt;&gt;0,VLOOKUP($H28,'Distribution Allocation Factors'!$B$13:$Z$47,13,FALSE)*$F28,0)</f>
        <v>0</v>
      </c>
      <c r="W28" s="76">
        <f ca="1">IF($J28&lt;&gt;0,VLOOKUP($L28,'Distribution Allocation Factors'!$B$13:$Z$47,14,FALSE)*$J28,0)+IF($F28&lt;&gt;0,VLOOKUP($H28,'Distribution Allocation Factors'!$B$13:$Z$47,14,FALSE)*$F28,0)</f>
        <v>0</v>
      </c>
      <c r="X28" s="76">
        <f ca="1">IF($J28&lt;&gt;0,VLOOKUP($L28,'Distribution Allocation Factors'!$B$13:$Z$47,15,FALSE)*$J28,0)+IF($F28&lt;&gt;0,VLOOKUP($H28,'Distribution Allocation Factors'!$B$13:$Z$47,15,FALSE)*$F28,0)</f>
        <v>0</v>
      </c>
      <c r="Y28" s="76">
        <f ca="1">IF($J28&lt;&gt;0,VLOOKUP($L28,'Distribution Allocation Factors'!$B$13:$Z$47,16,FALSE)*$J28,0)+IF($F28&lt;&gt;0,VLOOKUP($H28,'Distribution Allocation Factors'!$B$13:$Z$47,16,FALSE)*$F28,0)</f>
        <v>0</v>
      </c>
      <c r="Z28" s="76">
        <f ca="1">IF($J28&lt;&gt;0,VLOOKUP($L28,'Distribution Allocation Factors'!$B$13:$Z$47,17,FALSE)*$J28,0)+IF($F28&lt;&gt;0,VLOOKUP($H28,'Distribution Allocation Factors'!$B$13:$Z$47,17,FALSE)*$F28,0)</f>
        <v>0</v>
      </c>
      <c r="AA28" s="76">
        <f ca="1">IF($J28&lt;&gt;0,VLOOKUP($L28,'Distribution Allocation Factors'!$B$13:$Z$47,18,FALSE)*$J28,0)+IF($F28&lt;&gt;0,VLOOKUP($H28,'Distribution Allocation Factors'!$B$13:$Z$47,18,FALSE)*$F28,0)</f>
        <v>0</v>
      </c>
      <c r="AB28" s="76">
        <f ca="1">IF($J28&lt;&gt;0,VLOOKUP($L28,'Distribution Allocation Factors'!$B$13:$Z$47,19,FALSE)*$J28,0)+IF($F28&lt;&gt;0,VLOOKUP($H28,'Distribution Allocation Factors'!$B$13:$Z$47,19,FALSE)*$F28,0)</f>
        <v>0</v>
      </c>
      <c r="AC28" s="76">
        <f ca="1">IF($J28&lt;&gt;0,VLOOKUP($L28,'Distribution Allocation Factors'!$B$13:$Z$47,20,FALSE)*$J28,0)+IF($F28&lt;&gt;0,VLOOKUP($H28,'Distribution Allocation Factors'!$B$13:$Z$47,20,FALSE)*$F28,0)</f>
        <v>0</v>
      </c>
      <c r="AD28" s="76">
        <f ca="1">IF($J28&lt;&gt;0,VLOOKUP($L28,'Distribution Allocation Factors'!$B$13:$Z$47,21,FALSE)*$J28,0)+IF($F28&lt;&gt;0,VLOOKUP($H28,'Distribution Allocation Factors'!$B$13:$Z$47,21,FALSE)*$F28,0)</f>
        <v>0</v>
      </c>
      <c r="AE28" s="76">
        <f ca="1">IF($J28&lt;&gt;0,VLOOKUP($L28,'Distribution Allocation Factors'!$B$13:$Z$47,22,FALSE)*$J28,0)+IF($F28&lt;&gt;0,VLOOKUP($H28,'Distribution Allocation Factors'!$B$13:$Z$47,22,FALSE)*$F28,0)</f>
        <v>0</v>
      </c>
      <c r="AF28" s="76">
        <f ca="1">IF($J28&lt;&gt;0,VLOOKUP($L28,'Distribution Allocation Factors'!$B$13:$Z$47,23,FALSE)*$J28,0)+IF($F28&lt;&gt;0,VLOOKUP($H28,'Distribution Allocation Factors'!$B$13:$Z$47,23,FALSE)*$F28,0)</f>
        <v>0</v>
      </c>
      <c r="AG28" s="76">
        <f ca="1">IF($J28&lt;&gt;0,VLOOKUP($L28,'Distribution Allocation Factors'!$B$13:$Z$47,24,FALSE)*$J28,0)+IF($F28&lt;&gt;0,VLOOKUP($H28,'Distribution Allocation Factors'!$B$13:$Z$47,24,FALSE)*$F28,0)</f>
        <v>0</v>
      </c>
      <c r="AH28" s="76">
        <v>0</v>
      </c>
      <c r="AI28" s="106"/>
    </row>
    <row r="29" spans="1:35" x14ac:dyDescent="0.25">
      <c r="A29" s="2">
        <f t="shared" si="1"/>
        <v>12</v>
      </c>
      <c r="B29" s="79" t="s">
        <v>139</v>
      </c>
      <c r="D29" s="76">
        <f ca="1">'Rate Zone Allocation - Gas Cost'!F55</f>
        <v>0</v>
      </c>
      <c r="F29" s="48"/>
      <c r="J29" s="76">
        <f t="shared" ca="1" si="0"/>
        <v>0</v>
      </c>
      <c r="L29" s="2" t="s">
        <v>499</v>
      </c>
      <c r="N29" s="76">
        <f ca="1">IF($J29&lt;&gt;0,VLOOKUP($L29,'Distribution Allocation Factors'!$B$13:$Z$47,5,FALSE)*$J29,0)+IF($F29&lt;&gt;0,VLOOKUP($H29,'Distribution Allocation Factors'!$B$13:$Z$47,5,FALSE)*$F29,0)</f>
        <v>0</v>
      </c>
      <c r="O29" s="76">
        <f ca="1">IF($J29&lt;&gt;0,VLOOKUP($L29,'Distribution Allocation Factors'!$B$13:$Z$47,6,FALSE)*$J29,0)+IF($F29&lt;&gt;0,VLOOKUP($H29,'Distribution Allocation Factors'!$B$13:$Z$47,6,FALSE)*$F29,0)</f>
        <v>0</v>
      </c>
      <c r="P29" s="76">
        <f ca="1">IF($J29&lt;&gt;0,VLOOKUP($L29,'Distribution Allocation Factors'!$B$13:$Z$47,7,FALSE)*$J29,0)+IF($F29&lt;&gt;0,VLOOKUP($H29,'Distribution Allocation Factors'!$B$13:$Z$47,7,FALSE)*$F29,0)</f>
        <v>0</v>
      </c>
      <c r="Q29" s="76"/>
      <c r="R29" s="76"/>
      <c r="S29" s="76">
        <f ca="1">IF($J29&lt;&gt;0,VLOOKUP($L29,'Distribution Allocation Factors'!$B$13:$Z$47,10,FALSE)*$J29,0)+IF($F29&lt;&gt;0,VLOOKUP($H29,'Distribution Allocation Factors'!$B$13:$Z$47,10,FALSE)*$F29,0)</f>
        <v>0</v>
      </c>
      <c r="T29" s="76">
        <f ca="1">IF($J29&lt;&gt;0,VLOOKUP($L29,'Distribution Allocation Factors'!$B$13:$Z$47,11,FALSE)*$J29,0)+IF($F29&lt;&gt;0,VLOOKUP($H29,'Distribution Allocation Factors'!$B$13:$Z$47,11,FALSE)*$F29,0)</f>
        <v>0</v>
      </c>
      <c r="U29" s="76">
        <f ca="1">IF($J29&lt;&gt;0,VLOOKUP($L29,'Distribution Allocation Factors'!$B$13:$Z$47,12,FALSE)*$J29,0)+IF($F29&lt;&gt;0,VLOOKUP($H29,'Distribution Allocation Factors'!$B$13:$Z$47,12,FALSE)*$F29,0)</f>
        <v>0</v>
      </c>
      <c r="V29" s="76">
        <f ca="1">IF($J29&lt;&gt;0,VLOOKUP($L29,'Distribution Allocation Factors'!$B$13:$Z$47,13,FALSE)*$J29,0)+IF($F29&lt;&gt;0,VLOOKUP($H29,'Distribution Allocation Factors'!$B$13:$Z$47,13,FALSE)*$F29,0)</f>
        <v>0</v>
      </c>
      <c r="W29" s="76">
        <f ca="1">IF($J29&lt;&gt;0,VLOOKUP($L29,'Distribution Allocation Factors'!$B$13:$Z$47,14,FALSE)*$J29,0)+IF($F29&lt;&gt;0,VLOOKUP($H29,'Distribution Allocation Factors'!$B$13:$Z$47,14,FALSE)*$F29,0)</f>
        <v>0</v>
      </c>
      <c r="X29" s="76">
        <f ca="1">IF($J29&lt;&gt;0,VLOOKUP($L29,'Distribution Allocation Factors'!$B$13:$Z$47,15,FALSE)*$J29,0)+IF($F29&lt;&gt;0,VLOOKUP($H29,'Distribution Allocation Factors'!$B$13:$Z$47,15,FALSE)*$F29,0)</f>
        <v>0</v>
      </c>
      <c r="Y29" s="76">
        <f ca="1">IF($J29&lt;&gt;0,VLOOKUP($L29,'Distribution Allocation Factors'!$B$13:$Z$47,16,FALSE)*$J29,0)+IF($F29&lt;&gt;0,VLOOKUP($H29,'Distribution Allocation Factors'!$B$13:$Z$47,16,FALSE)*$F29,0)</f>
        <v>0</v>
      </c>
      <c r="Z29" s="76">
        <f ca="1">IF($J29&lt;&gt;0,VLOOKUP($L29,'Distribution Allocation Factors'!$B$13:$Z$47,17,FALSE)*$J29,0)+IF($F29&lt;&gt;0,VLOOKUP($H29,'Distribution Allocation Factors'!$B$13:$Z$47,17,FALSE)*$F29,0)</f>
        <v>0</v>
      </c>
      <c r="AA29" s="76">
        <f ca="1">IF($J29&lt;&gt;0,VLOOKUP($L29,'Distribution Allocation Factors'!$B$13:$Z$47,18,FALSE)*$J29,0)+IF($F29&lt;&gt;0,VLOOKUP($H29,'Distribution Allocation Factors'!$B$13:$Z$47,18,FALSE)*$F29,0)</f>
        <v>0</v>
      </c>
      <c r="AB29" s="76">
        <f ca="1">IF($J29&lt;&gt;0,VLOOKUP($L29,'Distribution Allocation Factors'!$B$13:$Z$47,19,FALSE)*$J29,0)+IF($F29&lt;&gt;0,VLOOKUP($H29,'Distribution Allocation Factors'!$B$13:$Z$47,19,FALSE)*$F29,0)</f>
        <v>0</v>
      </c>
      <c r="AC29" s="76">
        <f ca="1">IF($J29&lt;&gt;0,VLOOKUP($L29,'Distribution Allocation Factors'!$B$13:$Z$47,20,FALSE)*$J29,0)+IF($F29&lt;&gt;0,VLOOKUP($H29,'Distribution Allocation Factors'!$B$13:$Z$47,20,FALSE)*$F29,0)</f>
        <v>0</v>
      </c>
      <c r="AD29" s="76">
        <f ca="1">IF($J29&lt;&gt;0,VLOOKUP($L29,'Distribution Allocation Factors'!$B$13:$Z$47,21,FALSE)*$J29,0)+IF($F29&lt;&gt;0,VLOOKUP($H29,'Distribution Allocation Factors'!$B$13:$Z$47,21,FALSE)*$F29,0)</f>
        <v>0</v>
      </c>
      <c r="AE29" s="76">
        <f ca="1">IF($J29&lt;&gt;0,VLOOKUP($L29,'Distribution Allocation Factors'!$B$13:$Z$47,22,FALSE)*$J29,0)+IF($F29&lt;&gt;0,VLOOKUP($H29,'Distribution Allocation Factors'!$B$13:$Z$47,22,FALSE)*$F29,0)</f>
        <v>0</v>
      </c>
      <c r="AF29" s="76">
        <f ca="1">IF($J29&lt;&gt;0,VLOOKUP($L29,'Distribution Allocation Factors'!$B$13:$Z$47,23,FALSE)*$J29,0)+IF($F29&lt;&gt;0,VLOOKUP($H29,'Distribution Allocation Factors'!$B$13:$Z$47,23,FALSE)*$F29,0)</f>
        <v>0</v>
      </c>
      <c r="AG29" s="76">
        <f ca="1">IF($J29&lt;&gt;0,VLOOKUP($L29,'Distribution Allocation Factors'!$B$13:$Z$47,24,FALSE)*$J29,0)+IF($F29&lt;&gt;0,VLOOKUP($H29,'Distribution Allocation Factors'!$B$13:$Z$47,24,FALSE)*$F29,0)</f>
        <v>0</v>
      </c>
      <c r="AH29" s="76">
        <v>0</v>
      </c>
      <c r="AI29" s="106"/>
    </row>
    <row r="30" spans="1:35" x14ac:dyDescent="0.25">
      <c r="A30" s="2">
        <f t="shared" si="1"/>
        <v>13</v>
      </c>
      <c r="B30" s="31" t="s">
        <v>415</v>
      </c>
      <c r="D30" s="76">
        <f ca="1">'Rate Zone Allocation - Gas Cost'!F56</f>
        <v>18339.883386175716</v>
      </c>
      <c r="F30" s="48"/>
      <c r="J30" s="76">
        <f t="shared" ca="1" si="0"/>
        <v>18339.883386175716</v>
      </c>
      <c r="L30" s="2" t="s">
        <v>500</v>
      </c>
      <c r="N30" s="76">
        <f ca="1">IF($J30&lt;&gt;0,VLOOKUP($L30,'Distribution Allocation Factors'!$B$13:$Z$47,5,FALSE)*$J30,0)+IF($F30&lt;&gt;0,VLOOKUP($H30,'Distribution Allocation Factors'!$B$13:$Z$47,5,FALSE)*$F30,0)</f>
        <v>6939.0261490353669</v>
      </c>
      <c r="O30" s="76">
        <f ca="1">IF($J30&lt;&gt;0,VLOOKUP($L30,'Distribution Allocation Factors'!$B$13:$Z$47,6,FALSE)*$J30,0)+IF($F30&lt;&gt;0,VLOOKUP($H30,'Distribution Allocation Factors'!$B$13:$Z$47,6,FALSE)*$F30,0)</f>
        <v>3563.4314753823942</v>
      </c>
      <c r="P30" s="76">
        <f ca="1">IF($J30&lt;&gt;0,VLOOKUP($L30,'Distribution Allocation Factors'!$B$13:$Z$47,7,FALSE)*$J30,0)+IF($F30&lt;&gt;0,VLOOKUP($H30,'Distribution Allocation Factors'!$B$13:$Z$47,7,FALSE)*$F30,0)</f>
        <v>1954.8975842252632</v>
      </c>
      <c r="Q30" s="76"/>
      <c r="R30" s="76"/>
      <c r="S30" s="76">
        <f ca="1">IF($J30&lt;&gt;0,VLOOKUP($L30,'Distribution Allocation Factors'!$B$13:$Z$47,10,FALSE)*$J30,0)+IF($F30&lt;&gt;0,VLOOKUP($H30,'Distribution Allocation Factors'!$B$13:$Z$47,10,FALSE)*$F30,0)</f>
        <v>2627.2487543281791</v>
      </c>
      <c r="T30" s="76">
        <f ca="1">IF($J30&lt;&gt;0,VLOOKUP($L30,'Distribution Allocation Factors'!$B$13:$Z$47,11,FALSE)*$J30,0)+IF($F30&lt;&gt;0,VLOOKUP($H30,'Distribution Allocation Factors'!$B$13:$Z$47,11,FALSE)*$F30,0)</f>
        <v>53.006927065053176</v>
      </c>
      <c r="U30" s="76">
        <f ca="1">IF($J30&lt;&gt;0,VLOOKUP($L30,'Distribution Allocation Factors'!$B$13:$Z$47,12,FALSE)*$J30,0)+IF($F30&lt;&gt;0,VLOOKUP($H30,'Distribution Allocation Factors'!$B$13:$Z$47,12,FALSE)*$F30,0)</f>
        <v>617.32312911267707</v>
      </c>
      <c r="V30" s="76">
        <f ca="1">IF($J30&lt;&gt;0,VLOOKUP($L30,'Distribution Allocation Factors'!$B$13:$Z$47,13,FALSE)*$J30,0)+IF($F30&lt;&gt;0,VLOOKUP($H30,'Distribution Allocation Factors'!$B$13:$Z$47,13,FALSE)*$F30,0)</f>
        <v>38.79983339643352</v>
      </c>
      <c r="W30" s="76">
        <f ca="1">IF($J30&lt;&gt;0,VLOOKUP($L30,'Distribution Allocation Factors'!$B$13:$Z$47,14,FALSE)*$J30,0)+IF($F30&lt;&gt;0,VLOOKUP($H30,'Distribution Allocation Factors'!$B$13:$Z$47,14,FALSE)*$F30,0)</f>
        <v>1797.440200501954</v>
      </c>
      <c r="X30" s="76">
        <f ca="1">IF($J30&lt;&gt;0,VLOOKUP($L30,'Distribution Allocation Factors'!$B$13:$Z$47,15,FALSE)*$J30,0)+IF($F30&lt;&gt;0,VLOOKUP($H30,'Distribution Allocation Factors'!$B$13:$Z$47,15,FALSE)*$F30,0)</f>
        <v>42.168733348522117</v>
      </c>
      <c r="Y30" s="76">
        <f ca="1">IF($J30&lt;&gt;0,VLOOKUP($L30,'Distribution Allocation Factors'!$B$13:$Z$47,16,FALSE)*$J30,0)+IF($F30&lt;&gt;0,VLOOKUP($H30,'Distribution Allocation Factors'!$B$13:$Z$47,16,FALSE)*$F30,0)</f>
        <v>316.86754750621776</v>
      </c>
      <c r="Z30" s="76">
        <f ca="1">IF($J30&lt;&gt;0,VLOOKUP($L30,'Distribution Allocation Factors'!$B$13:$Z$47,17,FALSE)*$J30,0)+IF($F30&lt;&gt;0,VLOOKUP($H30,'Distribution Allocation Factors'!$B$13:$Z$47,17,FALSE)*$F30,0)</f>
        <v>36.645025339368217</v>
      </c>
      <c r="AA30" s="76">
        <f ca="1">IF($J30&lt;&gt;0,VLOOKUP($L30,'Distribution Allocation Factors'!$B$13:$Z$47,18,FALSE)*$J30,0)+IF($F30&lt;&gt;0,VLOOKUP($H30,'Distribution Allocation Factors'!$B$13:$Z$47,18,FALSE)*$F30,0)</f>
        <v>0</v>
      </c>
      <c r="AB30" s="76">
        <f ca="1">IF($J30&lt;&gt;0,VLOOKUP($L30,'Distribution Allocation Factors'!$B$13:$Z$47,19,FALSE)*$J30,0)+IF($F30&lt;&gt;0,VLOOKUP($H30,'Distribution Allocation Factors'!$B$13:$Z$47,19,FALSE)*$F30,0)</f>
        <v>0</v>
      </c>
      <c r="AC30" s="76">
        <f ca="1">IF($J30&lt;&gt;0,VLOOKUP($L30,'Distribution Allocation Factors'!$B$13:$Z$47,20,FALSE)*$J30,0)+IF($F30&lt;&gt;0,VLOOKUP($H30,'Distribution Allocation Factors'!$B$13:$Z$47,20,FALSE)*$F30,0)</f>
        <v>186.44904686793939</v>
      </c>
      <c r="AD30" s="76">
        <f ca="1">IF($J30&lt;&gt;0,VLOOKUP($L30,'Distribution Allocation Factors'!$B$13:$Z$47,21,FALSE)*$J30,0)+IF($F30&lt;&gt;0,VLOOKUP($H30,'Distribution Allocation Factors'!$B$13:$Z$47,21,FALSE)*$F30,0)</f>
        <v>166.57898006634625</v>
      </c>
      <c r="AE30" s="76">
        <f ca="1">IF($J30&lt;&gt;0,VLOOKUP($L30,'Distribution Allocation Factors'!$B$13:$Z$47,22,FALSE)*$J30,0)+IF($F30&lt;&gt;0,VLOOKUP($H30,'Distribution Allocation Factors'!$B$13:$Z$47,22,FALSE)*$F30,0)</f>
        <v>0</v>
      </c>
      <c r="AF30" s="76">
        <f ca="1">IF($J30&lt;&gt;0,VLOOKUP($L30,'Distribution Allocation Factors'!$B$13:$Z$47,23,FALSE)*$J30,0)+IF($F30&lt;&gt;0,VLOOKUP($H30,'Distribution Allocation Factors'!$B$13:$Z$47,23,FALSE)*$F30,0)</f>
        <v>0</v>
      </c>
      <c r="AG30" s="76">
        <f ca="1">IF($J30&lt;&gt;0,VLOOKUP($L30,'Distribution Allocation Factors'!$B$13:$Z$47,24,FALSE)*$J30,0)+IF($F30&lt;&gt;0,VLOOKUP($H30,'Distribution Allocation Factors'!$B$13:$Z$47,24,FALSE)*$F30,0)</f>
        <v>0</v>
      </c>
      <c r="AH30" s="76">
        <v>0</v>
      </c>
      <c r="AI30" s="106"/>
    </row>
    <row r="31" spans="1:35" ht="13" thickBot="1" x14ac:dyDescent="0.3">
      <c r="A31" s="2">
        <f t="shared" si="1"/>
        <v>14</v>
      </c>
      <c r="B31" s="31" t="s">
        <v>417</v>
      </c>
      <c r="D31" s="140">
        <f ca="1">SUM(D16:D30)</f>
        <v>29049.873472442094</v>
      </c>
      <c r="F31" s="140">
        <f>SUM(F16:F30)</f>
        <v>0</v>
      </c>
      <c r="J31" s="140">
        <f ca="1">SUM(J16:J30)</f>
        <v>29049.873472442094</v>
      </c>
      <c r="N31" s="140">
        <f ca="1">SUM(N16:N30)</f>
        <v>11976.864490766136</v>
      </c>
      <c r="O31" s="140">
        <f t="shared" ref="O31:AF31" ca="1" si="2">SUM(O16:O30)</f>
        <v>5901.2411358852332</v>
      </c>
      <c r="P31" s="140">
        <f t="shared" ca="1" si="2"/>
        <v>2789.7929709434111</v>
      </c>
      <c r="Q31" s="140"/>
      <c r="R31" s="140"/>
      <c r="S31" s="140">
        <f t="shared" ca="1" si="2"/>
        <v>3501.6691363949421</v>
      </c>
      <c r="T31" s="140">
        <f t="shared" ca="1" si="2"/>
        <v>53.006927065053176</v>
      </c>
      <c r="U31" s="140">
        <f t="shared" ca="1" si="2"/>
        <v>862.31588925025972</v>
      </c>
      <c r="V31" s="140">
        <f t="shared" ca="1" si="2"/>
        <v>38.79983339643352</v>
      </c>
      <c r="W31" s="140">
        <f t="shared" ca="1" si="2"/>
        <v>2958.7821980398521</v>
      </c>
      <c r="X31" s="140">
        <f t="shared" ca="1" si="2"/>
        <v>42.168733348522117</v>
      </c>
      <c r="Y31" s="140">
        <f t="shared" ca="1" si="2"/>
        <v>316.93417602036254</v>
      </c>
      <c r="Z31" s="140">
        <f t="shared" ca="1" si="2"/>
        <v>37.540541514173555</v>
      </c>
      <c r="AA31" s="140">
        <f t="shared" ca="1" si="2"/>
        <v>0</v>
      </c>
      <c r="AB31" s="140">
        <f t="shared" ca="1" si="2"/>
        <v>10.793400366745637</v>
      </c>
      <c r="AC31" s="140">
        <f t="shared" ca="1" si="2"/>
        <v>269.5846607236075</v>
      </c>
      <c r="AD31" s="140">
        <f t="shared" ca="1" si="2"/>
        <v>290.37937872735733</v>
      </c>
      <c r="AE31" s="140">
        <f t="shared" ca="1" si="2"/>
        <v>0</v>
      </c>
      <c r="AF31" s="140">
        <f t="shared" ca="1" si="2"/>
        <v>0</v>
      </c>
      <c r="AG31" s="140">
        <f ca="1">SUM(AG16:AG30)</f>
        <v>0</v>
      </c>
      <c r="AH31" s="140">
        <f t="shared" ref="AH31" si="3">SUM(AH16:AH30)</f>
        <v>0</v>
      </c>
      <c r="AI31" s="106"/>
    </row>
    <row r="32" spans="1:35" ht="13" thickTop="1" x14ac:dyDescent="0.25">
      <c r="F32" s="48"/>
      <c r="J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spans="2:35" x14ac:dyDescent="0.25">
      <c r="F33" s="48"/>
      <c r="J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I33" s="48"/>
    </row>
    <row r="34" spans="2:35" x14ac:dyDescent="0.25">
      <c r="D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2:35" ht="13" x14ac:dyDescent="0.3">
      <c r="B35" s="134"/>
      <c r="C35" s="134"/>
      <c r="D35" s="134"/>
      <c r="E35" s="134"/>
      <c r="F35" s="134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2:35" x14ac:dyDescent="0.25"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2:35" ht="13" x14ac:dyDescent="0.3">
      <c r="L37" s="107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2:35" x14ac:dyDescent="0.25"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40" spans="2:35" x14ac:dyDescent="0.25">
      <c r="N40" s="48"/>
    </row>
  </sheetData>
  <mergeCells count="2">
    <mergeCell ref="B6:L6"/>
    <mergeCell ref="B7:L7"/>
  </mergeCells>
  <phoneticPr fontId="12" type="noConversion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A519-1884-480A-98EA-2D51842D5F0B}">
  <dimension ref="A1:AA82"/>
  <sheetViews>
    <sheetView zoomScale="80" zoomScaleNormal="80" workbookViewId="0">
      <selection activeCell="B14" sqref="B14"/>
    </sheetView>
  </sheetViews>
  <sheetFormatPr defaultColWidth="8.7265625" defaultRowHeight="14.5" x14ac:dyDescent="0.35"/>
  <cols>
    <col min="1" max="1" width="8.7265625" style="2"/>
    <col min="2" max="2" width="29.1796875" style="31" customWidth="1"/>
    <col min="3" max="3" width="4.26953125" style="31" bestFit="1" customWidth="1"/>
    <col min="4" max="4" width="15.1796875" style="31" bestFit="1" customWidth="1"/>
    <col min="5" max="5" width="2.81640625" style="31" customWidth="1"/>
    <col min="6" max="8" width="14.7265625" style="31" customWidth="1"/>
    <col min="9" max="10" width="14.7265625" style="31" hidden="1" customWidth="1"/>
    <col min="11" max="22" width="14.7265625" style="31" customWidth="1"/>
    <col min="23" max="26" width="14.7265625" style="57" customWidth="1"/>
    <col min="27" max="16384" width="8.7265625" style="57"/>
  </cols>
  <sheetData>
    <row r="1" spans="1:27" customFormat="1" x14ac:dyDescent="0.35">
      <c r="A1" s="18"/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customFormat="1" x14ac:dyDescent="0.35">
      <c r="A2" s="18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customFormat="1" x14ac:dyDescent="0.35">
      <c r="A3" s="18"/>
      <c r="B3" s="18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7" customFormat="1" x14ac:dyDescent="0.35">
      <c r="A4" s="18"/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7" customFormat="1" x14ac:dyDescent="0.35">
      <c r="A5" s="18"/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7" customFormat="1" x14ac:dyDescent="0.35">
      <c r="A6" s="18"/>
      <c r="B6" s="18"/>
      <c r="C6" s="1"/>
      <c r="D6" s="1"/>
      <c r="E6" s="1"/>
      <c r="F6" s="1"/>
      <c r="G6" s="1"/>
      <c r="H6" s="1"/>
      <c r="I6" s="1"/>
      <c r="J6" s="1"/>
      <c r="K6" s="125" t="s">
        <v>503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7" customFormat="1" x14ac:dyDescent="0.35">
      <c r="A7" s="18"/>
      <c r="B7" s="18"/>
      <c r="C7" s="1"/>
      <c r="D7" s="1"/>
      <c r="E7" s="1"/>
      <c r="F7" s="1"/>
      <c r="G7" s="1"/>
      <c r="H7" s="1"/>
      <c r="I7" s="1"/>
      <c r="J7" s="1"/>
      <c r="K7" s="125" t="s">
        <v>504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7" customFormat="1" x14ac:dyDescent="0.35">
      <c r="A8" s="18"/>
      <c r="B8" s="18"/>
      <c r="C8" s="1"/>
      <c r="D8" s="1"/>
      <c r="E8" s="1"/>
      <c r="F8" s="1"/>
      <c r="G8" s="1"/>
      <c r="H8" s="1"/>
      <c r="I8" s="1"/>
      <c r="J8" s="1"/>
      <c r="K8" s="125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7" customFormat="1" x14ac:dyDescent="0.35">
      <c r="A9" s="18" t="s">
        <v>6</v>
      </c>
      <c r="B9" s="18"/>
      <c r="C9" s="1"/>
      <c r="D9" s="1"/>
      <c r="E9" s="1"/>
      <c r="F9" s="156" t="s">
        <v>505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 t="s">
        <v>506</v>
      </c>
      <c r="U9" s="156"/>
      <c r="V9" s="156"/>
      <c r="W9" s="156" t="s">
        <v>507</v>
      </c>
      <c r="X9" s="156"/>
      <c r="Y9" s="156"/>
      <c r="Z9" s="156"/>
    </row>
    <row r="10" spans="1:27" customFormat="1" x14ac:dyDescent="0.35">
      <c r="A10" s="4" t="s">
        <v>11</v>
      </c>
      <c r="B10" s="4" t="s">
        <v>423</v>
      </c>
      <c r="C10" s="1"/>
      <c r="D10" s="4" t="s">
        <v>2</v>
      </c>
      <c r="E10" s="1"/>
      <c r="F10" s="4" t="s">
        <v>508</v>
      </c>
      <c r="G10" s="4" t="s">
        <v>509</v>
      </c>
      <c r="H10" s="4" t="s">
        <v>510</v>
      </c>
      <c r="I10" s="4"/>
      <c r="J10" s="4"/>
      <c r="K10" s="4" t="s">
        <v>511</v>
      </c>
      <c r="L10" s="4" t="s">
        <v>512</v>
      </c>
      <c r="M10" s="4" t="s">
        <v>513</v>
      </c>
      <c r="N10" s="4" t="s">
        <v>514</v>
      </c>
      <c r="O10" s="4" t="s">
        <v>515</v>
      </c>
      <c r="P10" s="4" t="s">
        <v>516</v>
      </c>
      <c r="Q10" s="4" t="s">
        <v>517</v>
      </c>
      <c r="R10" s="4" t="s">
        <v>518</v>
      </c>
      <c r="S10" s="4" t="s">
        <v>519</v>
      </c>
      <c r="T10" s="4" t="s">
        <v>520</v>
      </c>
      <c r="U10" s="4" t="s">
        <v>521</v>
      </c>
      <c r="V10" s="142" t="s">
        <v>522</v>
      </c>
      <c r="W10" s="112" t="s">
        <v>523</v>
      </c>
      <c r="X10" s="4" t="s">
        <v>524</v>
      </c>
      <c r="Y10" s="4" t="s">
        <v>525</v>
      </c>
      <c r="Z10" s="4" t="s">
        <v>526</v>
      </c>
    </row>
    <row r="11" spans="1:27" customFormat="1" x14ac:dyDescent="0.35">
      <c r="A11" s="18"/>
      <c r="B11" s="18"/>
      <c r="C11" s="1"/>
      <c r="D11" s="18" t="s">
        <v>22</v>
      </c>
      <c r="E11" s="1"/>
      <c r="F11" s="18" t="s">
        <v>23</v>
      </c>
      <c r="G11" s="18" t="s">
        <v>24</v>
      </c>
      <c r="H11" s="18" t="s">
        <v>165</v>
      </c>
      <c r="I11" s="1"/>
      <c r="J11" s="1"/>
      <c r="K11" s="18" t="s">
        <v>26</v>
      </c>
      <c r="L11" s="18" t="s">
        <v>27</v>
      </c>
      <c r="M11" s="18" t="s">
        <v>28</v>
      </c>
      <c r="N11" s="18" t="s">
        <v>29</v>
      </c>
      <c r="O11" s="18" t="s">
        <v>30</v>
      </c>
      <c r="P11" s="18" t="s">
        <v>180</v>
      </c>
      <c r="Q11" s="18" t="s">
        <v>181</v>
      </c>
      <c r="R11" s="18" t="s">
        <v>241</v>
      </c>
      <c r="S11" s="18" t="s">
        <v>242</v>
      </c>
      <c r="T11" s="18" t="s">
        <v>285</v>
      </c>
      <c r="U11" s="18" t="s">
        <v>286</v>
      </c>
      <c r="V11" s="18" t="s">
        <v>441</v>
      </c>
      <c r="W11" s="18" t="s">
        <v>442</v>
      </c>
      <c r="X11" s="18" t="s">
        <v>443</v>
      </c>
      <c r="Y11" s="18" t="s">
        <v>444</v>
      </c>
      <c r="Z11" s="18" t="s">
        <v>487</v>
      </c>
      <c r="AA11" s="18"/>
    </row>
    <row r="13" spans="1:27" x14ac:dyDescent="0.35">
      <c r="A13" s="2">
        <v>1</v>
      </c>
      <c r="C13" s="31" t="s">
        <v>166</v>
      </c>
      <c r="D13" s="48">
        <f>SUM(F13:Z13)</f>
        <v>11615.535133857918</v>
      </c>
      <c r="F13" s="76">
        <v>8876.4426664305574</v>
      </c>
      <c r="G13" s="76">
        <v>77.511680378010809</v>
      </c>
      <c r="H13" s="76">
        <v>2005.9891354941828</v>
      </c>
      <c r="I13" s="76">
        <v>0</v>
      </c>
      <c r="J13" s="76">
        <v>0</v>
      </c>
      <c r="K13" s="76">
        <v>209.77664162030672</v>
      </c>
      <c r="L13" s="76">
        <v>0</v>
      </c>
      <c r="M13" s="76">
        <v>128.48819299243786</v>
      </c>
      <c r="N13" s="76">
        <v>0</v>
      </c>
      <c r="O13" s="76">
        <v>36.710912283553668</v>
      </c>
      <c r="P13" s="76">
        <v>0</v>
      </c>
      <c r="Q13" s="76">
        <v>136.35481705319935</v>
      </c>
      <c r="R13" s="76">
        <v>107.51052883040718</v>
      </c>
      <c r="S13" s="76">
        <v>0</v>
      </c>
      <c r="T13" s="76">
        <v>0</v>
      </c>
      <c r="U13" s="76">
        <v>13.11104010126917</v>
      </c>
      <c r="V13" s="76">
        <v>2.6222080202538338</v>
      </c>
      <c r="W13" s="76">
        <v>21.017310653740001</v>
      </c>
      <c r="X13" s="76">
        <v>0</v>
      </c>
      <c r="Y13" s="76">
        <v>0</v>
      </c>
      <c r="Z13" s="76">
        <v>0</v>
      </c>
    </row>
    <row r="14" spans="1:27" x14ac:dyDescent="0.35">
      <c r="A14" s="2">
        <v>2</v>
      </c>
      <c r="B14" s="2" t="s">
        <v>412</v>
      </c>
      <c r="D14" s="83">
        <f>SUM(F14:Z14)</f>
        <v>1.0000000000000002</v>
      </c>
      <c r="E14" s="85"/>
      <c r="F14" s="24">
        <f>IFERROR(F13/$D13,0)</f>
        <v>0.76418714799947285</v>
      </c>
      <c r="G14" s="24">
        <f t="shared" ref="G14:Z14" si="0">IFERROR(G13/$D13,0)</f>
        <v>6.6731045522021087E-3</v>
      </c>
      <c r="H14" s="24">
        <f t="shared" si="0"/>
        <v>0.17269881347497804</v>
      </c>
      <c r="I14" s="24">
        <f t="shared" si="0"/>
        <v>0</v>
      </c>
      <c r="J14" s="24">
        <f t="shared" si="0"/>
        <v>0</v>
      </c>
      <c r="K14" s="24">
        <f t="shared" si="0"/>
        <v>1.8060006637906204E-2</v>
      </c>
      <c r="L14" s="24">
        <f t="shared" si="0"/>
        <v>0</v>
      </c>
      <c r="M14" s="24">
        <f t="shared" si="0"/>
        <v>1.1061754065717548E-2</v>
      </c>
      <c r="N14" s="24">
        <f t="shared" si="0"/>
        <v>0</v>
      </c>
      <c r="O14" s="24">
        <f t="shared" si="0"/>
        <v>3.1605011616335846E-3</v>
      </c>
      <c r="P14" s="24">
        <f t="shared" si="0"/>
        <v>0</v>
      </c>
      <c r="Q14" s="24">
        <f t="shared" si="0"/>
        <v>1.1739004314639031E-2</v>
      </c>
      <c r="R14" s="24">
        <f t="shared" si="0"/>
        <v>9.2557534019269277E-3</v>
      </c>
      <c r="S14" s="24">
        <f t="shared" si="0"/>
        <v>0</v>
      </c>
      <c r="T14" s="24">
        <f t="shared" si="0"/>
        <v>0</v>
      </c>
      <c r="U14" s="24">
        <f t="shared" si="0"/>
        <v>1.1287504148691377E-3</v>
      </c>
      <c r="V14" s="24">
        <f t="shared" si="0"/>
        <v>2.2575008297382753E-4</v>
      </c>
      <c r="W14" s="24">
        <f t="shared" si="0"/>
        <v>1.809413893680801E-3</v>
      </c>
      <c r="X14" s="24">
        <f t="shared" si="0"/>
        <v>0</v>
      </c>
      <c r="Y14" s="24">
        <f t="shared" si="0"/>
        <v>0</v>
      </c>
      <c r="Z14" s="24">
        <f t="shared" si="0"/>
        <v>0</v>
      </c>
    </row>
    <row r="15" spans="1:27" x14ac:dyDescent="0.35">
      <c r="W15" s="31"/>
      <c r="X15" s="31"/>
      <c r="Y15" s="31"/>
      <c r="Z15" s="31"/>
    </row>
    <row r="16" spans="1:27" x14ac:dyDescent="0.35">
      <c r="A16" s="2">
        <v>3</v>
      </c>
      <c r="B16" s="2"/>
      <c r="C16" s="31" t="s">
        <v>166</v>
      </c>
      <c r="D16" s="48">
        <f>SUM(F16:Z16)</f>
        <v>23629.563072077839</v>
      </c>
      <c r="F16" s="76">
        <v>21042.820449348306</v>
      </c>
      <c r="G16" s="76">
        <v>183.75203155315913</v>
      </c>
      <c r="H16" s="76">
        <v>1825.5092375868148</v>
      </c>
      <c r="I16" s="76">
        <v>0</v>
      </c>
      <c r="J16" s="76">
        <v>0</v>
      </c>
      <c r="K16" s="76">
        <v>190.90292680646431</v>
      </c>
      <c r="L16" s="76">
        <v>0</v>
      </c>
      <c r="M16" s="76">
        <v>116.92804266895939</v>
      </c>
      <c r="N16" s="76">
        <v>0</v>
      </c>
      <c r="O16" s="76">
        <v>33.408012191131249</v>
      </c>
      <c r="P16" s="76">
        <v>0</v>
      </c>
      <c r="Q16" s="76">
        <v>124.08690242420181</v>
      </c>
      <c r="R16" s="76">
        <v>97.83774998831295</v>
      </c>
      <c r="S16" s="76">
        <v>0</v>
      </c>
      <c r="T16" s="76">
        <v>0</v>
      </c>
      <c r="U16" s="76">
        <v>11.931432925404019</v>
      </c>
      <c r="V16" s="76">
        <v>2.3862865850808039</v>
      </c>
      <c r="W16" s="76">
        <v>0</v>
      </c>
      <c r="X16" s="76">
        <v>0</v>
      </c>
      <c r="Y16" s="76">
        <v>0</v>
      </c>
      <c r="Z16" s="76">
        <v>0</v>
      </c>
    </row>
    <row r="17" spans="1:26" x14ac:dyDescent="0.35">
      <c r="A17" s="2">
        <v>4</v>
      </c>
      <c r="B17" s="2" t="s">
        <v>332</v>
      </c>
      <c r="D17" s="83">
        <f>SUM(F17:Z17)</f>
        <v>1</v>
      </c>
      <c r="E17" s="85"/>
      <c r="F17" s="24">
        <f>IFERROR(F16/$D16,0)</f>
        <v>0.89052939257323005</v>
      </c>
      <c r="G17" s="24">
        <f t="shared" ref="G17" si="1">IFERROR(G16/$D16,0)</f>
        <v>7.7763617969852329E-3</v>
      </c>
      <c r="H17" s="24">
        <f t="shared" ref="H17" si="2">IFERROR(H16/$D16,0)</f>
        <v>7.7255310731663515E-2</v>
      </c>
      <c r="I17" s="24">
        <f t="shared" ref="I17" si="3">IFERROR(I16/$D16,0)</f>
        <v>0</v>
      </c>
      <c r="J17" s="24">
        <f t="shared" ref="J17" si="4">IFERROR(J16/$D16,0)</f>
        <v>0</v>
      </c>
      <c r="K17" s="24">
        <f t="shared" ref="K17" si="5">IFERROR(K16/$D16,0)</f>
        <v>8.0789867431804979E-3</v>
      </c>
      <c r="L17" s="24">
        <f t="shared" ref="L17" si="6">IFERROR(L16/$D16,0)</f>
        <v>0</v>
      </c>
      <c r="M17" s="24">
        <f t="shared" ref="M17" si="7">IFERROR(M16/$D16,0)</f>
        <v>4.9483793801980555E-3</v>
      </c>
      <c r="N17" s="24">
        <f t="shared" ref="N17" si="8">IFERROR(N16/$D16,0)</f>
        <v>0</v>
      </c>
      <c r="O17" s="24">
        <f t="shared" ref="O17" si="9">IFERROR(O16/$D16,0)</f>
        <v>1.4138226800565869E-3</v>
      </c>
      <c r="P17" s="24">
        <f t="shared" ref="P17" si="10">IFERROR(P16/$D16,0)</f>
        <v>0</v>
      </c>
      <c r="Q17" s="24">
        <f t="shared" ref="Q17" si="11">IFERROR(Q16/$D16,0)</f>
        <v>5.251341383067324E-3</v>
      </c>
      <c r="R17" s="24">
        <f t="shared" ref="R17" si="12">IFERROR(R16/$D16,0)</f>
        <v>4.1404807058800048E-3</v>
      </c>
      <c r="S17" s="24">
        <f t="shared" ref="S17" si="13">IFERROR(S16/$D16,0)</f>
        <v>0</v>
      </c>
      <c r="T17" s="24">
        <f t="shared" ref="T17" si="14">IFERROR(T16/$D16,0)</f>
        <v>0</v>
      </c>
      <c r="U17" s="24">
        <f t="shared" ref="U17" si="15">IFERROR(U16/$D16,0)</f>
        <v>5.0493667144878112E-4</v>
      </c>
      <c r="V17" s="24">
        <f t="shared" ref="V17" si="16">IFERROR(V16/$D16,0)</f>
        <v>1.0098733428975624E-4</v>
      </c>
      <c r="W17" s="24">
        <f t="shared" ref="W17" si="17">IFERROR(W16/$D16,0)</f>
        <v>0</v>
      </c>
      <c r="X17" s="24">
        <f t="shared" ref="X17" si="18">IFERROR(X16/$D16,0)</f>
        <v>0</v>
      </c>
      <c r="Y17" s="24">
        <f t="shared" ref="Y17" si="19">IFERROR(Y16/$D16,0)</f>
        <v>0</v>
      </c>
      <c r="Z17" s="24">
        <f t="shared" ref="Z17" si="20">IFERROR(Z16/$D16,0)</f>
        <v>0</v>
      </c>
    </row>
    <row r="18" spans="1:26" x14ac:dyDescent="0.35">
      <c r="W18" s="31"/>
      <c r="X18" s="31"/>
      <c r="Y18" s="31"/>
      <c r="Z18" s="31"/>
    </row>
    <row r="19" spans="1:26" x14ac:dyDescent="0.35">
      <c r="A19" s="2">
        <v>5</v>
      </c>
      <c r="B19" s="2"/>
      <c r="C19" s="31" t="s">
        <v>167</v>
      </c>
      <c r="D19" s="48">
        <f>SUM(F19:Z19)</f>
        <v>1007</v>
      </c>
      <c r="F19" s="76">
        <v>0</v>
      </c>
      <c r="G19" s="76">
        <v>0</v>
      </c>
      <c r="H19" s="76">
        <f>H46</f>
        <v>765</v>
      </c>
      <c r="I19" s="76">
        <v>0</v>
      </c>
      <c r="J19" s="76">
        <v>0</v>
      </c>
      <c r="K19" s="76">
        <f t="shared" ref="K19:Z19" si="21">K46</f>
        <v>80</v>
      </c>
      <c r="L19" s="76">
        <f t="shared" si="21"/>
        <v>0</v>
      </c>
      <c r="M19" s="76">
        <f t="shared" si="21"/>
        <v>49</v>
      </c>
      <c r="N19" s="76">
        <f t="shared" si="21"/>
        <v>0</v>
      </c>
      <c r="O19" s="76">
        <f t="shared" si="21"/>
        <v>14</v>
      </c>
      <c r="P19" s="76">
        <f t="shared" si="21"/>
        <v>0</v>
      </c>
      <c r="Q19" s="76">
        <f t="shared" si="21"/>
        <v>52</v>
      </c>
      <c r="R19" s="76">
        <f t="shared" si="21"/>
        <v>41</v>
      </c>
      <c r="S19" s="76">
        <f t="shared" si="21"/>
        <v>0</v>
      </c>
      <c r="T19" s="76">
        <f t="shared" si="21"/>
        <v>0</v>
      </c>
      <c r="U19" s="76">
        <f t="shared" si="21"/>
        <v>5</v>
      </c>
      <c r="V19" s="76">
        <f t="shared" si="21"/>
        <v>1</v>
      </c>
      <c r="W19" s="76">
        <f t="shared" si="21"/>
        <v>0</v>
      </c>
      <c r="X19" s="76">
        <f t="shared" si="21"/>
        <v>0</v>
      </c>
      <c r="Y19" s="76">
        <f t="shared" si="21"/>
        <v>0</v>
      </c>
      <c r="Z19" s="76">
        <f t="shared" si="21"/>
        <v>0</v>
      </c>
    </row>
    <row r="20" spans="1:26" x14ac:dyDescent="0.35">
      <c r="A20" s="2">
        <v>6</v>
      </c>
      <c r="B20" s="2" t="s">
        <v>499</v>
      </c>
      <c r="D20" s="83">
        <f>SUM(F20:Z20)</f>
        <v>1</v>
      </c>
      <c r="E20" s="85"/>
      <c r="F20" s="24">
        <f>IFERROR(F19/$D19,0)</f>
        <v>0</v>
      </c>
      <c r="G20" s="24">
        <f t="shared" ref="G20" si="22">IFERROR(G19/$D19,0)</f>
        <v>0</v>
      </c>
      <c r="H20" s="24">
        <f t="shared" ref="H20" si="23">IFERROR(H19/$D19,0)</f>
        <v>0.75968222442899702</v>
      </c>
      <c r="I20" s="24">
        <f t="shared" ref="I20" si="24">IFERROR(I19/$D19,0)</f>
        <v>0</v>
      </c>
      <c r="J20" s="24">
        <f t="shared" ref="J20" si="25">IFERROR(J19/$D19,0)</f>
        <v>0</v>
      </c>
      <c r="K20" s="24">
        <f t="shared" ref="K20" si="26">IFERROR(K19/$D19,0)</f>
        <v>7.9443892750744788E-2</v>
      </c>
      <c r="L20" s="24">
        <f t="shared" ref="L20" si="27">IFERROR(L19/$D19,0)</f>
        <v>0</v>
      </c>
      <c r="M20" s="24">
        <f t="shared" ref="M20" si="28">IFERROR(M19/$D19,0)</f>
        <v>4.8659384309831182E-2</v>
      </c>
      <c r="N20" s="24">
        <f t="shared" ref="N20" si="29">IFERROR(N19/$D19,0)</f>
        <v>0</v>
      </c>
      <c r="O20" s="24">
        <f t="shared" ref="O20" si="30">IFERROR(O19/$D19,0)</f>
        <v>1.3902681231380337E-2</v>
      </c>
      <c r="P20" s="24">
        <f t="shared" ref="P20" si="31">IFERROR(P19/$D19,0)</f>
        <v>0</v>
      </c>
      <c r="Q20" s="24">
        <f t="shared" ref="Q20" si="32">IFERROR(Q19/$D19,0)</f>
        <v>5.1638530287984111E-2</v>
      </c>
      <c r="R20" s="24">
        <f t="shared" ref="R20" si="33">IFERROR(R19/$D19,0)</f>
        <v>4.0714995034756701E-2</v>
      </c>
      <c r="S20" s="24">
        <f t="shared" ref="S20" si="34">IFERROR(S19/$D19,0)</f>
        <v>0</v>
      </c>
      <c r="T20" s="24">
        <f t="shared" ref="T20" si="35">IFERROR(T19/$D19,0)</f>
        <v>0</v>
      </c>
      <c r="U20" s="24">
        <f t="shared" ref="U20" si="36">IFERROR(U19/$D19,0)</f>
        <v>4.9652432969215492E-3</v>
      </c>
      <c r="V20" s="24">
        <f t="shared" ref="V20" si="37">IFERROR(V19/$D19,0)</f>
        <v>9.930486593843098E-4</v>
      </c>
      <c r="W20" s="24">
        <f t="shared" ref="W20" si="38">IFERROR(W19/$D19,0)</f>
        <v>0</v>
      </c>
      <c r="X20" s="24">
        <f t="shared" ref="X20" si="39">IFERROR(X19/$D19,0)</f>
        <v>0</v>
      </c>
      <c r="Y20" s="24">
        <f t="shared" ref="Y20" si="40">IFERROR(Y19/$D19,0)</f>
        <v>0</v>
      </c>
      <c r="Z20" s="24">
        <f t="shared" ref="Z20" si="41">IFERROR(Z19/$D19,0)</f>
        <v>0</v>
      </c>
    </row>
    <row r="21" spans="1:26" x14ac:dyDescent="0.35">
      <c r="W21" s="31"/>
      <c r="X21" s="31"/>
      <c r="Y21" s="31"/>
      <c r="Z21" s="31"/>
    </row>
    <row r="22" spans="1:26" x14ac:dyDescent="0.35">
      <c r="A22" s="2">
        <v>7</v>
      </c>
      <c r="B22" s="2"/>
      <c r="C22" s="31" t="s">
        <v>166</v>
      </c>
      <c r="D22" s="48">
        <f>SUM(F22:Z22)</f>
        <v>16614.794064133472</v>
      </c>
      <c r="F22" s="76">
        <v>6286.3262565106443</v>
      </c>
      <c r="G22" s="76">
        <v>3228.247360054535</v>
      </c>
      <c r="H22" s="76">
        <v>1771.0156653917325</v>
      </c>
      <c r="I22" s="76">
        <v>0</v>
      </c>
      <c r="J22" s="76">
        <v>0</v>
      </c>
      <c r="K22" s="76">
        <v>2380.1240220162686</v>
      </c>
      <c r="L22" s="76">
        <v>48.0209802109351</v>
      </c>
      <c r="M22" s="76">
        <v>559.25637286030542</v>
      </c>
      <c r="N22" s="76">
        <v>35.150236674370468</v>
      </c>
      <c r="O22" s="76">
        <v>1628.3690656640586</v>
      </c>
      <c r="P22" s="76">
        <v>38.202250569334112</v>
      </c>
      <c r="Q22" s="76">
        <v>287.06229677508571</v>
      </c>
      <c r="R22" s="76">
        <v>33.198114550035569</v>
      </c>
      <c r="S22" s="76">
        <v>0</v>
      </c>
      <c r="T22" s="76">
        <v>0</v>
      </c>
      <c r="U22" s="76">
        <v>168.911243977694</v>
      </c>
      <c r="V22" s="76">
        <v>150.91019887847068</v>
      </c>
      <c r="W22" s="76">
        <v>0</v>
      </c>
      <c r="X22" s="76">
        <v>0</v>
      </c>
      <c r="Y22" s="76">
        <v>0</v>
      </c>
      <c r="Z22" s="76">
        <v>0</v>
      </c>
    </row>
    <row r="23" spans="1:26" x14ac:dyDescent="0.35">
      <c r="A23" s="2">
        <v>8</v>
      </c>
      <c r="B23" s="2" t="s">
        <v>500</v>
      </c>
      <c r="D23" s="83">
        <f>SUM(F23:Z23)</f>
        <v>0.99999999999999989</v>
      </c>
      <c r="E23" s="85"/>
      <c r="F23" s="24">
        <f>IFERROR(F22/$D22,0)</f>
        <v>0.37835715761780053</v>
      </c>
      <c r="G23" s="24">
        <f t="shared" ref="G23" si="42">IFERROR(G22/$D22,0)</f>
        <v>0.19429957106861687</v>
      </c>
      <c r="H23" s="24">
        <f t="shared" ref="H23" si="43">IFERROR(H22/$D22,0)</f>
        <v>0.1065926943515263</v>
      </c>
      <c r="I23" s="24">
        <f t="shared" ref="I23" si="44">IFERROR(I22/$D22,0)</f>
        <v>0</v>
      </c>
      <c r="J23" s="24">
        <f t="shared" ref="J23" si="45">IFERROR(J22/$D22,0)</f>
        <v>0</v>
      </c>
      <c r="K23" s="24">
        <f t="shared" ref="K23" si="46">IFERROR(K22/$D22,0)</f>
        <v>0.14325329659994204</v>
      </c>
      <c r="L23" s="24">
        <f t="shared" ref="L23" si="47">IFERROR(L22/$D22,0)</f>
        <v>2.8902543134493907E-3</v>
      </c>
      <c r="M23" s="24">
        <f t="shared" ref="M23" si="48">IFERROR(M22/$D22,0)</f>
        <v>3.3660144730146127E-2</v>
      </c>
      <c r="N23" s="24">
        <f t="shared" ref="N23" si="49">IFERROR(N22/$D22,0)</f>
        <v>2.1155986970822376E-3</v>
      </c>
      <c r="O23" s="24">
        <f t="shared" ref="O23" si="50">IFERROR(O22/$D22,0)</f>
        <v>9.8007177180681151E-2</v>
      </c>
      <c r="P23" s="24">
        <f t="shared" ref="P23" si="51">IFERROR(P22/$D22,0)</f>
        <v>2.2992912474191726E-3</v>
      </c>
      <c r="Q23" s="24">
        <f t="shared" ref="Q23" si="52">IFERROR(Q22/$D22,0)</f>
        <v>1.7277511575949658E-2</v>
      </c>
      <c r="R23" s="24">
        <f t="shared" ref="R23" si="53">IFERROR(R22/$D22,0)</f>
        <v>1.9981056895372953E-3</v>
      </c>
      <c r="S23" s="24">
        <f t="shared" ref="S23" si="54">IFERROR(S22/$D22,0)</f>
        <v>0</v>
      </c>
      <c r="T23" s="24">
        <f t="shared" ref="T23" si="55">IFERROR(T22/$D22,0)</f>
        <v>0</v>
      </c>
      <c r="U23" s="24">
        <f t="shared" ref="U23" si="56">IFERROR(U22/$D22,0)</f>
        <v>1.0166315834291588E-2</v>
      </c>
      <c r="V23" s="24">
        <f t="shared" ref="V23" si="57">IFERROR(V22/$D22,0)</f>
        <v>9.0828810935575845E-3</v>
      </c>
      <c r="W23" s="24">
        <f t="shared" ref="W23" si="58">IFERROR(W22/$D22,0)</f>
        <v>0</v>
      </c>
      <c r="X23" s="24">
        <f t="shared" ref="X23" si="59">IFERROR(X22/$D22,0)</f>
        <v>0</v>
      </c>
      <c r="Y23" s="24">
        <f t="shared" ref="Y23" si="60">IFERROR(Y22/$D22,0)</f>
        <v>0</v>
      </c>
      <c r="Z23" s="24">
        <f t="shared" ref="Z23" si="61">IFERROR(Z22/$D22,0)</f>
        <v>0</v>
      </c>
    </row>
    <row r="24" spans="1:26" x14ac:dyDescent="0.35">
      <c r="W24" s="31"/>
      <c r="X24" s="31"/>
      <c r="Y24" s="31"/>
      <c r="Z24" s="31"/>
    </row>
    <row r="25" spans="1:26" x14ac:dyDescent="0.35">
      <c r="A25" s="2">
        <v>9</v>
      </c>
      <c r="B25" s="2"/>
      <c r="C25" s="31" t="s">
        <v>166</v>
      </c>
      <c r="D25" s="48">
        <f>SUM(F25:Z25)</f>
        <v>32154.404883630974</v>
      </c>
      <c r="F25" s="76">
        <v>21271.613694305703</v>
      </c>
      <c r="G25" s="76">
        <v>5164.7488330981078</v>
      </c>
      <c r="H25" s="76">
        <v>3830.2645256262854</v>
      </c>
      <c r="I25" s="76">
        <v>0</v>
      </c>
      <c r="J25" s="76">
        <v>0</v>
      </c>
      <c r="K25" s="76">
        <v>732.19711848956263</v>
      </c>
      <c r="L25" s="76">
        <v>14.772685377842318</v>
      </c>
      <c r="M25" s="76">
        <v>320.89211558781869</v>
      </c>
      <c r="N25" s="76">
        <v>20.168628123382547</v>
      </c>
      <c r="O25" s="76">
        <v>153.06571754176616</v>
      </c>
      <c r="P25" s="76">
        <v>3.0185144449188863</v>
      </c>
      <c r="Q25" s="76">
        <v>327.72460937525904</v>
      </c>
      <c r="R25" s="76">
        <v>287.534011639038</v>
      </c>
      <c r="S25" s="76">
        <v>0</v>
      </c>
      <c r="T25" s="76">
        <v>0</v>
      </c>
      <c r="U25" s="76">
        <v>9.9347911153460871</v>
      </c>
      <c r="V25" s="76">
        <v>18.469638905946479</v>
      </c>
      <c r="W25" s="76">
        <v>0</v>
      </c>
      <c r="X25" s="76">
        <v>0</v>
      </c>
      <c r="Y25" s="76">
        <v>0</v>
      </c>
      <c r="Z25" s="76">
        <v>0</v>
      </c>
    </row>
    <row r="26" spans="1:26" x14ac:dyDescent="0.35">
      <c r="A26" s="2">
        <v>10</v>
      </c>
      <c r="B26" s="2" t="s">
        <v>496</v>
      </c>
      <c r="D26" s="83">
        <f>SUM(F26:Z26)</f>
        <v>1</v>
      </c>
      <c r="E26" s="85"/>
      <c r="F26" s="24">
        <f>IFERROR(F25/$D25,0)</f>
        <v>0.66154586817231265</v>
      </c>
      <c r="G26" s="24">
        <f t="shared" ref="G26" si="62">IFERROR(G25/$D25,0)</f>
        <v>0.16062336876672706</v>
      </c>
      <c r="H26" s="24">
        <f t="shared" ref="H26" si="63">IFERROR(H25/$D25,0)</f>
        <v>0.11912098947215098</v>
      </c>
      <c r="I26" s="24">
        <f t="shared" ref="I26" si="64">IFERROR(I25/$D25,0)</f>
        <v>0</v>
      </c>
      <c r="J26" s="24">
        <f t="shared" ref="J26" si="65">IFERROR(J25/$D25,0)</f>
        <v>0</v>
      </c>
      <c r="K26" s="24">
        <f t="shared" ref="K26" si="66">IFERROR(K25/$D25,0)</f>
        <v>2.2771285027337152E-2</v>
      </c>
      <c r="L26" s="24">
        <f t="shared" ref="L26" si="67">IFERROR(L25/$D25,0)</f>
        <v>4.5942960012184005E-4</v>
      </c>
      <c r="M26" s="24">
        <f t="shared" ref="M26" si="68">IFERROR(M25/$D25,0)</f>
        <v>9.9797249163574801E-3</v>
      </c>
      <c r="N26" s="24">
        <f t="shared" ref="N26" si="69">IFERROR(N25/$D25,0)</f>
        <v>6.272430852436614E-4</v>
      </c>
      <c r="O26" s="24">
        <f t="shared" ref="O26" si="70">IFERROR(O25/$D25,0)</f>
        <v>4.7603343335297799E-3</v>
      </c>
      <c r="P26" s="24">
        <f t="shared" ref="P26" si="71">IFERROR(P25/$D25,0)</f>
        <v>9.3875612247936165E-5</v>
      </c>
      <c r="Q26" s="24">
        <f t="shared" ref="Q26" si="72">IFERROR(Q25/$D25,0)</f>
        <v>1.0192215049891831E-2</v>
      </c>
      <c r="R26" s="24">
        <f t="shared" ref="R26" si="73">IFERROR(R25/$D25,0)</f>
        <v>8.9422899499973195E-3</v>
      </c>
      <c r="S26" s="24">
        <f t="shared" ref="S26" si="74">IFERROR(S25/$D25,0)</f>
        <v>0</v>
      </c>
      <c r="T26" s="24">
        <f t="shared" ref="T26" si="75">IFERROR(T25/$D25,0)</f>
        <v>0</v>
      </c>
      <c r="U26" s="24">
        <f t="shared" ref="U26" si="76">IFERROR(U25/$D25,0)</f>
        <v>3.0897138825304918E-4</v>
      </c>
      <c r="V26" s="24">
        <f t="shared" ref="V26" si="77">IFERROR(V25/$D25,0)</f>
        <v>5.7440462582931907E-4</v>
      </c>
      <c r="W26" s="24">
        <f t="shared" ref="W26" si="78">IFERROR(W25/$D25,0)</f>
        <v>0</v>
      </c>
      <c r="X26" s="24">
        <f t="shared" ref="X26" si="79">IFERROR(X25/$D25,0)</f>
        <v>0</v>
      </c>
      <c r="Y26" s="24">
        <f t="shared" ref="Y26" si="80">IFERROR(Y25/$D25,0)</f>
        <v>0</v>
      </c>
      <c r="Z26" s="24">
        <f t="shared" ref="Z26" si="81">IFERROR(Z25/$D25,0)</f>
        <v>0</v>
      </c>
    </row>
    <row r="27" spans="1:26" x14ac:dyDescent="0.35">
      <c r="W27" s="31"/>
      <c r="X27" s="31"/>
      <c r="Y27" s="31"/>
      <c r="Z27" s="31"/>
    </row>
    <row r="28" spans="1:26" x14ac:dyDescent="0.35">
      <c r="A28" s="2">
        <v>11</v>
      </c>
      <c r="B28" s="2"/>
      <c r="C28" s="31" t="s">
        <v>166</v>
      </c>
      <c r="D28" s="48">
        <f>SUM(F28:Z28)</f>
        <v>150927.52176876736</v>
      </c>
      <c r="F28" s="76">
        <v>116359.62847654951</v>
      </c>
      <c r="G28" s="76">
        <v>17644.61812066269</v>
      </c>
      <c r="H28" s="76">
        <v>9925.6225376718776</v>
      </c>
      <c r="I28" s="76">
        <v>0</v>
      </c>
      <c r="J28" s="76">
        <v>0</v>
      </c>
      <c r="K28" s="76">
        <v>3089.5210286576184</v>
      </c>
      <c r="L28" s="76">
        <v>62.333654383587088</v>
      </c>
      <c r="M28" s="76">
        <v>1212.5541321835967</v>
      </c>
      <c r="N28" s="76">
        <v>76.211138209748398</v>
      </c>
      <c r="O28" s="76">
        <v>726.10409452879912</v>
      </c>
      <c r="P28" s="76">
        <v>14.319050229205487</v>
      </c>
      <c r="Q28" s="76">
        <v>981.40805540857878</v>
      </c>
      <c r="R28" s="76">
        <v>692.12430664186002</v>
      </c>
      <c r="S28" s="76">
        <v>0</v>
      </c>
      <c r="T28" s="76">
        <v>0</v>
      </c>
      <c r="U28" s="76">
        <v>50.042962750004548</v>
      </c>
      <c r="V28" s="76">
        <v>93.034210890312877</v>
      </c>
      <c r="W28" s="76">
        <v>0</v>
      </c>
      <c r="X28" s="76">
        <v>0</v>
      </c>
      <c r="Y28" s="76">
        <v>0</v>
      </c>
      <c r="Z28" s="76">
        <v>0</v>
      </c>
    </row>
    <row r="29" spans="1:26" x14ac:dyDescent="0.35">
      <c r="A29" s="2">
        <v>12</v>
      </c>
      <c r="B29" s="2" t="s">
        <v>495</v>
      </c>
      <c r="D29" s="83">
        <f>SUM(F29:Z29)</f>
        <v>1.0000000000000002</v>
      </c>
      <c r="E29" s="85"/>
      <c r="F29" s="24">
        <f>IFERROR(F28/$D28,0)</f>
        <v>0.77096361957643122</v>
      </c>
      <c r="G29" s="24">
        <f t="shared" ref="G29" si="82">IFERROR(G28/$D28,0)</f>
        <v>0.11690789005132947</v>
      </c>
      <c r="H29" s="24">
        <f t="shared" ref="H29" si="83">IFERROR(H28/$D28,0)</f>
        <v>6.576416561638572E-2</v>
      </c>
      <c r="I29" s="24">
        <f t="shared" ref="I29" si="84">IFERROR(I28/$D28,0)</f>
        <v>0</v>
      </c>
      <c r="J29" s="24">
        <f t="shared" ref="J29" si="85">IFERROR(J28/$D28,0)</f>
        <v>0</v>
      </c>
      <c r="K29" s="24">
        <f t="shared" ref="K29" si="86">IFERROR(K28/$D28,0)</f>
        <v>2.0470229633737732E-2</v>
      </c>
      <c r="L29" s="24">
        <f t="shared" ref="L29" si="87">IFERROR(L28/$D28,0)</f>
        <v>4.1300389520134752E-4</v>
      </c>
      <c r="M29" s="24">
        <f t="shared" ref="M29" si="88">IFERROR(M28/$D28,0)</f>
        <v>8.0340160493811291E-3</v>
      </c>
      <c r="N29" s="24">
        <f t="shared" ref="N29" si="89">IFERROR(N28/$D28,0)</f>
        <v>5.0495189556288981E-4</v>
      </c>
      <c r="O29" s="24">
        <f t="shared" ref="O29" si="90">IFERROR(O28/$D28,0)</f>
        <v>4.8109455851348751E-3</v>
      </c>
      <c r="P29" s="24">
        <f t="shared" ref="P29" si="91">IFERROR(P28/$D28,0)</f>
        <v>9.4873685470986394E-5</v>
      </c>
      <c r="Q29" s="24">
        <f t="shared" ref="Q29" si="92">IFERROR(Q28/$D28,0)</f>
        <v>6.5025122251206897E-3</v>
      </c>
      <c r="R29" s="24">
        <f t="shared" ref="R29" si="93">IFERROR(R28/$D28,0)</f>
        <v>4.5858058128208585E-3</v>
      </c>
      <c r="S29" s="24">
        <f t="shared" ref="S29" si="94">IFERROR(S28/$D28,0)</f>
        <v>0</v>
      </c>
      <c r="T29" s="24">
        <f t="shared" ref="T29" si="95">IFERROR(T28/$D28,0)</f>
        <v>0</v>
      </c>
      <c r="U29" s="24">
        <f t="shared" ref="U29" si="96">IFERROR(U28/$D28,0)</f>
        <v>3.3156949881330618E-4</v>
      </c>
      <c r="V29" s="24">
        <f t="shared" ref="V29" si="97">IFERROR(V28/$D28,0)</f>
        <v>6.1641647460990243E-4</v>
      </c>
      <c r="W29" s="24">
        <f t="shared" ref="W29" si="98">IFERROR(W28/$D28,0)</f>
        <v>0</v>
      </c>
      <c r="X29" s="24">
        <f t="shared" ref="X29" si="99">IFERROR(X28/$D28,0)</f>
        <v>0</v>
      </c>
      <c r="Y29" s="24">
        <f t="shared" ref="Y29" si="100">IFERROR(Y28/$D28,0)</f>
        <v>0</v>
      </c>
      <c r="Z29" s="24">
        <f t="shared" ref="Z29" si="101">IFERROR(Z28/$D28,0)</f>
        <v>0</v>
      </c>
    </row>
    <row r="30" spans="1:26" x14ac:dyDescent="0.35">
      <c r="W30" s="31"/>
      <c r="X30" s="31"/>
      <c r="Y30" s="31"/>
      <c r="Z30" s="31"/>
    </row>
    <row r="31" spans="1:26" x14ac:dyDescent="0.35">
      <c r="A31" s="2">
        <v>13</v>
      </c>
      <c r="B31" s="2"/>
      <c r="C31" s="31" t="s">
        <v>166</v>
      </c>
      <c r="D31" s="48">
        <f>SUM(F31:Z31)</f>
        <v>167984.23798313434</v>
      </c>
      <c r="E31" s="76"/>
      <c r="F31" s="76">
        <v>105855.18481013924</v>
      </c>
      <c r="G31" s="76">
        <v>49122.114858976965</v>
      </c>
      <c r="H31" s="76">
        <v>10274.135663481273</v>
      </c>
      <c r="I31" s="76">
        <v>0</v>
      </c>
      <c r="J31" s="76">
        <v>0</v>
      </c>
      <c r="K31" s="76">
        <v>1874.6013167582169</v>
      </c>
      <c r="L31" s="76">
        <v>0</v>
      </c>
      <c r="M31" s="76">
        <v>629.41113684316861</v>
      </c>
      <c r="N31" s="76">
        <v>0</v>
      </c>
      <c r="O31" s="76">
        <v>0</v>
      </c>
      <c r="P31" s="76">
        <v>0</v>
      </c>
      <c r="Q31" s="76">
        <v>0</v>
      </c>
      <c r="R31" s="76">
        <v>13.137366186676918</v>
      </c>
      <c r="S31" s="76">
        <v>0</v>
      </c>
      <c r="T31" s="76">
        <v>0</v>
      </c>
      <c r="U31" s="76">
        <v>215.65283074876902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</row>
    <row r="32" spans="1:26" x14ac:dyDescent="0.35">
      <c r="A32" s="2">
        <v>14</v>
      </c>
      <c r="B32" s="2" t="s">
        <v>493</v>
      </c>
      <c r="D32" s="83">
        <f>SUM(F32:Z32)</f>
        <v>0.99999999999999989</v>
      </c>
      <c r="E32" s="85"/>
      <c r="F32" s="24">
        <f>IFERROR(F31/$D31,0)</f>
        <v>0.63014950736489406</v>
      </c>
      <c r="G32" s="24">
        <f t="shared" ref="G32" si="102">IFERROR(G31/$D31,0)</f>
        <v>0.29242097621033253</v>
      </c>
      <c r="H32" s="24">
        <f t="shared" ref="H32" si="103">IFERROR(H31/$D31,0)</f>
        <v>6.116130767288297E-2</v>
      </c>
      <c r="I32" s="24">
        <f t="shared" ref="I32" si="104">IFERROR(I31/$D31,0)</f>
        <v>0</v>
      </c>
      <c r="J32" s="24">
        <f t="shared" ref="J32" si="105">IFERROR(J31/$D31,0)</f>
        <v>0</v>
      </c>
      <c r="K32" s="24">
        <f t="shared" ref="K32" si="106">IFERROR(K31/$D31,0)</f>
        <v>1.1159388162039508E-2</v>
      </c>
      <c r="L32" s="24">
        <f t="shared" ref="L32" si="107">IFERROR(L31/$D31,0)</f>
        <v>0</v>
      </c>
      <c r="M32" s="24">
        <f t="shared" ref="M32" si="108">IFERROR(M31/$D31,0)</f>
        <v>3.7468463970194731E-3</v>
      </c>
      <c r="N32" s="24">
        <f t="shared" ref="N32" si="109">IFERROR(N31/$D31,0)</f>
        <v>0</v>
      </c>
      <c r="O32" s="24">
        <f t="shared" ref="O32" si="110">IFERROR(O31/$D31,0)</f>
        <v>0</v>
      </c>
      <c r="P32" s="24">
        <f t="shared" ref="P32" si="111">IFERROR(P31/$D31,0)</f>
        <v>0</v>
      </c>
      <c r="Q32" s="24">
        <f t="shared" ref="Q32" si="112">IFERROR(Q31/$D31,0)</f>
        <v>0</v>
      </c>
      <c r="R32" s="24">
        <f t="shared" ref="R32" si="113">IFERROR(R31/$D31,0)</f>
        <v>7.82059456554246E-5</v>
      </c>
      <c r="S32" s="24">
        <f t="shared" ref="S32" si="114">IFERROR(S31/$D31,0)</f>
        <v>0</v>
      </c>
      <c r="T32" s="24">
        <f t="shared" ref="T32" si="115">IFERROR(T31/$D31,0)</f>
        <v>0</v>
      </c>
      <c r="U32" s="24">
        <f t="shared" ref="U32" si="116">IFERROR(U31/$D31,0)</f>
        <v>1.2837682471757892E-3</v>
      </c>
      <c r="V32" s="24">
        <f t="shared" ref="V32" si="117">IFERROR(V31/$D31,0)</f>
        <v>0</v>
      </c>
      <c r="W32" s="24">
        <f t="shared" ref="W32" si="118">IFERROR(W31/$D31,0)</f>
        <v>0</v>
      </c>
      <c r="X32" s="24">
        <f t="shared" ref="X32" si="119">IFERROR(X31/$D31,0)</f>
        <v>0</v>
      </c>
      <c r="Y32" s="24">
        <f t="shared" ref="Y32" si="120">IFERROR(Y31/$D31,0)</f>
        <v>0</v>
      </c>
      <c r="Z32" s="24">
        <f t="shared" ref="Z32" si="121">IFERROR(Z31/$D31,0)</f>
        <v>0</v>
      </c>
    </row>
    <row r="33" spans="1:26" x14ac:dyDescent="0.35">
      <c r="W33" s="31"/>
      <c r="X33" s="31"/>
      <c r="Y33" s="31"/>
      <c r="Z33" s="31"/>
    </row>
    <row r="34" spans="1:26" x14ac:dyDescent="0.35">
      <c r="A34" s="2">
        <v>15</v>
      </c>
      <c r="B34" s="2"/>
      <c r="C34" s="31" t="s">
        <v>166</v>
      </c>
      <c r="D34" s="48">
        <f>SUM(F34:Z34)</f>
        <v>225038.57865097679</v>
      </c>
      <c r="F34" s="76">
        <v>105855.18481013924</v>
      </c>
      <c r="G34" s="76">
        <v>49122.114858976965</v>
      </c>
      <c r="H34" s="76">
        <v>17542.842676412591</v>
      </c>
      <c r="I34" s="76">
        <v>0</v>
      </c>
      <c r="J34" s="76">
        <v>0</v>
      </c>
      <c r="K34" s="76">
        <v>18373.342863881924</v>
      </c>
      <c r="L34" s="76">
        <v>0</v>
      </c>
      <c r="M34" s="76">
        <v>5147.7939827263854</v>
      </c>
      <c r="N34" s="76">
        <v>0</v>
      </c>
      <c r="O34" s="76">
        <v>24402.147000000001</v>
      </c>
      <c r="P34" s="76">
        <v>0</v>
      </c>
      <c r="Q34" s="76">
        <v>1.4</v>
      </c>
      <c r="R34" s="76">
        <v>18.816608186740801</v>
      </c>
      <c r="S34" s="76">
        <v>0</v>
      </c>
      <c r="T34" s="76">
        <v>226.79119754350052</v>
      </c>
      <c r="U34" s="76">
        <v>1746.8475905824182</v>
      </c>
      <c r="V34" s="76">
        <v>2601.29706252702</v>
      </c>
      <c r="W34" s="76">
        <v>0</v>
      </c>
      <c r="X34" s="76">
        <v>0</v>
      </c>
      <c r="Y34" s="76">
        <v>0</v>
      </c>
      <c r="Z34" s="76">
        <v>0</v>
      </c>
    </row>
    <row r="35" spans="1:26" x14ac:dyDescent="0.35">
      <c r="A35" s="2">
        <v>16</v>
      </c>
      <c r="B35" s="2" t="s">
        <v>492</v>
      </c>
      <c r="D35" s="83">
        <f>SUM(F35:Z35)</f>
        <v>1</v>
      </c>
      <c r="E35" s="85"/>
      <c r="F35" s="24">
        <f>IFERROR(F34/$D34,0)</f>
        <v>0.47038683520266611</v>
      </c>
      <c r="G35" s="24">
        <f t="shared" ref="G35" si="122">IFERROR(G34/$D34,0)</f>
        <v>0.21828308352037198</v>
      </c>
      <c r="H35" s="24">
        <f t="shared" ref="H35" si="123">IFERROR(H34/$D34,0)</f>
        <v>7.7954823486601529E-2</v>
      </c>
      <c r="I35" s="24">
        <f t="shared" ref="I35" si="124">IFERROR(I34/$D34,0)</f>
        <v>0</v>
      </c>
      <c r="J35" s="24">
        <f t="shared" ref="J35" si="125">IFERROR(J34/$D34,0)</f>
        <v>0</v>
      </c>
      <c r="K35" s="24">
        <f t="shared" ref="K35" si="126">IFERROR(K34/$D34,0)</f>
        <v>8.1645302658874458E-2</v>
      </c>
      <c r="L35" s="24">
        <f t="shared" ref="L35" si="127">IFERROR(L34/$D34,0)</f>
        <v>0</v>
      </c>
      <c r="M35" s="24">
        <f t="shared" ref="M35" si="128">IFERROR(M34/$D34,0)</f>
        <v>2.2875162177016538E-2</v>
      </c>
      <c r="N35" s="24">
        <f t="shared" ref="N35" si="129">IFERROR(N34/$D34,0)</f>
        <v>0</v>
      </c>
      <c r="O35" s="24">
        <f t="shared" ref="O35" si="130">IFERROR(O34/$D34,0)</f>
        <v>0.10843539426120563</v>
      </c>
      <c r="P35" s="24">
        <f t="shared" ref="P35" si="131">IFERROR(P34/$D34,0)</f>
        <v>0</v>
      </c>
      <c r="Q35" s="24">
        <f t="shared" ref="Q35" si="132">IFERROR(Q34/$D34,0)</f>
        <v>6.2211555387191082E-6</v>
      </c>
      <c r="R35" s="24">
        <f t="shared" ref="R35" si="133">IFERROR(R34/$D34,0)</f>
        <v>8.3615033029178464E-5</v>
      </c>
      <c r="S35" s="24">
        <f t="shared" ref="S35" si="134">IFERROR(S34/$D34,0)</f>
        <v>0</v>
      </c>
      <c r="T35" s="24">
        <f t="shared" ref="T35" si="135">IFERROR(T34/$D34,0)</f>
        <v>1.0077880819503483E-3</v>
      </c>
      <c r="U35" s="24">
        <f t="shared" ref="U35" si="136">IFERROR(U34/$D34,0)</f>
        <v>7.762436116749958E-3</v>
      </c>
      <c r="V35" s="24">
        <f t="shared" ref="V35" si="137">IFERROR(V34/$D34,0)</f>
        <v>1.1559338305995513E-2</v>
      </c>
      <c r="W35" s="24">
        <f t="shared" ref="W35" si="138">IFERROR(W34/$D34,0)</f>
        <v>0</v>
      </c>
      <c r="X35" s="24">
        <f t="shared" ref="X35" si="139">IFERROR(X34/$D34,0)</f>
        <v>0</v>
      </c>
      <c r="Y35" s="24">
        <f t="shared" ref="Y35" si="140">IFERROR(Y34/$D34,0)</f>
        <v>0</v>
      </c>
      <c r="Z35" s="24">
        <f t="shared" ref="Z35" si="141">IFERROR(Z34/$D34,0)</f>
        <v>0</v>
      </c>
    </row>
    <row r="36" spans="1:26" x14ac:dyDescent="0.35">
      <c r="W36" s="31"/>
      <c r="X36" s="31"/>
      <c r="Y36" s="31"/>
      <c r="Z36" s="31"/>
    </row>
    <row r="37" spans="1:26" x14ac:dyDescent="0.35">
      <c r="A37" s="2">
        <v>17</v>
      </c>
      <c r="B37" s="2"/>
      <c r="C37" s="31" t="s">
        <v>166</v>
      </c>
      <c r="D37" s="48">
        <f>SUM(F37:Z37)</f>
        <v>164969.10291520305</v>
      </c>
      <c r="F37" s="76">
        <v>105855.18481013924</v>
      </c>
      <c r="G37" s="76">
        <v>49122.114858976965</v>
      </c>
      <c r="H37" s="76">
        <v>7699.0644861178716</v>
      </c>
      <c r="I37" s="76">
        <v>0</v>
      </c>
      <c r="J37" s="76">
        <v>0</v>
      </c>
      <c r="K37" s="76">
        <v>1070.7471456764554</v>
      </c>
      <c r="L37" s="76">
        <v>125.73075442079353</v>
      </c>
      <c r="M37" s="76">
        <v>14.238999999998555</v>
      </c>
      <c r="N37" s="76">
        <v>258.50491313992683</v>
      </c>
      <c r="O37" s="76">
        <v>0</v>
      </c>
      <c r="P37" s="76">
        <v>630.53767603938797</v>
      </c>
      <c r="Q37" s="76">
        <v>184.90330975464926</v>
      </c>
      <c r="R37" s="76">
        <v>8.0759609377615789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</row>
    <row r="38" spans="1:26" x14ac:dyDescent="0.35">
      <c r="A38" s="2">
        <v>18</v>
      </c>
      <c r="B38" s="2" t="s">
        <v>494</v>
      </c>
      <c r="D38" s="83">
        <f>SUM(F38:Z38)</f>
        <v>1</v>
      </c>
      <c r="E38" s="85"/>
      <c r="F38" s="24">
        <f>IFERROR(F37/$D37,0)</f>
        <v>0.64166672994852025</v>
      </c>
      <c r="G38" s="24">
        <f t="shared" ref="G38" si="142">IFERROR(G37/$D37,0)</f>
        <v>0.29776554512893588</v>
      </c>
      <c r="H38" s="24">
        <f t="shared" ref="H38" si="143">IFERROR(H37/$D37,0)</f>
        <v>4.6669736029754147E-2</v>
      </c>
      <c r="I38" s="24">
        <f t="shared" ref="I38" si="144">IFERROR(I37/$D37,0)</f>
        <v>0</v>
      </c>
      <c r="J38" s="24">
        <f t="shared" ref="J38" si="145">IFERROR(J37/$D37,0)</f>
        <v>0</v>
      </c>
      <c r="K38" s="24">
        <f t="shared" ref="K38" si="146">IFERROR(K37/$D37,0)</f>
        <v>6.4905920366605729E-3</v>
      </c>
      <c r="L38" s="24">
        <f t="shared" ref="L38" si="147">IFERROR(L37/$D37,0)</f>
        <v>7.62147288182935E-4</v>
      </c>
      <c r="M38" s="24">
        <f t="shared" ref="M38" si="148">IFERROR(M37/$D37,0)</f>
        <v>8.6313132267668604E-5</v>
      </c>
      <c r="N38" s="24">
        <f t="shared" ref="N38" si="149">IFERROR(N37/$D37,0)</f>
        <v>1.5669898700534414E-3</v>
      </c>
      <c r="O38" s="24">
        <f t="shared" ref="O38" si="150">IFERROR(O37/$D37,0)</f>
        <v>0</v>
      </c>
      <c r="P38" s="24">
        <f t="shared" ref="P38" si="151">IFERROR(P37/$D37,0)</f>
        <v>3.8221561789270027E-3</v>
      </c>
      <c r="Q38" s="24">
        <f t="shared" ref="Q38" si="152">IFERROR(Q37/$D37,0)</f>
        <v>1.1208360019372399E-3</v>
      </c>
      <c r="R38" s="24">
        <f t="shared" ref="R38" si="153">IFERROR(R37/$D37,0)</f>
        <v>4.8954384760840707E-5</v>
      </c>
      <c r="S38" s="24">
        <f t="shared" ref="S38" si="154">IFERROR(S37/$D37,0)</f>
        <v>0</v>
      </c>
      <c r="T38" s="24">
        <f t="shared" ref="T38" si="155">IFERROR(T37/$D37,0)</f>
        <v>0</v>
      </c>
      <c r="U38" s="24">
        <f t="shared" ref="U38" si="156">IFERROR(U37/$D37,0)</f>
        <v>0</v>
      </c>
      <c r="V38" s="24">
        <f t="shared" ref="V38" si="157">IFERROR(V37/$D37,0)</f>
        <v>0</v>
      </c>
      <c r="W38" s="24">
        <f t="shared" ref="W38" si="158">IFERROR(W37/$D37,0)</f>
        <v>0</v>
      </c>
      <c r="X38" s="24">
        <f t="shared" ref="X38" si="159">IFERROR(X37/$D37,0)</f>
        <v>0</v>
      </c>
      <c r="Y38" s="24">
        <f t="shared" ref="Y38" si="160">IFERROR(Y37/$D37,0)</f>
        <v>0</v>
      </c>
      <c r="Z38" s="24">
        <f t="shared" ref="Z38" si="161">IFERROR(Z37/$D37,0)</f>
        <v>0</v>
      </c>
    </row>
    <row r="39" spans="1:26" x14ac:dyDescent="0.35">
      <c r="W39" s="31"/>
      <c r="X39" s="31"/>
      <c r="Y39" s="31"/>
      <c r="Z39" s="31"/>
    </row>
    <row r="40" spans="1:26" x14ac:dyDescent="0.35">
      <c r="A40" s="2">
        <v>19</v>
      </c>
      <c r="B40" s="2"/>
      <c r="C40" s="31" t="s">
        <v>166</v>
      </c>
      <c r="D40" s="48">
        <f>SUM(F40:Z40)</f>
        <v>1399556810.3094792</v>
      </c>
      <c r="F40" s="76">
        <v>1245907353.0215006</v>
      </c>
      <c r="G40" s="76">
        <v>129063636.19844</v>
      </c>
      <c r="H40" s="76">
        <v>14072914.155329969</v>
      </c>
      <c r="I40" s="76">
        <v>0</v>
      </c>
      <c r="J40" s="76">
        <v>0</v>
      </c>
      <c r="K40" s="76">
        <v>4770830.3726107217</v>
      </c>
      <c r="L40" s="76">
        <v>0</v>
      </c>
      <c r="M40" s="76">
        <v>1538527.4804888885</v>
      </c>
      <c r="N40" s="76">
        <v>53448.966800000002</v>
      </c>
      <c r="O40" s="76">
        <v>932811.64501367521</v>
      </c>
      <c r="P40" s="76">
        <v>0</v>
      </c>
      <c r="Q40" s="76">
        <v>1641962.7232457059</v>
      </c>
      <c r="R40" s="76">
        <v>1362402.6593830751</v>
      </c>
      <c r="S40" s="76">
        <v>0</v>
      </c>
      <c r="T40" s="76">
        <v>0</v>
      </c>
      <c r="U40" s="76">
        <v>108105.42</v>
      </c>
      <c r="V40" s="76">
        <v>104817.66666666667</v>
      </c>
      <c r="W40" s="76">
        <v>0</v>
      </c>
      <c r="X40" s="76">
        <v>0</v>
      </c>
      <c r="Y40" s="76">
        <v>0</v>
      </c>
      <c r="Z40" s="76">
        <v>0</v>
      </c>
    </row>
    <row r="41" spans="1:26" x14ac:dyDescent="0.35">
      <c r="A41" s="2">
        <v>20</v>
      </c>
      <c r="B41" s="2" t="s">
        <v>497</v>
      </c>
      <c r="D41" s="83">
        <f>SUM(F41:Z41)</f>
        <v>1.0000000000000002</v>
      </c>
      <c r="E41" s="85"/>
      <c r="F41" s="24">
        <f>IFERROR(F40/$D40,0)</f>
        <v>0.89021563386626468</v>
      </c>
      <c r="G41" s="24">
        <f t="shared" ref="G41" si="162">IFERROR(G40/$D40,0)</f>
        <v>9.2217504318313881E-2</v>
      </c>
      <c r="H41" s="24">
        <f t="shared" ref="H41" si="163">IFERROR(H40/$D40,0)</f>
        <v>1.0055264674978127E-2</v>
      </c>
      <c r="I41" s="24">
        <f t="shared" ref="I41" si="164">IFERROR(I40/$D40,0)</f>
        <v>0</v>
      </c>
      <c r="J41" s="24">
        <f t="shared" ref="J41" si="165">IFERROR(J40/$D40,0)</f>
        <v>0</v>
      </c>
      <c r="K41" s="24">
        <f t="shared" ref="K41" si="166">IFERROR(K40/$D40,0)</f>
        <v>3.4088150887964055E-3</v>
      </c>
      <c r="L41" s="24">
        <f t="shared" ref="L41" si="167">IFERROR(L40/$D40,0)</f>
        <v>0</v>
      </c>
      <c r="M41" s="24">
        <f t="shared" ref="M41" si="168">IFERROR(M40/$D40,0)</f>
        <v>1.0992961980219147E-3</v>
      </c>
      <c r="N41" s="24">
        <f t="shared" ref="N41" si="169">IFERROR(N40/$D40,0)</f>
        <v>3.8189922985820785E-5</v>
      </c>
      <c r="O41" s="24">
        <f t="shared" ref="O41" si="170">IFERROR(O40/$D40,0)</f>
        <v>6.6650502369203983E-4</v>
      </c>
      <c r="P41" s="24">
        <f t="shared" ref="P41" si="171">IFERROR(P40/$D40,0)</f>
        <v>0</v>
      </c>
      <c r="Q41" s="24">
        <f t="shared" ref="Q41" si="172">IFERROR(Q40/$D40,0)</f>
        <v>1.1732019101694231E-3</v>
      </c>
      <c r="R41" s="24">
        <f t="shared" ref="R41" si="173">IFERROR(R40/$D40,0)</f>
        <v>9.7345291691432775E-4</v>
      </c>
      <c r="S41" s="24">
        <f t="shared" ref="S41" si="174">IFERROR(S40/$D40,0)</f>
        <v>0</v>
      </c>
      <c r="T41" s="24">
        <f t="shared" ref="T41" si="175">IFERROR(T40/$D40,0)</f>
        <v>0</v>
      </c>
      <c r="U41" s="24">
        <f t="shared" ref="U41" si="176">IFERROR(U40/$D40,0)</f>
        <v>7.7242609377246366E-5</v>
      </c>
      <c r="V41" s="24">
        <f t="shared" ref="V41" si="177">IFERROR(V40/$D40,0)</f>
        <v>7.4893470486195335E-5</v>
      </c>
      <c r="W41" s="24">
        <f t="shared" ref="W41" si="178">IFERROR(W40/$D40,0)</f>
        <v>0</v>
      </c>
      <c r="X41" s="24">
        <f t="shared" ref="X41" si="179">IFERROR(X40/$D40,0)</f>
        <v>0</v>
      </c>
      <c r="Y41" s="24">
        <f t="shared" ref="Y41" si="180">IFERROR(Y40/$D40,0)</f>
        <v>0</v>
      </c>
      <c r="Z41" s="24">
        <f t="shared" ref="Z41" si="181">IFERROR(Z40/$D40,0)</f>
        <v>0</v>
      </c>
    </row>
    <row r="42" spans="1:26" x14ac:dyDescent="0.35">
      <c r="W42" s="31"/>
      <c r="X42" s="31"/>
      <c r="Y42" s="31"/>
      <c r="Z42" s="31"/>
    </row>
    <row r="43" spans="1:26" x14ac:dyDescent="0.35">
      <c r="A43" s="2">
        <v>21</v>
      </c>
      <c r="B43" s="2"/>
      <c r="C43" s="31" t="s">
        <v>166</v>
      </c>
      <c r="D43" s="48">
        <f>SUM(F43:Z43)</f>
        <v>525359910.57182533</v>
      </c>
      <c r="F43" s="76">
        <v>176879618.14808804</v>
      </c>
      <c r="G43" s="76">
        <v>229483469.41722792</v>
      </c>
      <c r="H43" s="76">
        <v>46357254.993743464</v>
      </c>
      <c r="I43" s="76">
        <v>0</v>
      </c>
      <c r="J43" s="76">
        <v>0</v>
      </c>
      <c r="K43" s="76">
        <v>35109374.361662835</v>
      </c>
      <c r="L43" s="76">
        <v>0</v>
      </c>
      <c r="M43" s="76">
        <v>4412504.2898531258</v>
      </c>
      <c r="N43" s="76">
        <v>31653.494010303588</v>
      </c>
      <c r="O43" s="76">
        <v>21292271.427984316</v>
      </c>
      <c r="P43" s="76">
        <v>65504.268591263957</v>
      </c>
      <c r="Q43" s="76">
        <v>5190353.2223832691</v>
      </c>
      <c r="R43" s="76">
        <v>2273903.2336842106</v>
      </c>
      <c r="S43" s="76">
        <v>0</v>
      </c>
      <c r="T43" s="76">
        <v>0</v>
      </c>
      <c r="U43" s="76">
        <v>769124.95438400004</v>
      </c>
      <c r="V43" s="76">
        <v>3494878.760212617</v>
      </c>
      <c r="W43" s="76">
        <v>0</v>
      </c>
      <c r="X43" s="76">
        <v>0</v>
      </c>
      <c r="Y43" s="76">
        <v>0</v>
      </c>
      <c r="Z43" s="76">
        <v>0</v>
      </c>
    </row>
    <row r="44" spans="1:26" x14ac:dyDescent="0.35">
      <c r="A44" s="2">
        <v>22</v>
      </c>
      <c r="B44" s="2" t="s">
        <v>498</v>
      </c>
      <c r="D44" s="83">
        <f>SUM(F44:Z44)</f>
        <v>1</v>
      </c>
      <c r="E44" s="85"/>
      <c r="F44" s="24">
        <f>IFERROR(F43/$D43,0)</f>
        <v>0.33668274755788713</v>
      </c>
      <c r="G44" s="24">
        <f t="shared" ref="G44" si="182">IFERROR(G43/$D43,0)</f>
        <v>0.43681191655344964</v>
      </c>
      <c r="H44" s="24">
        <f t="shared" ref="H44" si="183">IFERROR(H43/$D43,0)</f>
        <v>8.8239041580630215E-2</v>
      </c>
      <c r="I44" s="24">
        <f t="shared" ref="I44" si="184">IFERROR(I43/$D43,0)</f>
        <v>0</v>
      </c>
      <c r="J44" s="24">
        <f t="shared" ref="J44" si="185">IFERROR(J43/$D43,0)</f>
        <v>0</v>
      </c>
      <c r="K44" s="24">
        <f t="shared" ref="K44" si="186">IFERROR(K43/$D43,0)</f>
        <v>6.682918444128752E-2</v>
      </c>
      <c r="L44" s="24">
        <f t="shared" ref="L44" si="187">IFERROR(L43/$D43,0)</f>
        <v>0</v>
      </c>
      <c r="M44" s="24">
        <f t="shared" ref="M44" si="188">IFERROR(M43/$D43,0)</f>
        <v>8.3990121839528226E-3</v>
      </c>
      <c r="N44" s="24">
        <f t="shared" ref="N44" si="189">IFERROR(N43/$D43,0)</f>
        <v>6.0251064790707958E-5</v>
      </c>
      <c r="O44" s="24">
        <f t="shared" ref="O44" si="190">IFERROR(O43/$D43,0)</f>
        <v>4.052892312397581E-2</v>
      </c>
      <c r="P44" s="24">
        <f t="shared" ref="P44" si="191">IFERROR(P43/$D43,0)</f>
        <v>1.2468455866753551E-4</v>
      </c>
      <c r="Q44" s="24">
        <f t="shared" ref="Q44" si="192">IFERROR(Q43/$D43,0)</f>
        <v>9.8796141805602474E-3</v>
      </c>
      <c r="R44" s="24">
        <f t="shared" ref="R44" si="193">IFERROR(R43/$D43,0)</f>
        <v>4.3282770305202618E-3</v>
      </c>
      <c r="S44" s="24">
        <f t="shared" ref="S44" si="194">IFERROR(S43/$D43,0)</f>
        <v>0</v>
      </c>
      <c r="T44" s="24">
        <f t="shared" ref="T44" si="195">IFERROR(T43/$D43,0)</f>
        <v>0</v>
      </c>
      <c r="U44" s="24">
        <f t="shared" ref="U44" si="196">IFERROR(U43/$D43,0)</f>
        <v>1.463996279325634E-3</v>
      </c>
      <c r="V44" s="24">
        <f t="shared" ref="V44" si="197">IFERROR(V43/$D43,0)</f>
        <v>6.6523514449525357E-3</v>
      </c>
      <c r="W44" s="24">
        <f t="shared" ref="W44" si="198">IFERROR(W43/$D43,0)</f>
        <v>0</v>
      </c>
      <c r="X44" s="24">
        <f t="shared" ref="X44" si="199">IFERROR(X43/$D43,0)</f>
        <v>0</v>
      </c>
      <c r="Y44" s="24">
        <f t="shared" ref="Y44" si="200">IFERROR(Y43/$D43,0)</f>
        <v>0</v>
      </c>
      <c r="Z44" s="24">
        <f t="shared" ref="Z44" si="201">IFERROR(Z43/$D43,0)</f>
        <v>0</v>
      </c>
    </row>
    <row r="45" spans="1:26" x14ac:dyDescent="0.35">
      <c r="W45" s="31"/>
      <c r="X45" s="31"/>
      <c r="Y45" s="31"/>
      <c r="Z45" s="31"/>
    </row>
    <row r="46" spans="1:26" x14ac:dyDescent="0.35">
      <c r="A46" s="2">
        <v>23</v>
      </c>
      <c r="B46" s="2"/>
      <c r="C46" s="31" t="s">
        <v>166</v>
      </c>
      <c r="D46" s="48">
        <f>SUM(F46:Z46)</f>
        <v>3921121.2500009201</v>
      </c>
      <c r="F46" s="76">
        <v>3886179.0040724371</v>
      </c>
      <c r="G46" s="76">
        <v>33935.245928482858</v>
      </c>
      <c r="H46" s="76">
        <v>765</v>
      </c>
      <c r="I46" s="76">
        <v>0</v>
      </c>
      <c r="J46" s="76">
        <v>0</v>
      </c>
      <c r="K46" s="76">
        <v>80</v>
      </c>
      <c r="L46" s="76">
        <v>0</v>
      </c>
      <c r="M46" s="76">
        <v>49</v>
      </c>
      <c r="N46" s="76">
        <v>0</v>
      </c>
      <c r="O46" s="76">
        <v>14</v>
      </c>
      <c r="P46" s="76">
        <v>0</v>
      </c>
      <c r="Q46" s="76">
        <v>52</v>
      </c>
      <c r="R46" s="76">
        <v>41</v>
      </c>
      <c r="S46" s="76">
        <v>0</v>
      </c>
      <c r="T46" s="76">
        <v>0</v>
      </c>
      <c r="U46" s="76">
        <v>5</v>
      </c>
      <c r="V46" s="76">
        <v>1</v>
      </c>
      <c r="W46" s="76">
        <v>0</v>
      </c>
      <c r="X46" s="76">
        <v>0</v>
      </c>
      <c r="Y46" s="76">
        <v>0</v>
      </c>
      <c r="Z46" s="76">
        <v>0</v>
      </c>
    </row>
    <row r="47" spans="1:26" x14ac:dyDescent="0.35">
      <c r="A47" s="2">
        <v>24</v>
      </c>
      <c r="B47" s="2" t="s">
        <v>330</v>
      </c>
      <c r="D47" s="83">
        <f>SUM(F47:Z47)</f>
        <v>1</v>
      </c>
      <c r="E47" s="85"/>
      <c r="F47" s="24">
        <f>IFERROR(F46/$D46,0)</f>
        <v>0.99108871067721382</v>
      </c>
      <c r="G47" s="24">
        <f t="shared" ref="G47" si="202">IFERROR(G46/$D46,0)</f>
        <v>8.654475025090055E-3</v>
      </c>
      <c r="H47" s="24">
        <f t="shared" ref="H47" si="203">IFERROR(H46/$D46,0)</f>
        <v>1.9509725693889738E-4</v>
      </c>
      <c r="I47" s="24">
        <f t="shared" ref="I47" si="204">IFERROR(I46/$D46,0)</f>
        <v>0</v>
      </c>
      <c r="J47" s="24">
        <f t="shared" ref="J47" si="205">IFERROR(J46/$D46,0)</f>
        <v>0</v>
      </c>
      <c r="K47" s="24">
        <f t="shared" ref="K47" si="206">IFERROR(K46/$D46,0)</f>
        <v>2.0402327523021947E-5</v>
      </c>
      <c r="L47" s="24">
        <f t="shared" ref="L47" si="207">IFERROR(L46/$D46,0)</f>
        <v>0</v>
      </c>
      <c r="M47" s="24">
        <f t="shared" ref="M47" si="208">IFERROR(M46/$D46,0)</f>
        <v>1.2496425607850944E-5</v>
      </c>
      <c r="N47" s="24">
        <f t="shared" ref="N47" si="209">IFERROR(N46/$D46,0)</f>
        <v>0</v>
      </c>
      <c r="O47" s="24">
        <f t="shared" ref="O47" si="210">IFERROR(O46/$D46,0)</f>
        <v>3.5704073165288408E-6</v>
      </c>
      <c r="P47" s="24">
        <f t="shared" ref="P47" si="211">IFERROR(P46/$D46,0)</f>
        <v>0</v>
      </c>
      <c r="Q47" s="24">
        <f t="shared" ref="Q47" si="212">IFERROR(Q46/$D46,0)</f>
        <v>1.3261512889964266E-5</v>
      </c>
      <c r="R47" s="24">
        <f t="shared" ref="R47" si="213">IFERROR(R46/$D46,0)</f>
        <v>1.0456192855548749E-5</v>
      </c>
      <c r="S47" s="24">
        <f t="shared" ref="S47" si="214">IFERROR(S46/$D46,0)</f>
        <v>0</v>
      </c>
      <c r="T47" s="24">
        <f t="shared" ref="T47" si="215">IFERROR(T46/$D46,0)</f>
        <v>0</v>
      </c>
      <c r="U47" s="24">
        <f t="shared" ref="U47" si="216">IFERROR(U46/$D46,0)</f>
        <v>1.2751454701888717E-6</v>
      </c>
      <c r="V47" s="24">
        <f t="shared" ref="V47" si="217">IFERROR(V46/$D46,0)</f>
        <v>2.5502909403777436E-7</v>
      </c>
      <c r="W47" s="24">
        <f t="shared" ref="W47" si="218">IFERROR(W46/$D46,0)</f>
        <v>0</v>
      </c>
      <c r="X47" s="24">
        <f t="shared" ref="X47" si="219">IFERROR(X46/$D46,0)</f>
        <v>0</v>
      </c>
      <c r="Y47" s="24">
        <f t="shared" ref="Y47" si="220">IFERROR(Y46/$D46,0)</f>
        <v>0</v>
      </c>
      <c r="Z47" s="24">
        <f t="shared" ref="Z47" si="221">IFERROR(Z46/$D46,0)</f>
        <v>0</v>
      </c>
    </row>
    <row r="48" spans="1:26" x14ac:dyDescent="0.35">
      <c r="B48" s="141"/>
      <c r="D48" s="48"/>
      <c r="W48" s="31"/>
      <c r="X48" s="31"/>
      <c r="Y48" s="31"/>
      <c r="Z48" s="31"/>
    </row>
    <row r="49" spans="2:26" x14ac:dyDescent="0.35">
      <c r="D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2:26" x14ac:dyDescent="0.35">
      <c r="B50" s="2"/>
      <c r="W50" s="31"/>
      <c r="X50" s="31"/>
      <c r="Y50" s="31"/>
    </row>
    <row r="51" spans="2:26" x14ac:dyDescent="0.35">
      <c r="B51" s="141"/>
      <c r="D51" s="48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2:26" x14ac:dyDescent="0.35">
      <c r="D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2:26" x14ac:dyDescent="0.35">
      <c r="B53" s="2"/>
      <c r="W53" s="31"/>
      <c r="X53" s="31"/>
      <c r="Y53" s="31"/>
    </row>
    <row r="54" spans="2:26" x14ac:dyDescent="0.35">
      <c r="B54" s="141"/>
      <c r="D54" s="48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x14ac:dyDescent="0.35">
      <c r="B55" s="135"/>
      <c r="D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2:26" x14ac:dyDescent="0.35">
      <c r="B56" s="2"/>
      <c r="D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</row>
    <row r="57" spans="2:26" x14ac:dyDescent="0.35">
      <c r="B57" s="141"/>
      <c r="D57" s="48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2:26" x14ac:dyDescent="0.35">
      <c r="D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2:26" x14ac:dyDescent="0.35">
      <c r="B59" s="2"/>
    </row>
    <row r="60" spans="2:26" x14ac:dyDescent="0.35">
      <c r="B60" s="141"/>
      <c r="D60" s="48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2:26" x14ac:dyDescent="0.35">
      <c r="D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2:26" x14ac:dyDescent="0.35">
      <c r="B62" s="2"/>
      <c r="W62" s="31"/>
      <c r="X62" s="31"/>
      <c r="Y62" s="31"/>
    </row>
    <row r="63" spans="2:26" x14ac:dyDescent="0.35">
      <c r="B63" s="141"/>
      <c r="D63" s="48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2:26" x14ac:dyDescent="0.35">
      <c r="D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2:26" x14ac:dyDescent="0.35">
      <c r="B65" s="2"/>
      <c r="W65" s="31"/>
      <c r="X65" s="31"/>
      <c r="Y65" s="31"/>
    </row>
    <row r="66" spans="2:26" x14ac:dyDescent="0.35">
      <c r="B66" s="141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2:26" x14ac:dyDescent="0.35">
      <c r="D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2:26" x14ac:dyDescent="0.35">
      <c r="B68" s="2"/>
      <c r="W68" s="31"/>
      <c r="X68" s="31"/>
      <c r="Y68" s="31"/>
    </row>
    <row r="69" spans="2:26" x14ac:dyDescent="0.35">
      <c r="B69" s="141"/>
      <c r="D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2:26" x14ac:dyDescent="0.35">
      <c r="D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2:26" x14ac:dyDescent="0.35">
      <c r="B71" s="2"/>
      <c r="W71" s="31"/>
      <c r="X71" s="31"/>
      <c r="Y71" s="31"/>
    </row>
    <row r="72" spans="2:26" x14ac:dyDescent="0.35">
      <c r="B72" s="141"/>
      <c r="D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2:26" x14ac:dyDescent="0.35">
      <c r="D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2:26" x14ac:dyDescent="0.35">
      <c r="B74" s="2"/>
      <c r="W74" s="31"/>
      <c r="X74" s="31"/>
      <c r="Y74" s="31"/>
    </row>
    <row r="75" spans="2:26" x14ac:dyDescent="0.35">
      <c r="B75" s="141"/>
      <c r="D75" s="48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2:26" x14ac:dyDescent="0.35">
      <c r="D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2:26" x14ac:dyDescent="0.35">
      <c r="B77" s="2"/>
      <c r="W77" s="31"/>
      <c r="X77" s="31"/>
      <c r="Y77" s="31"/>
    </row>
    <row r="78" spans="2:26" x14ac:dyDescent="0.35">
      <c r="B78" s="141"/>
      <c r="D78" s="48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2:26" x14ac:dyDescent="0.35">
      <c r="D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2:26" x14ac:dyDescent="0.35">
      <c r="B80" s="2"/>
    </row>
    <row r="81" spans="2:26" x14ac:dyDescent="0.35">
      <c r="B81" s="141"/>
      <c r="D81" s="48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2:26" x14ac:dyDescent="0.35">
      <c r="B82" s="57"/>
      <c r="D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</sheetData>
  <mergeCells count="3">
    <mergeCell ref="F9:S9"/>
    <mergeCell ref="T9:V9"/>
    <mergeCell ref="W9:Z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sheetPr>
    <pageSetUpPr fitToPage="1"/>
  </sheetPr>
  <dimension ref="A6:P21"/>
  <sheetViews>
    <sheetView zoomScale="80" zoomScaleNormal="80" workbookViewId="0"/>
  </sheetViews>
  <sheetFormatPr defaultColWidth="9.1796875" defaultRowHeight="12.5" x14ac:dyDescent="0.25"/>
  <cols>
    <col min="1" max="1" width="6.453125" style="1" customWidth="1"/>
    <col min="2" max="2" width="30.7265625" style="18" customWidth="1"/>
    <col min="3" max="3" width="8.26953125" style="18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1.7265625" style="1" customWidth="1"/>
    <col min="14" max="14" width="15.54296875" style="1" customWidth="1"/>
    <col min="15" max="15" width="1.7265625" style="1" customWidth="1"/>
    <col min="16" max="16" width="15.54296875" style="1" customWidth="1"/>
    <col min="17" max="16384" width="9.1796875" style="1"/>
  </cols>
  <sheetData>
    <row r="6" spans="1:16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5" customHeight="1" x14ac:dyDescent="0.25">
      <c r="B7" s="155" t="s">
        <v>189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16" x14ac:dyDescent="0.25">
      <c r="A9" s="18" t="s">
        <v>6</v>
      </c>
      <c r="B9" s="18" t="s">
        <v>17</v>
      </c>
      <c r="F9" s="18" t="s">
        <v>190</v>
      </c>
      <c r="G9" s="18"/>
      <c r="H9" s="2" t="s">
        <v>172</v>
      </c>
      <c r="I9" s="2"/>
      <c r="J9" s="2" t="s">
        <v>172</v>
      </c>
      <c r="K9" s="3"/>
      <c r="L9" s="2" t="s">
        <v>173</v>
      </c>
      <c r="M9" s="3"/>
      <c r="N9" s="18" t="s">
        <v>173</v>
      </c>
      <c r="O9" s="18"/>
      <c r="P9" s="18"/>
    </row>
    <row r="10" spans="1:16" x14ac:dyDescent="0.25">
      <c r="A10" s="4" t="s">
        <v>11</v>
      </c>
      <c r="B10" s="4" t="s">
        <v>191</v>
      </c>
      <c r="C10" s="4"/>
      <c r="D10" s="4" t="s">
        <v>2</v>
      </c>
      <c r="F10" s="4" t="s">
        <v>192</v>
      </c>
      <c r="G10" s="18"/>
      <c r="H10" s="4" t="s">
        <v>176</v>
      </c>
      <c r="I10" s="18"/>
      <c r="J10" s="4" t="s">
        <v>175</v>
      </c>
      <c r="K10" s="18"/>
      <c r="L10" s="4" t="s">
        <v>177</v>
      </c>
      <c r="M10" s="18"/>
      <c r="N10" s="4" t="s">
        <v>175</v>
      </c>
      <c r="O10" s="18"/>
      <c r="P10" s="4" t="s">
        <v>178</v>
      </c>
    </row>
    <row r="11" spans="1:16" x14ac:dyDescent="0.25">
      <c r="A11" s="18"/>
      <c r="D11" s="18" t="s">
        <v>22</v>
      </c>
      <c r="E11" s="18"/>
      <c r="F11" s="55" t="s">
        <v>23</v>
      </c>
      <c r="G11" s="18"/>
      <c r="H11" s="55" t="s">
        <v>24</v>
      </c>
      <c r="I11" s="18"/>
      <c r="J11" s="55" t="s">
        <v>165</v>
      </c>
      <c r="K11" s="18"/>
      <c r="L11" s="55" t="s">
        <v>26</v>
      </c>
      <c r="N11" s="55" t="s">
        <v>27</v>
      </c>
      <c r="O11" s="18"/>
      <c r="P11" s="55" t="s">
        <v>28</v>
      </c>
    </row>
    <row r="12" spans="1:16" x14ac:dyDescent="0.25">
      <c r="B12" s="6"/>
      <c r="D12" s="18"/>
      <c r="E12" s="18"/>
      <c r="F12" s="55"/>
      <c r="G12" s="18"/>
      <c r="H12" s="55"/>
      <c r="I12" s="18"/>
      <c r="J12" s="55"/>
      <c r="K12" s="18"/>
      <c r="L12" s="55"/>
      <c r="N12" s="55"/>
      <c r="O12" s="18"/>
      <c r="P12" s="55"/>
    </row>
    <row r="13" spans="1:16" x14ac:dyDescent="0.25">
      <c r="A13" s="18">
        <v>1</v>
      </c>
      <c r="C13" s="18" t="s">
        <v>167</v>
      </c>
      <c r="D13" s="149">
        <f>SUM(F13:P13)</f>
        <v>1</v>
      </c>
      <c r="F13" s="20">
        <v>0</v>
      </c>
      <c r="H13" s="20">
        <v>0</v>
      </c>
      <c r="I13" s="20"/>
      <c r="J13" s="20">
        <v>0</v>
      </c>
      <c r="K13" s="20"/>
      <c r="L13" s="20">
        <v>0</v>
      </c>
      <c r="M13" s="20"/>
      <c r="N13" s="20">
        <v>0</v>
      </c>
      <c r="O13" s="20"/>
      <c r="P13" s="20">
        <v>1</v>
      </c>
    </row>
    <row r="14" spans="1:16" x14ac:dyDescent="0.25">
      <c r="A14" s="18">
        <v>2</v>
      </c>
      <c r="B14" s="18" t="s">
        <v>186</v>
      </c>
      <c r="D14" s="150">
        <f>SUM(F14:P14)</f>
        <v>1</v>
      </c>
      <c r="F14" s="17">
        <f>IFERROR(F13/$D13,0)</f>
        <v>0</v>
      </c>
      <c r="H14" s="17">
        <f>IFERROR(H13/$D13,0)</f>
        <v>0</v>
      </c>
      <c r="J14" s="17">
        <f>IFERROR(J13/$D13,0)</f>
        <v>0</v>
      </c>
      <c r="K14" s="24"/>
      <c r="L14" s="17">
        <f>IFERROR(L13/$D13,0)</f>
        <v>0</v>
      </c>
      <c r="N14" s="17">
        <f>IFERROR(N13/$D13,0)</f>
        <v>0</v>
      </c>
      <c r="P14" s="17">
        <f>IFERROR(P13/$D13,0)</f>
        <v>1</v>
      </c>
    </row>
    <row r="15" spans="1:16" x14ac:dyDescent="0.25">
      <c r="A15" s="18"/>
      <c r="D15" s="149"/>
    </row>
    <row r="16" spans="1:16" x14ac:dyDescent="0.25">
      <c r="A16" s="18">
        <v>3</v>
      </c>
      <c r="C16" s="18" t="s">
        <v>166</v>
      </c>
      <c r="D16" s="62">
        <f>SUM(F16:P16)</f>
        <v>2247538.0139059885</v>
      </c>
      <c r="F16" s="20">
        <v>1878311.1040714213</v>
      </c>
      <c r="G16" s="20"/>
      <c r="H16" s="20">
        <v>161486.41315728414</v>
      </c>
      <c r="I16" s="20"/>
      <c r="J16" s="20">
        <v>40328.527901042762</v>
      </c>
      <c r="K16" s="20"/>
      <c r="L16" s="20">
        <v>152523.42553920622</v>
      </c>
      <c r="M16" s="20"/>
      <c r="N16" s="20">
        <v>14888.543237034275</v>
      </c>
      <c r="O16" s="20"/>
      <c r="P16" s="20">
        <v>0</v>
      </c>
    </row>
    <row r="17" spans="1:16" x14ac:dyDescent="0.25">
      <c r="A17" s="18">
        <v>4</v>
      </c>
      <c r="B17" s="18" t="s">
        <v>184</v>
      </c>
      <c r="D17" s="150">
        <f>SUM(F17:P17)</f>
        <v>1.0000000000000002</v>
      </c>
      <c r="F17" s="17">
        <f>IFERROR(F16/$D16,0)</f>
        <v>0.83571939270878493</v>
      </c>
      <c r="H17" s="17">
        <f>IFERROR(H16/$D16,0)</f>
        <v>7.1850358996436936E-2</v>
      </c>
      <c r="J17" s="17">
        <f>IFERROR(J16/$D16,0)</f>
        <v>1.7943424160802492E-2</v>
      </c>
      <c r="K17" s="24"/>
      <c r="L17" s="17">
        <f>IFERROR(L16/$D16,0)</f>
        <v>6.7862445304823243E-2</v>
      </c>
      <c r="N17" s="17">
        <f>IFERROR(N16/$D16,0)</f>
        <v>6.6243788291524943E-3</v>
      </c>
      <c r="P17" s="17">
        <f>IFERROR(P16/$D16,0)</f>
        <v>0</v>
      </c>
    </row>
    <row r="18" spans="1:16" x14ac:dyDescent="0.25">
      <c r="A18" s="18"/>
      <c r="D18" s="149"/>
    </row>
    <row r="19" spans="1:16" x14ac:dyDescent="0.25">
      <c r="A19" s="18">
        <v>5</v>
      </c>
      <c r="C19" s="18" t="s">
        <v>167</v>
      </c>
      <c r="D19" s="62">
        <f ca="1">SUM(F19:P19)</f>
        <v>314009.83869649039</v>
      </c>
      <c r="F19" s="20">
        <v>0</v>
      </c>
      <c r="H19" s="20">
        <f ca="1">'Gas Supply Class'!R164</f>
        <v>161486.41315728414</v>
      </c>
      <c r="I19" s="20"/>
      <c r="J19" s="20">
        <v>0</v>
      </c>
      <c r="K19" s="20"/>
      <c r="L19" s="20">
        <f ca="1">'Gas Supply Class'!V164</f>
        <v>152523.42553920622</v>
      </c>
      <c r="M19" s="20"/>
      <c r="N19" s="20">
        <v>0</v>
      </c>
      <c r="O19" s="20"/>
      <c r="P19" s="20">
        <v>0</v>
      </c>
    </row>
    <row r="20" spans="1:16" ht="13" x14ac:dyDescent="0.3">
      <c r="A20" s="18">
        <v>6</v>
      </c>
      <c r="B20" s="18" t="s">
        <v>187</v>
      </c>
      <c r="C20" s="60"/>
      <c r="D20" s="150">
        <f ca="1">SUM(F20:P20)</f>
        <v>0.99999999999999989</v>
      </c>
      <c r="F20" s="17">
        <f ca="1">IFERROR(F19/$D19,0)</f>
        <v>0</v>
      </c>
      <c r="H20" s="17">
        <f ca="1">IFERROR(H19/$D19,0)</f>
        <v>0.51427182609195432</v>
      </c>
      <c r="J20" s="17">
        <f ca="1">IFERROR(J19/$D19,0)</f>
        <v>0</v>
      </c>
      <c r="K20" s="24"/>
      <c r="L20" s="17">
        <f ca="1">IFERROR(L19/$D19,0)</f>
        <v>0.48572817390804557</v>
      </c>
      <c r="N20" s="17">
        <f ca="1">IFERROR(N19/$D19,0)</f>
        <v>0</v>
      </c>
      <c r="P20" s="17">
        <f ca="1">IFERROR(P19/$D19,0)</f>
        <v>0</v>
      </c>
    </row>
    <row r="21" spans="1:16" x14ac:dyDescent="0.25">
      <c r="A21" s="18"/>
      <c r="D21" s="56"/>
      <c r="F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  <pageSetUpPr fitToPage="1"/>
  </sheetPr>
  <dimension ref="B5:AN183"/>
  <sheetViews>
    <sheetView topLeftCell="A4" zoomScale="80" zoomScaleNormal="80" workbookViewId="0">
      <pane xSplit="4" ySplit="10" topLeftCell="G152" activePane="bottomRight" state="frozen"/>
      <selection pane="topRight" activeCell="D173" sqref="D173"/>
      <selection pane="bottomLeft" activeCell="D173" sqref="D173"/>
      <selection pane="bottomRight" activeCell="AN160" sqref="AN160"/>
    </sheetView>
  </sheetViews>
  <sheetFormatPr defaultColWidth="9.1796875" defaultRowHeight="12.5" x14ac:dyDescent="0.25"/>
  <cols>
    <col min="1" max="1" width="1.7265625" style="1" customWidth="1"/>
    <col min="2" max="2" width="5.54296875" style="18" bestFit="1" customWidth="1"/>
    <col min="3" max="3" width="1.7265625" style="1" customWidth="1"/>
    <col min="4" max="4" width="46" style="1" bestFit="1" customWidth="1"/>
    <col min="5" max="5" width="1.7265625" style="1" customWidth="1"/>
    <col min="6" max="6" width="19.7265625" style="31" customWidth="1"/>
    <col min="7" max="7" width="1.7265625" style="31" customWidth="1"/>
    <col min="8" max="8" width="13.1796875" style="31" customWidth="1"/>
    <col min="9" max="9" width="1.7265625" style="31" customWidth="1"/>
    <col min="10" max="10" width="22.1796875" style="31" bestFit="1" customWidth="1"/>
    <col min="11" max="11" width="1.7265625" style="71" customWidth="1"/>
    <col min="12" max="12" width="13.26953125" style="31" customWidth="1"/>
    <col min="13" max="13" width="1.7265625" style="1" customWidth="1"/>
    <col min="14" max="14" width="20" style="1" bestFit="1" customWidth="1"/>
    <col min="15" max="15" width="1.7265625" style="71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hidden="1" customWidth="1"/>
    <col min="25" max="25" width="9.1796875" style="1"/>
    <col min="26" max="26" width="0" style="1" hidden="1" customWidth="1"/>
    <col min="27" max="27" width="9.54296875" style="1" bestFit="1" customWidth="1"/>
    <col min="28" max="28" width="9.1796875" style="1"/>
    <col min="29" max="29" width="12" style="31" customWidth="1"/>
    <col min="30" max="30" width="9.1796875" style="31"/>
    <col min="31" max="31" width="1.7265625" style="31" customWidth="1"/>
    <col min="32" max="32" width="11.453125" style="31" customWidth="1"/>
    <col min="33" max="33" width="2.1796875" style="31" customWidth="1"/>
    <col min="34" max="34" width="11.453125" style="31" customWidth="1"/>
    <col min="35" max="35" width="2" style="31" customWidth="1"/>
    <col min="36" max="36" width="11.453125" style="31" customWidth="1"/>
    <col min="37" max="37" width="1.81640625" style="31" customWidth="1"/>
    <col min="38" max="38" width="11.453125" style="31" customWidth="1"/>
    <col min="39" max="39" width="1.81640625" style="31" customWidth="1"/>
    <col min="40" max="40" width="12" style="31" customWidth="1"/>
    <col min="41" max="16384" width="9.1796875" style="1"/>
  </cols>
  <sheetData>
    <row r="5" spans="2:40" ht="15" customHeight="1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</row>
    <row r="6" spans="2:40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</row>
    <row r="7" spans="2:40" ht="15" customHeight="1" x14ac:dyDescent="0.25">
      <c r="B7" s="155" t="s">
        <v>193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10" spans="2:40" x14ac:dyDescent="0.25">
      <c r="H10" s="2" t="s">
        <v>2</v>
      </c>
      <c r="J10" s="2" t="s">
        <v>3</v>
      </c>
      <c r="L10" s="2" t="s">
        <v>4</v>
      </c>
      <c r="N10" s="18" t="s">
        <v>18</v>
      </c>
      <c r="P10" s="156" t="s">
        <v>194</v>
      </c>
      <c r="Q10" s="156"/>
      <c r="R10" s="156"/>
      <c r="S10" s="156"/>
      <c r="T10" s="156"/>
      <c r="U10" s="3"/>
    </row>
    <row r="11" spans="2:40" x14ac:dyDescent="0.25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171</v>
      </c>
      <c r="P11" s="18"/>
      <c r="Q11" s="18"/>
      <c r="R11" s="2"/>
      <c r="S11" s="3"/>
      <c r="T11" s="2" t="s">
        <v>195</v>
      </c>
      <c r="U11" s="3"/>
      <c r="V11" s="18" t="s">
        <v>18</v>
      </c>
    </row>
    <row r="12" spans="2:40" ht="13" x14ac:dyDescent="0.3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L12" s="33" t="s">
        <v>174</v>
      </c>
      <c r="N12" s="4" t="s">
        <v>14</v>
      </c>
      <c r="O12" s="70"/>
      <c r="P12" s="4" t="s">
        <v>196</v>
      </c>
      <c r="Q12" s="18"/>
      <c r="R12" s="4" t="s">
        <v>197</v>
      </c>
      <c r="S12" s="18"/>
      <c r="T12" s="4" t="s">
        <v>198</v>
      </c>
      <c r="U12" s="18"/>
      <c r="V12" s="4" t="s">
        <v>175</v>
      </c>
      <c r="X12" s="4" t="s">
        <v>2</v>
      </c>
      <c r="Z12" s="26" t="s">
        <v>21</v>
      </c>
      <c r="AB12" s="19"/>
    </row>
    <row r="13" spans="2:40" x14ac:dyDescent="0.25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0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X13" s="18" t="s">
        <v>31</v>
      </c>
      <c r="Z13" s="27"/>
    </row>
    <row r="14" spans="2:40" s="71" customFormat="1" x14ac:dyDescent="0.25">
      <c r="B14" s="70"/>
      <c r="F14" s="31"/>
      <c r="G14" s="31"/>
      <c r="H14" s="31"/>
      <c r="I14" s="31"/>
      <c r="J14" s="31"/>
      <c r="L14" s="31"/>
      <c r="P14" s="71">
        <v>4</v>
      </c>
      <c r="R14" s="71">
        <v>6</v>
      </c>
      <c r="T14" s="71">
        <v>8</v>
      </c>
      <c r="V14" s="71">
        <v>10</v>
      </c>
      <c r="Z14" s="72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</row>
    <row r="15" spans="2:40" ht="13" x14ac:dyDescent="0.3">
      <c r="D15" s="6"/>
      <c r="E15" s="6"/>
      <c r="F15" s="74"/>
      <c r="Z15" s="25"/>
      <c r="AC15" s="2" t="s">
        <v>199</v>
      </c>
      <c r="AF15" s="2"/>
      <c r="AG15" s="2"/>
      <c r="AH15" s="2"/>
      <c r="AI15" s="2"/>
      <c r="AJ15" s="2" t="s">
        <v>200</v>
      </c>
      <c r="AK15" s="2"/>
      <c r="AL15" s="2" t="s">
        <v>18</v>
      </c>
      <c r="AM15" s="2"/>
      <c r="AN15" s="2"/>
    </row>
    <row r="16" spans="2:40" ht="13" x14ac:dyDescent="0.3">
      <c r="D16" s="6" t="s">
        <v>183</v>
      </c>
      <c r="E16" s="7"/>
      <c r="F16" s="75"/>
      <c r="Z16" s="27"/>
      <c r="AC16" s="33" t="s">
        <v>201</v>
      </c>
      <c r="AF16" s="33" t="s">
        <v>196</v>
      </c>
      <c r="AG16" s="2"/>
      <c r="AH16" s="33" t="s">
        <v>197</v>
      </c>
      <c r="AI16" s="2"/>
      <c r="AJ16" s="33" t="s">
        <v>202</v>
      </c>
      <c r="AK16" s="2"/>
      <c r="AL16" s="33" t="s">
        <v>175</v>
      </c>
      <c r="AM16" s="2"/>
      <c r="AN16" s="33" t="s">
        <v>2</v>
      </c>
    </row>
    <row r="17" spans="2:40" x14ac:dyDescent="0.25">
      <c r="Z17" s="27"/>
    </row>
    <row r="18" spans="2:40" ht="13" x14ac:dyDescent="0.3">
      <c r="B18" s="18">
        <v>1</v>
      </c>
      <c r="D18" s="1" t="s">
        <v>33</v>
      </c>
      <c r="F18" s="48">
        <f ca="1">Function!R18</f>
        <v>13017.78562077151</v>
      </c>
      <c r="H18" s="48">
        <f ca="1">IF(K18&lt;&gt;0,OFFSET('Stor Factors'!$B$12,'Storage Class'!$K18-1,2),0)</f>
        <v>7.3027000000000006</v>
      </c>
      <c r="J18" s="2" t="s">
        <v>203</v>
      </c>
      <c r="K18" s="70">
        <f>_xlfn.IFNA(MATCH(J18,'Stor Factors'!$B$13:$B$244,0),0)</f>
        <v>9</v>
      </c>
      <c r="L18" s="48">
        <f ca="1">F18-H18</f>
        <v>13010.48292077151</v>
      </c>
      <c r="N18" s="18" t="s">
        <v>204</v>
      </c>
      <c r="O18" s="70">
        <f>_xlfn.IFNA(MATCH(N18,'Stor Factors'!$B$13:$B$244,0),0)</f>
        <v>27</v>
      </c>
      <c r="P18" s="20">
        <f ca="1">OFFSET('Stor Factors'!$B$13,$O18-1,P$14)*$L18+OFFSET('Stor Factors'!$B$13,$K18-1,P$14)*$H18</f>
        <v>13017.78562077151</v>
      </c>
      <c r="R18" s="20">
        <f ca="1">OFFSET('Stor Factors'!$B$13,$O18-1,R$14)*$L18+OFFSET('Stor Factors'!$B$13,$K18-1,R$14)*$H18</f>
        <v>0</v>
      </c>
      <c r="S18" s="20"/>
      <c r="T18" s="20">
        <f ca="1">OFFSET('Stor Factors'!$B$13,$O18-1,T$14)*$L18+OFFSET('Stor Factors'!$B$13,$K18-1,T$14)*$H18</f>
        <v>0</v>
      </c>
      <c r="U18" s="20"/>
      <c r="V18" s="20">
        <f ca="1">OFFSET('Stor Factors'!$B$13,$O18-1,V$14)*$L18+OFFSET('Stor Factors'!$B$13,$K18-1,V$14)*$H18</f>
        <v>0</v>
      </c>
      <c r="X18" s="9">
        <f t="shared" ref="X18:X30" ca="1" si="0">P18+R18+T18+V18</f>
        <v>13017.78562077151</v>
      </c>
      <c r="Z18" s="25" t="str">
        <f ca="1">IF(ROUND(F18,4)=ROUND(X18,4), "", "check")</f>
        <v/>
      </c>
      <c r="AA18" s="8"/>
      <c r="AB18" s="20"/>
      <c r="AC18" s="89">
        <v>0</v>
      </c>
      <c r="AF18" s="89">
        <f ca="1">IFERROR(P18/$X18*$AC18,"")</f>
        <v>0</v>
      </c>
      <c r="AG18" s="92"/>
      <c r="AH18" s="89">
        <f ca="1">IFERROR(R18/$X18*$AC18,"")</f>
        <v>0</v>
      </c>
      <c r="AI18" s="92"/>
      <c r="AJ18" s="89">
        <f ca="1">IFERROR(T18/$X18*$AC18,"")</f>
        <v>0</v>
      </c>
      <c r="AK18" s="92"/>
      <c r="AL18" s="89">
        <f ca="1">IFERROR(V18/$X18*$AC18,"")</f>
        <v>0</v>
      </c>
      <c r="AM18" s="92"/>
      <c r="AN18" s="89">
        <f ca="1">SUM(AF18,AH18,AJ18,AL18)</f>
        <v>0</v>
      </c>
    </row>
    <row r="19" spans="2:40" ht="13" x14ac:dyDescent="0.3">
      <c r="B19" s="18">
        <f>B18+1</f>
        <v>2</v>
      </c>
      <c r="D19" s="1" t="s">
        <v>35</v>
      </c>
      <c r="F19" s="48">
        <f ca="1">Function!R19</f>
        <v>74787.01496</v>
      </c>
      <c r="H19" s="48"/>
      <c r="J19" s="2"/>
      <c r="K19" s="70">
        <f>_xlfn.IFNA(MATCH(J19,'Stor Factors'!$B$13:$B$244,0),0)</f>
        <v>0</v>
      </c>
      <c r="L19" s="48">
        <f ca="1">F19-H19</f>
        <v>74787.01496</v>
      </c>
      <c r="N19" s="18" t="s">
        <v>205</v>
      </c>
      <c r="O19" s="70">
        <f>_xlfn.IFNA(MATCH(N19,'Stor Factors'!$B$13:$B$244,0),0)</f>
        <v>24</v>
      </c>
      <c r="P19" s="20">
        <f ca="1">OFFSET('Stor Factors'!$B$13,$O19-1,P$14)*$L19+OFFSET('Stor Factors'!$B$13,$K19-1,P$14)*$H19</f>
        <v>37393.50748</v>
      </c>
      <c r="R19" s="20">
        <f ca="1">OFFSET('Stor Factors'!$B$13,$O19-1,R$14)*$L19+OFFSET('Stor Factors'!$B$13,$K19-1,R$14)*$H19</f>
        <v>34467.551306072164</v>
      </c>
      <c r="S19" s="20"/>
      <c r="T19" s="20">
        <f ca="1">OFFSET('Stor Factors'!$B$13,$O19-1,T$14)*$L19+OFFSET('Stor Factors'!$B$13,$K19-1,T$14)*$H19</f>
        <v>2925.9561739278333</v>
      </c>
      <c r="U19" s="20"/>
      <c r="V19" s="20">
        <f ca="1">OFFSET('Stor Factors'!$B$13,$O19-1,V$14)*$L19+OFFSET('Stor Factors'!$B$13,$K19-1,V$14)*$H19</f>
        <v>0</v>
      </c>
      <c r="X19" s="9">
        <f t="shared" ca="1" si="0"/>
        <v>74787.014959999986</v>
      </c>
      <c r="Z19" s="25" t="str">
        <f t="shared" ref="Z19:Z32" ca="1" si="1">IF(ROUND(F19,4)=ROUND(X19,4), "", "check")</f>
        <v/>
      </c>
      <c r="AA19" s="8"/>
      <c r="AB19" s="20"/>
      <c r="AC19" s="89">
        <v>1070.580028657577</v>
      </c>
      <c r="AF19" s="89">
        <f t="shared" ref="AF19:AL30" ca="1" si="2">IFERROR(P19/$X19*$AC19,"")</f>
        <v>535.29001432878863</v>
      </c>
      <c r="AG19" s="92"/>
      <c r="AH19" s="89">
        <f t="shared" ca="1" si="2"/>
        <v>493.40479874410607</v>
      </c>
      <c r="AI19" s="92"/>
      <c r="AJ19" s="89">
        <f t="shared" ca="1" si="2"/>
        <v>41.885215584682491</v>
      </c>
      <c r="AK19" s="92"/>
      <c r="AL19" s="89">
        <f t="shared" ca="1" si="2"/>
        <v>0</v>
      </c>
      <c r="AM19" s="92"/>
      <c r="AN19" s="89">
        <f t="shared" ref="AN19:AN30" ca="1" si="3">SUM(AF19,AH19,AJ19,AL19)</f>
        <v>1070.5800286575773</v>
      </c>
    </row>
    <row r="20" spans="2:40" ht="13" x14ac:dyDescent="0.3">
      <c r="B20" s="18">
        <f t="shared" ref="B20:B31" si="4">B19+1</f>
        <v>3</v>
      </c>
      <c r="D20" s="1" t="s">
        <v>37</v>
      </c>
      <c r="F20" s="48">
        <f ca="1">Function!R20</f>
        <v>79798.549934962299</v>
      </c>
      <c r="H20" s="48">
        <f ca="1">IF(K20&lt;&gt;0,OFFSET('Stor Factors'!$B$12,'Storage Class'!$K20-1,2),0)</f>
        <v>9113.3284516697677</v>
      </c>
      <c r="J20" s="2" t="s">
        <v>206</v>
      </c>
      <c r="K20" s="70">
        <f>_xlfn.IFNA(MATCH(J20,'Stor Factors'!$B$13:$B$244,0),0)</f>
        <v>15</v>
      </c>
      <c r="L20" s="48">
        <f t="shared" ref="L20:L30" ca="1" si="5">F20-H20</f>
        <v>70685.221483292524</v>
      </c>
      <c r="N20" s="18" t="s">
        <v>204</v>
      </c>
      <c r="O20" s="70">
        <f>_xlfn.IFNA(MATCH(N20,'Stor Factors'!$B$13:$B$244,0),0)</f>
        <v>27</v>
      </c>
      <c r="P20" s="20">
        <f ca="1">OFFSET('Stor Factors'!$B$13,$O20-1,P$14)*$L20+OFFSET('Stor Factors'!$B$13,$K20-1,P$14)*$H20</f>
        <v>79798.549934962299</v>
      </c>
      <c r="R20" s="20">
        <f ca="1">OFFSET('Stor Factors'!$B$13,$O20-1,R$14)*$L20+OFFSET('Stor Factors'!$B$13,$K20-1,R$14)*$H20</f>
        <v>0</v>
      </c>
      <c r="S20" s="20"/>
      <c r="T20" s="20">
        <f ca="1">OFFSET('Stor Factors'!$B$13,$O20-1,T$14)*$L20+OFFSET('Stor Factors'!$B$13,$K20-1,T$14)*$H20</f>
        <v>0</v>
      </c>
      <c r="U20" s="20"/>
      <c r="V20" s="20">
        <f ca="1">OFFSET('Stor Factors'!$B$13,$O20-1,V$14)*$L20+OFFSET('Stor Factors'!$B$13,$K20-1,V$14)*$H20</f>
        <v>0</v>
      </c>
      <c r="X20" s="9">
        <f t="shared" ca="1" si="0"/>
        <v>79798.549934962299</v>
      </c>
      <c r="Z20" s="25" t="str">
        <f t="shared" ca="1" si="1"/>
        <v/>
      </c>
      <c r="AA20" s="8"/>
      <c r="AB20" s="20"/>
      <c r="AC20" s="89">
        <v>2076.6267287063492</v>
      </c>
      <c r="AF20" s="89">
        <f t="shared" ca="1" si="2"/>
        <v>2076.6267287063492</v>
      </c>
      <c r="AG20" s="92"/>
      <c r="AH20" s="89">
        <f t="shared" ca="1" si="2"/>
        <v>0</v>
      </c>
      <c r="AI20" s="92"/>
      <c r="AJ20" s="89">
        <f t="shared" ca="1" si="2"/>
        <v>0</v>
      </c>
      <c r="AK20" s="92"/>
      <c r="AL20" s="89">
        <f t="shared" ca="1" si="2"/>
        <v>0</v>
      </c>
      <c r="AM20" s="92"/>
      <c r="AN20" s="89">
        <f t="shared" ca="1" si="3"/>
        <v>2076.6267287063492</v>
      </c>
    </row>
    <row r="21" spans="2:40" ht="13" x14ac:dyDescent="0.3">
      <c r="B21" s="18">
        <f t="shared" si="4"/>
        <v>4</v>
      </c>
      <c r="D21" s="1" t="s">
        <v>39</v>
      </c>
      <c r="F21" s="48">
        <f ca="1">Function!R21</f>
        <v>40301.815387977447</v>
      </c>
      <c r="H21" s="48"/>
      <c r="J21" s="2"/>
      <c r="K21" s="70">
        <f>_xlfn.IFNA(MATCH(J21,'Stor Factors'!$B$13:$B$244,0),0)</f>
        <v>0</v>
      </c>
      <c r="L21" s="48">
        <f t="shared" ca="1" si="5"/>
        <v>40301.815387977447</v>
      </c>
      <c r="N21" s="18" t="s">
        <v>204</v>
      </c>
      <c r="O21" s="70">
        <f>_xlfn.IFNA(MATCH(N21,'Stor Factors'!$B$13:$B$244,0),0)</f>
        <v>27</v>
      </c>
      <c r="P21" s="20">
        <f ca="1">OFFSET('Stor Factors'!$B$13,$O21-1,P$14)*$L21+OFFSET('Stor Factors'!$B$13,$K21-1,P$14)*$H21</f>
        <v>40301.815387977447</v>
      </c>
      <c r="R21" s="20">
        <f ca="1">OFFSET('Stor Factors'!$B$13,$O21-1,R$14)*$L21+OFFSET('Stor Factors'!$B$13,$K21-1,R$14)*$H21</f>
        <v>0</v>
      </c>
      <c r="S21" s="20"/>
      <c r="T21" s="20">
        <f ca="1">OFFSET('Stor Factors'!$B$13,$O21-1,T$14)*$L21+OFFSET('Stor Factors'!$B$13,$K21-1,T$14)*$H21</f>
        <v>0</v>
      </c>
      <c r="U21" s="20"/>
      <c r="V21" s="20">
        <f ca="1">OFFSET('Stor Factors'!$B$13,$O21-1,V$14)*$L21+OFFSET('Stor Factors'!$B$13,$K21-1,V$14)*$H21</f>
        <v>0</v>
      </c>
      <c r="X21" s="9">
        <f t="shared" ca="1" si="0"/>
        <v>40301.815387977447</v>
      </c>
      <c r="Z21" s="25" t="str">
        <f t="shared" ca="1" si="1"/>
        <v/>
      </c>
      <c r="AA21" s="8"/>
      <c r="AB21" s="20"/>
      <c r="AC21" s="89">
        <v>819.51101529513221</v>
      </c>
      <c r="AF21" s="89">
        <f t="shared" ca="1" si="2"/>
        <v>819.51101529513221</v>
      </c>
      <c r="AG21" s="92"/>
      <c r="AH21" s="89">
        <f t="shared" ca="1" si="2"/>
        <v>0</v>
      </c>
      <c r="AI21" s="92"/>
      <c r="AJ21" s="89">
        <f t="shared" ca="1" si="2"/>
        <v>0</v>
      </c>
      <c r="AK21" s="92"/>
      <c r="AL21" s="89">
        <f t="shared" ca="1" si="2"/>
        <v>0</v>
      </c>
      <c r="AM21" s="92"/>
      <c r="AN21" s="89">
        <f t="shared" ca="1" si="3"/>
        <v>819.51101529513221</v>
      </c>
    </row>
    <row r="22" spans="2:40" ht="13" x14ac:dyDescent="0.3">
      <c r="B22" s="18">
        <f t="shared" si="4"/>
        <v>5</v>
      </c>
      <c r="D22" s="1" t="s">
        <v>41</v>
      </c>
      <c r="F22" s="48">
        <f ca="1">Function!R22</f>
        <v>0</v>
      </c>
      <c r="H22" s="48"/>
      <c r="J22" s="2"/>
      <c r="K22" s="70">
        <f>_xlfn.IFNA(MATCH(J22,'Stor Factors'!$B$13:$B$244,0),0)</f>
        <v>0</v>
      </c>
      <c r="L22" s="48">
        <f t="shared" ca="1" si="5"/>
        <v>0</v>
      </c>
      <c r="N22" s="18" t="s">
        <v>204</v>
      </c>
      <c r="O22" s="70">
        <f>_xlfn.IFNA(MATCH(N22,'Stor Factors'!$B$13:$B$244,0),0)</f>
        <v>27</v>
      </c>
      <c r="P22" s="20">
        <f ca="1">OFFSET('Stor Factors'!$B$13,$O22-1,P$14)*$L22+OFFSET('Stor Factors'!$B$13,$K22-1,P$14)*$H22</f>
        <v>0</v>
      </c>
      <c r="R22" s="20">
        <f ca="1">OFFSET('Stor Factors'!$B$13,$O22-1,R$14)*$L22+OFFSET('Stor Factors'!$B$13,$K22-1,R$14)*$H22</f>
        <v>0</v>
      </c>
      <c r="S22" s="20"/>
      <c r="T22" s="20">
        <f ca="1">OFFSET('Stor Factors'!$B$13,$O22-1,T$14)*$L22+OFFSET('Stor Factors'!$B$13,$K22-1,T$14)*$H22</f>
        <v>0</v>
      </c>
      <c r="U22" s="20"/>
      <c r="V22" s="20">
        <f ca="1">OFFSET('Stor Factors'!$B$13,$O22-1,V$14)*$L22+OFFSET('Stor Factors'!$B$13,$K22-1,V$14)*$H22</f>
        <v>0</v>
      </c>
      <c r="X22" s="9">
        <f t="shared" ca="1" si="0"/>
        <v>0</v>
      </c>
      <c r="Z22" s="25" t="str">
        <f t="shared" ca="1" si="1"/>
        <v/>
      </c>
      <c r="AA22" s="8"/>
      <c r="AB22" s="20"/>
      <c r="AC22" s="89">
        <v>0</v>
      </c>
      <c r="AF22" s="89" t="str">
        <f t="shared" ca="1" si="2"/>
        <v/>
      </c>
      <c r="AG22" s="92"/>
      <c r="AH22" s="89" t="str">
        <f t="shared" ca="1" si="2"/>
        <v/>
      </c>
      <c r="AI22" s="92"/>
      <c r="AJ22" s="89" t="str">
        <f t="shared" ca="1" si="2"/>
        <v/>
      </c>
      <c r="AK22" s="92"/>
      <c r="AL22" s="89" t="str">
        <f t="shared" ca="1" si="2"/>
        <v/>
      </c>
      <c r="AM22" s="92"/>
      <c r="AN22" s="89">
        <f t="shared" ca="1" si="3"/>
        <v>0</v>
      </c>
    </row>
    <row r="23" spans="2:40" ht="13" x14ac:dyDescent="0.3">
      <c r="B23" s="18">
        <f t="shared" si="4"/>
        <v>6</v>
      </c>
      <c r="D23" s="1" t="s">
        <v>43</v>
      </c>
      <c r="F23" s="48">
        <f ca="1">Function!R23</f>
        <v>376124.00347801473</v>
      </c>
      <c r="H23" s="48"/>
      <c r="K23" s="70">
        <f>_xlfn.IFNA(MATCH(J23,'Stor Factors'!$B$13:$B$244,0),0)</f>
        <v>0</v>
      </c>
      <c r="L23" s="48">
        <f t="shared" ca="1" si="5"/>
        <v>376124.00347801473</v>
      </c>
      <c r="N23" s="18" t="s">
        <v>204</v>
      </c>
      <c r="O23" s="70">
        <f>_xlfn.IFNA(MATCH(N23,'Stor Factors'!$B$13:$B$244,0),0)</f>
        <v>27</v>
      </c>
      <c r="P23" s="20">
        <f ca="1">OFFSET('Stor Factors'!$B$13,$O23-1,P$14)*$L23+OFFSET('Stor Factors'!$B$13,$K23-1,P$14)*$H23</f>
        <v>376124.00347801473</v>
      </c>
      <c r="R23" s="20">
        <f ca="1">OFFSET('Stor Factors'!$B$13,$O23-1,R$14)*$L23+OFFSET('Stor Factors'!$B$13,$K23-1,R$14)*$H23</f>
        <v>0</v>
      </c>
      <c r="S23" s="20"/>
      <c r="T23" s="20">
        <f ca="1">OFFSET('Stor Factors'!$B$13,$O23-1,T$14)*$L23+OFFSET('Stor Factors'!$B$13,$K23-1,T$14)*$H23</f>
        <v>0</v>
      </c>
      <c r="U23" s="20"/>
      <c r="V23" s="20">
        <f ca="1">OFFSET('Stor Factors'!$B$13,$O23-1,V$14)*$L23+OFFSET('Stor Factors'!$B$13,$K23-1,V$14)*$H23</f>
        <v>0</v>
      </c>
      <c r="X23" s="9">
        <f t="shared" ca="1" si="0"/>
        <v>376124.00347801473</v>
      </c>
      <c r="Z23" s="25" t="str">
        <f t="shared" ca="1" si="1"/>
        <v/>
      </c>
      <c r="AA23" s="8"/>
      <c r="AB23" s="20"/>
      <c r="AC23" s="89">
        <v>9048.8393891603864</v>
      </c>
      <c r="AF23" s="89">
        <f t="shared" ca="1" si="2"/>
        <v>9048.8393891603864</v>
      </c>
      <c r="AG23" s="92"/>
      <c r="AH23" s="89">
        <f t="shared" ca="1" si="2"/>
        <v>0</v>
      </c>
      <c r="AI23" s="92"/>
      <c r="AJ23" s="89">
        <f t="shared" ca="1" si="2"/>
        <v>0</v>
      </c>
      <c r="AK23" s="92"/>
      <c r="AL23" s="89">
        <f t="shared" ca="1" si="2"/>
        <v>0</v>
      </c>
      <c r="AM23" s="92"/>
      <c r="AN23" s="89">
        <f t="shared" ca="1" si="3"/>
        <v>9048.8393891603864</v>
      </c>
    </row>
    <row r="24" spans="2:40" ht="13" x14ac:dyDescent="0.3">
      <c r="B24" s="18">
        <f t="shared" si="4"/>
        <v>7</v>
      </c>
      <c r="D24" s="1" t="s">
        <v>45</v>
      </c>
      <c r="F24" s="48">
        <f ca="1">Function!R24</f>
        <v>30022.717863727081</v>
      </c>
      <c r="H24" s="48">
        <f ca="1">IF(K24&lt;&gt;0,OFFSET('Stor Factors'!$B$12,'Storage Class'!$K24-1,2),0)</f>
        <v>30022.717863727081</v>
      </c>
      <c r="J24" s="2" t="s">
        <v>207</v>
      </c>
      <c r="K24" s="70">
        <f>_xlfn.IFNA(MATCH(J24,'Stor Factors'!$B$13:$B$244,0),0)</f>
        <v>3</v>
      </c>
      <c r="L24" s="48">
        <f t="shared" ca="1" si="5"/>
        <v>0</v>
      </c>
      <c r="N24" s="18" t="s">
        <v>204</v>
      </c>
      <c r="O24" s="70">
        <f>_xlfn.IFNA(MATCH(N24,'Stor Factors'!$B$13:$B$244,0),0)</f>
        <v>27</v>
      </c>
      <c r="P24" s="20">
        <f ca="1">OFFSET('Stor Factors'!$B$13,$O24-1,P$14)*$L24+OFFSET('Stor Factors'!$B$13,$K24-1,P$14)*$H24</f>
        <v>30022.717863727081</v>
      </c>
      <c r="R24" s="20">
        <f ca="1">OFFSET('Stor Factors'!$B$13,$O24-1,R$14)*$L24+OFFSET('Stor Factors'!$B$13,$K24-1,R$14)*$H24</f>
        <v>0</v>
      </c>
      <c r="S24" s="20"/>
      <c r="T24" s="20">
        <f ca="1">OFFSET('Stor Factors'!$B$13,$O24-1,T$14)*$L24+OFFSET('Stor Factors'!$B$13,$K24-1,T$14)*$H24</f>
        <v>0</v>
      </c>
      <c r="U24" s="20"/>
      <c r="V24" s="20">
        <f ca="1">OFFSET('Stor Factors'!$B$13,$O24-1,V$14)*$L24+OFFSET('Stor Factors'!$B$13,$K24-1,V$14)*$H24</f>
        <v>0</v>
      </c>
      <c r="X24" s="9">
        <f t="shared" ca="1" si="0"/>
        <v>30022.717863727081</v>
      </c>
      <c r="Z24" s="25" t="str">
        <f t="shared" ca="1" si="1"/>
        <v/>
      </c>
      <c r="AA24" s="8"/>
      <c r="AB24" s="20"/>
      <c r="AC24" s="89">
        <v>290.61922447862031</v>
      </c>
      <c r="AF24" s="89">
        <f t="shared" ca="1" si="2"/>
        <v>290.61922447862031</v>
      </c>
      <c r="AH24" s="89">
        <f t="shared" ca="1" si="2"/>
        <v>0</v>
      </c>
      <c r="AI24" s="92"/>
      <c r="AJ24" s="89">
        <f t="shared" ca="1" si="2"/>
        <v>0</v>
      </c>
      <c r="AK24" s="92"/>
      <c r="AL24" s="89">
        <f t="shared" ca="1" si="2"/>
        <v>0</v>
      </c>
      <c r="AM24" s="92"/>
      <c r="AN24" s="89">
        <f t="shared" ca="1" si="3"/>
        <v>290.61922447862031</v>
      </c>
    </row>
    <row r="25" spans="2:40" ht="13" x14ac:dyDescent="0.3">
      <c r="B25" s="18">
        <f t="shared" si="4"/>
        <v>8</v>
      </c>
      <c r="D25" s="1" t="s">
        <v>47</v>
      </c>
      <c r="F25" s="48">
        <f ca="1">Function!R25</f>
        <v>385344.82101507834</v>
      </c>
      <c r="H25" s="48"/>
      <c r="K25" s="70">
        <f>_xlfn.IFNA(MATCH(J25,'Stor Factors'!$B$13:$B$244,0),0)</f>
        <v>0</v>
      </c>
      <c r="L25" s="48">
        <f t="shared" ca="1" si="5"/>
        <v>385344.82101507834</v>
      </c>
      <c r="N25" s="18" t="s">
        <v>205</v>
      </c>
      <c r="O25" s="70">
        <f>_xlfn.IFNA(MATCH(N25,'Stor Factors'!$B$13:$B$244,0),0)</f>
        <v>24</v>
      </c>
      <c r="P25" s="20">
        <f ca="1">OFFSET('Stor Factors'!$B$13,$O25-1,P$14)*$L25+OFFSET('Stor Factors'!$B$13,$K25-1,P$14)*$H25</f>
        <v>192672.41050753917</v>
      </c>
      <c r="R25" s="20">
        <f ca="1">OFFSET('Stor Factors'!$B$13,$O25-1,R$14)*$L25+OFFSET('Stor Factors'!$B$13,$K25-1,R$14)*$H25</f>
        <v>177596.23640507992</v>
      </c>
      <c r="S25" s="20"/>
      <c r="T25" s="20">
        <f ca="1">OFFSET('Stor Factors'!$B$13,$O25-1,T$14)*$L25+OFFSET('Stor Factors'!$B$13,$K25-1,T$14)*$H25</f>
        <v>15076.174102459248</v>
      </c>
      <c r="U25" s="20"/>
      <c r="V25" s="20">
        <f ca="1">OFFSET('Stor Factors'!$B$13,$O25-1,V$14)*$L25+OFFSET('Stor Factors'!$B$13,$K25-1,V$14)*$H25</f>
        <v>0</v>
      </c>
      <c r="X25" s="9">
        <f t="shared" ca="1" si="0"/>
        <v>385344.82101507834</v>
      </c>
      <c r="Z25" s="25" t="str">
        <f t="shared" ca="1" si="1"/>
        <v/>
      </c>
      <c r="AA25" s="8"/>
      <c r="AB25" s="20"/>
      <c r="AC25" s="89">
        <v>11547.17034640862</v>
      </c>
      <c r="AF25" s="89">
        <f t="shared" ca="1" si="2"/>
        <v>5773.5851732043102</v>
      </c>
      <c r="AH25" s="89">
        <f t="shared" ca="1" si="2"/>
        <v>5321.8153788818399</v>
      </c>
      <c r="AI25" s="92"/>
      <c r="AJ25" s="89">
        <f t="shared" ca="1" si="2"/>
        <v>451.76979432247015</v>
      </c>
      <c r="AK25" s="92"/>
      <c r="AL25" s="89">
        <f t="shared" ca="1" si="2"/>
        <v>0</v>
      </c>
      <c r="AM25" s="92"/>
      <c r="AN25" s="89">
        <f t="shared" ca="1" si="3"/>
        <v>11547.17034640862</v>
      </c>
    </row>
    <row r="26" spans="2:40" ht="13" x14ac:dyDescent="0.3">
      <c r="B26" s="18">
        <f t="shared" si="4"/>
        <v>9</v>
      </c>
      <c r="D26" s="1" t="s">
        <v>48</v>
      </c>
      <c r="F26" s="48">
        <f ca="1">Function!R26</f>
        <v>68466.485990000001</v>
      </c>
      <c r="H26" s="48"/>
      <c r="K26" s="70">
        <f>_xlfn.IFNA(MATCH(J26,'Stor Factors'!$B$13:$B$244,0),0)</f>
        <v>0</v>
      </c>
      <c r="L26" s="48">
        <f t="shared" ca="1" si="5"/>
        <v>68466.485990000001</v>
      </c>
      <c r="N26" s="18" t="s">
        <v>208</v>
      </c>
      <c r="O26" s="70">
        <f>_xlfn.IFNA(MATCH(N26,'Stor Factors'!$B$13:$B$244,0),0)</f>
        <v>36</v>
      </c>
      <c r="P26" s="20">
        <f ca="1">OFFSET('Stor Factors'!$B$13,$O26-1,P$14)*$L26+OFFSET('Stor Factors'!$B$13,$K26-1,P$14)*$H26</f>
        <v>0</v>
      </c>
      <c r="R26" s="20">
        <f ca="1">OFFSET('Stor Factors'!$B$13,$O26-1,R$14)*$L26+OFFSET('Stor Factors'!$B$13,$K26-1,R$14)*$H26</f>
        <v>63109.14053379398</v>
      </c>
      <c r="S26" s="20"/>
      <c r="T26" s="20">
        <f ca="1">OFFSET('Stor Factors'!$B$13,$O26-1,T$14)*$L26+OFFSET('Stor Factors'!$B$13,$K26-1,T$14)*$H26</f>
        <v>5357.3454562060251</v>
      </c>
      <c r="U26" s="20"/>
      <c r="V26" s="20">
        <f ca="1">OFFSET('Stor Factors'!$B$13,$O26-1,V$14)*$L26+OFFSET('Stor Factors'!$B$13,$K26-1,V$14)*$H26</f>
        <v>0</v>
      </c>
      <c r="X26" s="9">
        <f t="shared" ca="1" si="0"/>
        <v>68466.485990000001</v>
      </c>
      <c r="Z26" s="25" t="str">
        <f t="shared" ca="1" si="1"/>
        <v/>
      </c>
      <c r="AA26" s="8"/>
      <c r="AB26" s="20"/>
      <c r="AC26" s="89">
        <v>0</v>
      </c>
      <c r="AF26" s="89">
        <f t="shared" ca="1" si="2"/>
        <v>0</v>
      </c>
      <c r="AH26" s="89">
        <f t="shared" ca="1" si="2"/>
        <v>0</v>
      </c>
      <c r="AI26" s="92"/>
      <c r="AJ26" s="89">
        <f t="shared" ca="1" si="2"/>
        <v>0</v>
      </c>
      <c r="AK26" s="92"/>
      <c r="AL26" s="89">
        <f t="shared" ca="1" si="2"/>
        <v>0</v>
      </c>
      <c r="AM26" s="92"/>
      <c r="AN26" s="89">
        <f t="shared" ca="1" si="3"/>
        <v>0</v>
      </c>
    </row>
    <row r="27" spans="2:40" ht="13" x14ac:dyDescent="0.3">
      <c r="B27" s="18">
        <f t="shared" si="4"/>
        <v>10</v>
      </c>
      <c r="D27" s="1" t="s">
        <v>49</v>
      </c>
      <c r="F27" s="48">
        <f ca="1">Function!R27</f>
        <v>0</v>
      </c>
      <c r="H27" s="48"/>
      <c r="K27" s="70">
        <f>_xlfn.IFNA(MATCH(J27,'Stor Factors'!$B$13:$B$244,0),0)</f>
        <v>0</v>
      </c>
      <c r="L27" s="48">
        <f t="shared" ca="1" si="5"/>
        <v>0</v>
      </c>
      <c r="N27" s="18"/>
      <c r="O27" s="70">
        <f>_xlfn.IFNA(MATCH(N27,'Stor Factors'!$B$13:$B$244,0),0)</f>
        <v>0</v>
      </c>
      <c r="P27" s="20">
        <f ca="1">OFFSET('Stor Factors'!$B$13,$O27-1,P$14)*$L27+OFFSET('Stor Factors'!$B$13,$K27-1,P$14)*$H27</f>
        <v>0</v>
      </c>
      <c r="R27" s="20">
        <f ca="1">OFFSET('Stor Factors'!$B$13,$O27-1,R$14)*$L27+OFFSET('Stor Factors'!$B$13,$K27-1,R$14)*$H27</f>
        <v>0</v>
      </c>
      <c r="S27" s="20"/>
      <c r="T27" s="20">
        <f ca="1">OFFSET('Stor Factors'!$B$13,$O27-1,T$14)*$L27+OFFSET('Stor Factors'!$B$13,$K27-1,T$14)*$H27</f>
        <v>0</v>
      </c>
      <c r="U27" s="20"/>
      <c r="V27" s="20">
        <f ca="1">OFFSET('Stor Factors'!$B$13,$O27-1,V$14)*$L27+OFFSET('Stor Factors'!$B$13,$K27-1,V$14)*$H27</f>
        <v>0</v>
      </c>
      <c r="X27" s="9">
        <f t="shared" ca="1" si="0"/>
        <v>0</v>
      </c>
      <c r="Z27" s="25" t="str">
        <f t="shared" ca="1" si="1"/>
        <v/>
      </c>
      <c r="AA27" s="8"/>
      <c r="AB27" s="20"/>
      <c r="AC27" s="89">
        <v>0</v>
      </c>
      <c r="AF27" s="89" t="str">
        <f t="shared" ca="1" si="2"/>
        <v/>
      </c>
      <c r="AH27" s="89" t="str">
        <f t="shared" ca="1" si="2"/>
        <v/>
      </c>
      <c r="AI27" s="92"/>
      <c r="AJ27" s="89" t="str">
        <f t="shared" ca="1" si="2"/>
        <v/>
      </c>
      <c r="AK27" s="92">
        <v>0</v>
      </c>
      <c r="AL27" s="89" t="str">
        <f t="shared" ca="1" si="2"/>
        <v/>
      </c>
      <c r="AM27" s="92"/>
      <c r="AN27" s="89">
        <f t="shared" ca="1" si="3"/>
        <v>0</v>
      </c>
    </row>
    <row r="28" spans="2:40" ht="13" x14ac:dyDescent="0.3">
      <c r="B28" s="18">
        <f t="shared" si="4"/>
        <v>11</v>
      </c>
      <c r="D28" s="1" t="s">
        <v>51</v>
      </c>
      <c r="F28" s="48">
        <f ca="1">Function!R28</f>
        <v>0</v>
      </c>
      <c r="H28" s="48"/>
      <c r="K28" s="70">
        <f>_xlfn.IFNA(MATCH(J28,'Stor Factors'!$B$13:$B$244,0),0)</f>
        <v>0</v>
      </c>
      <c r="L28" s="48">
        <f t="shared" ca="1" si="5"/>
        <v>0</v>
      </c>
      <c r="N28" s="18"/>
      <c r="O28" s="70">
        <f>_xlfn.IFNA(MATCH(N28,'Stor Factors'!$B$13:$B$244,0),0)</f>
        <v>0</v>
      </c>
      <c r="P28" s="20">
        <f ca="1">OFFSET('Stor Factors'!$B$13,$O28-1,P$14)*$L28+OFFSET('Stor Factors'!$B$13,$K28-1,P$14)*$H28</f>
        <v>0</v>
      </c>
      <c r="R28" s="20">
        <f ca="1">OFFSET('Stor Factors'!$B$13,$O28-1,R$14)*$L28+OFFSET('Stor Factors'!$B$13,$K28-1,R$14)*$H28</f>
        <v>0</v>
      </c>
      <c r="S28" s="20"/>
      <c r="T28" s="20">
        <f ca="1">OFFSET('Stor Factors'!$B$13,$O28-1,T$14)*$L28+OFFSET('Stor Factors'!$B$13,$K28-1,T$14)*$H28</f>
        <v>0</v>
      </c>
      <c r="U28" s="20"/>
      <c r="V28" s="20">
        <f ca="1">OFFSET('Stor Factors'!$B$13,$O28-1,V$14)*$L28+OFFSET('Stor Factors'!$B$13,$K28-1,V$14)*$H28</f>
        <v>0</v>
      </c>
      <c r="X28" s="9">
        <f t="shared" ca="1" si="0"/>
        <v>0</v>
      </c>
      <c r="Z28" s="25" t="str">
        <f t="shared" ca="1" si="1"/>
        <v/>
      </c>
      <c r="AA28" s="8"/>
      <c r="AB28" s="20"/>
      <c r="AC28" s="89">
        <v>0</v>
      </c>
      <c r="AF28" s="89" t="str">
        <f t="shared" ca="1" si="2"/>
        <v/>
      </c>
      <c r="AH28" s="89" t="str">
        <f t="shared" ca="1" si="2"/>
        <v/>
      </c>
      <c r="AI28" s="92"/>
      <c r="AJ28" s="89" t="str">
        <f t="shared" ca="1" si="2"/>
        <v/>
      </c>
      <c r="AK28" s="92"/>
      <c r="AL28" s="89" t="str">
        <f t="shared" ca="1" si="2"/>
        <v/>
      </c>
      <c r="AM28" s="92"/>
      <c r="AN28" s="89">
        <f t="shared" ca="1" si="3"/>
        <v>0</v>
      </c>
    </row>
    <row r="29" spans="2:40" ht="13" x14ac:dyDescent="0.3">
      <c r="B29" s="18">
        <f>B28+1</f>
        <v>12</v>
      </c>
      <c r="D29" s="1" t="s">
        <v>52</v>
      </c>
      <c r="F29" s="48">
        <f ca="1">Function!R29</f>
        <v>0</v>
      </c>
      <c r="H29" s="48"/>
      <c r="K29" s="70">
        <f>_xlfn.IFNA(MATCH(J29,'Stor Factors'!$B$13:$B$244,0),0)</f>
        <v>0</v>
      </c>
      <c r="L29" s="48">
        <f t="shared" ca="1" si="5"/>
        <v>0</v>
      </c>
      <c r="N29" s="18"/>
      <c r="O29" s="70">
        <f>_xlfn.IFNA(MATCH(N29,'Stor Factors'!$B$13:$B$244,0),0)</f>
        <v>0</v>
      </c>
      <c r="P29" s="20">
        <f ca="1">OFFSET('Stor Factors'!$B$13,$O29-1,P$14)*$L29+OFFSET('Stor Factors'!$B$13,$K29-1,P$14)*$H29</f>
        <v>0</v>
      </c>
      <c r="R29" s="20">
        <f ca="1">OFFSET('Stor Factors'!$B$13,$O29-1,R$14)*$L29+OFFSET('Stor Factors'!$B$13,$K29-1,R$14)*$H29</f>
        <v>0</v>
      </c>
      <c r="S29" s="20"/>
      <c r="T29" s="20">
        <f ca="1">OFFSET('Stor Factors'!$B$13,$O29-1,T$14)*$L29+OFFSET('Stor Factors'!$B$13,$K29-1,T$14)*$H29</f>
        <v>0</v>
      </c>
      <c r="U29" s="20"/>
      <c r="V29" s="20">
        <f ca="1">OFFSET('Stor Factors'!$B$13,$O29-1,V$14)*$L29+OFFSET('Stor Factors'!$B$13,$K29-1,V$14)*$H29</f>
        <v>0</v>
      </c>
      <c r="X29" s="9">
        <f t="shared" ca="1" si="0"/>
        <v>0</v>
      </c>
      <c r="Z29" s="25" t="str">
        <f t="shared" ca="1" si="1"/>
        <v/>
      </c>
      <c r="AA29" s="8"/>
      <c r="AB29" s="20"/>
      <c r="AC29" s="89">
        <v>0</v>
      </c>
      <c r="AF29" s="89" t="str">
        <f t="shared" ca="1" si="2"/>
        <v/>
      </c>
      <c r="AH29" s="89" t="str">
        <f t="shared" ca="1" si="2"/>
        <v/>
      </c>
      <c r="AI29" s="92"/>
      <c r="AJ29" s="89" t="str">
        <f t="shared" ca="1" si="2"/>
        <v/>
      </c>
      <c r="AK29" s="92"/>
      <c r="AL29" s="89" t="str">
        <f t="shared" ca="1" si="2"/>
        <v/>
      </c>
      <c r="AM29" s="92"/>
      <c r="AN29" s="89">
        <f t="shared" ca="1" si="3"/>
        <v>0</v>
      </c>
    </row>
    <row r="30" spans="2:40" ht="13" x14ac:dyDescent="0.3">
      <c r="B30" s="18">
        <f>B29+1</f>
        <v>13</v>
      </c>
      <c r="D30" s="1" t="s">
        <v>53</v>
      </c>
      <c r="F30" s="48">
        <f ca="1">Function!R30</f>
        <v>477.03131475162303</v>
      </c>
      <c r="H30" s="48"/>
      <c r="K30" s="70">
        <f>_xlfn.IFNA(MATCH(J30,'Stor Factors'!$B$13:$B$244,0),0)</f>
        <v>0</v>
      </c>
      <c r="L30" s="48">
        <f t="shared" ca="1" si="5"/>
        <v>477.03131475162303</v>
      </c>
      <c r="N30" s="18" t="s">
        <v>204</v>
      </c>
      <c r="O30" s="70">
        <f>_xlfn.IFNA(MATCH(N30,'Stor Factors'!$B$13:$B$244,0),0)</f>
        <v>27</v>
      </c>
      <c r="P30" s="20">
        <f ca="1">OFFSET('Stor Factors'!$B$13,$O30-1,P$14)*$L30+OFFSET('Stor Factors'!$B$13,$K30-1,P$14)*$H30</f>
        <v>477.03131475162303</v>
      </c>
      <c r="R30" s="20">
        <f ca="1">OFFSET('Stor Factors'!$B$13,$O30-1,R$14)*$L30+OFFSET('Stor Factors'!$B$13,$K30-1,R$14)*$H30</f>
        <v>0</v>
      </c>
      <c r="S30" s="20"/>
      <c r="T30" s="20">
        <f ca="1">OFFSET('Stor Factors'!$B$13,$O30-1,T$14)*$L30+OFFSET('Stor Factors'!$B$13,$K30-1,T$14)*$H30</f>
        <v>0</v>
      </c>
      <c r="U30" s="20"/>
      <c r="V30" s="20">
        <f ca="1">OFFSET('Stor Factors'!$B$13,$O30-1,V$14)*$L30+OFFSET('Stor Factors'!$B$13,$K30-1,V$14)*$H30</f>
        <v>0</v>
      </c>
      <c r="X30" s="9">
        <f t="shared" ca="1" si="0"/>
        <v>477.03131475162303</v>
      </c>
      <c r="Z30" s="25" t="str">
        <f t="shared" ca="1" si="1"/>
        <v/>
      </c>
      <c r="AA30" s="8"/>
      <c r="AB30" s="20"/>
      <c r="AC30" s="89">
        <v>0</v>
      </c>
      <c r="AF30" s="89">
        <f t="shared" ca="1" si="2"/>
        <v>0</v>
      </c>
      <c r="AH30" s="89">
        <f t="shared" ca="1" si="2"/>
        <v>0</v>
      </c>
      <c r="AI30" s="92"/>
      <c r="AJ30" s="89">
        <f t="shared" ca="1" si="2"/>
        <v>0</v>
      </c>
      <c r="AK30" s="92"/>
      <c r="AL30" s="89">
        <f t="shared" ca="1" si="2"/>
        <v>0</v>
      </c>
      <c r="AM30" s="92"/>
      <c r="AN30" s="89">
        <f t="shared" ca="1" si="3"/>
        <v>0</v>
      </c>
    </row>
    <row r="31" spans="2:40" ht="13" x14ac:dyDescent="0.3">
      <c r="B31" s="18">
        <f t="shared" si="4"/>
        <v>14</v>
      </c>
      <c r="D31" s="1" t="s">
        <v>55</v>
      </c>
      <c r="F31" s="40">
        <f ca="1">SUM(F18:F30)</f>
        <v>1068340.2255652831</v>
      </c>
      <c r="H31" s="40">
        <f ca="1">SUM(H18:H30)</f>
        <v>39143.349015396845</v>
      </c>
      <c r="L31" s="40">
        <f ca="1">SUM(L18:L30)</f>
        <v>1029196.8765498861</v>
      </c>
      <c r="P31" s="28">
        <f ca="1">SUM(P18:P30)</f>
        <v>769807.82158774382</v>
      </c>
      <c r="Q31" s="23"/>
      <c r="R31" s="28">
        <f ca="1">SUM(R18:R30)</f>
        <v>275172.92824494606</v>
      </c>
      <c r="S31" s="22"/>
      <c r="T31" s="28">
        <f ca="1">SUM(T18:T30)</f>
        <v>23359.475732593106</v>
      </c>
      <c r="U31" s="22"/>
      <c r="V31" s="28">
        <f ca="1">SUM(V18:V30)</f>
        <v>0</v>
      </c>
      <c r="W31" s="18"/>
      <c r="X31" s="28">
        <f ca="1">SUM(X18:X30)</f>
        <v>1068340.2255652831</v>
      </c>
      <c r="Y31" s="8"/>
      <c r="Z31" s="25" t="str">
        <f t="shared" ca="1" si="1"/>
        <v/>
      </c>
      <c r="AB31" s="20"/>
      <c r="AC31" s="78">
        <f>SUM(AC18:AC30)</f>
        <v>24853.346732706683</v>
      </c>
      <c r="AF31" s="78">
        <f ca="1">SUM(AF18:AF30)</f>
        <v>18544.471545173586</v>
      </c>
      <c r="AG31" s="78"/>
      <c r="AH31" s="78">
        <f ca="1">SUM(AH18:AH30)</f>
        <v>5815.2201776259462</v>
      </c>
      <c r="AI31" s="78"/>
      <c r="AJ31" s="78">
        <f ca="1">SUM(AJ18:AJ30)</f>
        <v>493.65500990715265</v>
      </c>
      <c r="AK31" s="78"/>
      <c r="AL31" s="78">
        <f ca="1">SUM(AL18:AL30)</f>
        <v>0</v>
      </c>
      <c r="AM31" s="78"/>
      <c r="AN31" s="78">
        <f ca="1">SUM(AN18:AN30)</f>
        <v>24853.346732706683</v>
      </c>
    </row>
    <row r="32" spans="2:40" ht="13" x14ac:dyDescent="0.3">
      <c r="R32" s="14"/>
      <c r="W32" s="18"/>
      <c r="Z32" s="25" t="str">
        <f t="shared" si="1"/>
        <v/>
      </c>
      <c r="AB32" s="20"/>
    </row>
    <row r="33" spans="2:37" ht="13" x14ac:dyDescent="0.3">
      <c r="B33" s="18">
        <f>B31+1</f>
        <v>15</v>
      </c>
      <c r="D33" s="1" t="s">
        <v>56</v>
      </c>
      <c r="F33" s="48">
        <f ca="1">Function!R33</f>
        <v>43180.327429206613</v>
      </c>
      <c r="H33" s="48"/>
      <c r="K33" s="70">
        <f>_xlfn.IFNA(MATCH(J33,'Stor Factors'!$B$13:$B$244,0),0)</f>
        <v>0</v>
      </c>
      <c r="L33" s="48">
        <f t="shared" ref="L33" ca="1" si="6">F33-H33</f>
        <v>43180.327429206613</v>
      </c>
      <c r="N33" s="18" t="s">
        <v>209</v>
      </c>
      <c r="O33" s="70">
        <f>_xlfn.IFNA(MATCH(N33,'Stor Factors'!$B$13:$B$244,0),0)</f>
        <v>45</v>
      </c>
      <c r="P33" s="20">
        <f ca="1">OFFSET('Stor Factors'!$B$13,$O33-1,P$14)*$L33+OFFSET('Stor Factors'!$B$13,$K33-1,P$14)*$H33</f>
        <v>31429.981992504647</v>
      </c>
      <c r="R33" s="20">
        <f ca="1">OFFSET('Stor Factors'!$B$13,$O33-1,R$14)*$L33+OFFSET('Stor Factors'!$B$13,$K33-1,R$14)*$H33</f>
        <v>10830.907863356068</v>
      </c>
      <c r="S33" s="20"/>
      <c r="T33" s="20">
        <f ca="1">OFFSET('Stor Factors'!$B$13,$O33-1,T$14)*$L33+OFFSET('Stor Factors'!$B$13,$K33-1,T$14)*$H33</f>
        <v>919.43757334589714</v>
      </c>
      <c r="U33" s="20"/>
      <c r="V33" s="20">
        <f ca="1">OFFSET('Stor Factors'!$B$13,$O33-1,V$14)*$L33+OFFSET('Stor Factors'!$B$13,$K33-1,V$14)*$H33</f>
        <v>0</v>
      </c>
      <c r="X33" s="9">
        <f t="shared" ref="X33" ca="1" si="7">P33+R33+T33+V33</f>
        <v>43180.327429206613</v>
      </c>
      <c r="Z33" s="25"/>
      <c r="AB33" s="20"/>
    </row>
    <row r="34" spans="2:37" ht="13" x14ac:dyDescent="0.3">
      <c r="W34" s="18"/>
      <c r="Z34" s="25" t="str">
        <f t="shared" ref="Z34:Z37" si="8">IF(ROUND(F34,4)=ROUND(X34,4), "", "check")</f>
        <v/>
      </c>
      <c r="AB34" s="20"/>
    </row>
    <row r="35" spans="2:37" ht="13" x14ac:dyDescent="0.3">
      <c r="B35" s="18">
        <f>B33+1</f>
        <v>16</v>
      </c>
      <c r="D35" s="1" t="s">
        <v>58</v>
      </c>
      <c r="F35" s="40">
        <f ca="1">F31+F33</f>
        <v>1111520.5529944897</v>
      </c>
      <c r="H35" s="40">
        <f ca="1">H31+H33</f>
        <v>39143.349015396845</v>
      </c>
      <c r="L35" s="40">
        <f ca="1">L31+L33</f>
        <v>1072377.2039790927</v>
      </c>
      <c r="P35" s="10">
        <f ca="1">P31+P33</f>
        <v>801237.8035802485</v>
      </c>
      <c r="Q35" s="14"/>
      <c r="R35" s="10">
        <f ca="1">R31+R33</f>
        <v>286003.83610830212</v>
      </c>
      <c r="S35" s="8"/>
      <c r="T35" s="10">
        <f ca="1">T31+T33</f>
        <v>24278.913305939004</v>
      </c>
      <c r="U35" s="8"/>
      <c r="V35" s="10">
        <f ca="1">V31+V33</f>
        <v>0</v>
      </c>
      <c r="W35" s="18"/>
      <c r="X35" s="10">
        <f ca="1">X31+X33</f>
        <v>1111520.5529944897</v>
      </c>
      <c r="Z35" s="25" t="str">
        <f t="shared" ca="1" si="8"/>
        <v/>
      </c>
      <c r="AA35" s="8"/>
      <c r="AB35" s="20"/>
    </row>
    <row r="36" spans="2:37" ht="13" x14ac:dyDescent="0.3">
      <c r="D36" s="6"/>
      <c r="F36" s="74"/>
      <c r="H36" s="74"/>
      <c r="L36" s="74"/>
      <c r="W36" s="18"/>
      <c r="Z36" s="25" t="str">
        <f t="shared" si="8"/>
        <v/>
      </c>
      <c r="AB36" s="20"/>
    </row>
    <row r="37" spans="2:37" ht="13" x14ac:dyDescent="0.3">
      <c r="E37" s="6"/>
      <c r="W37" s="18"/>
      <c r="Z37" s="25" t="str">
        <f t="shared" si="8"/>
        <v/>
      </c>
      <c r="AB37" s="20"/>
    </row>
    <row r="38" spans="2:37" ht="13" x14ac:dyDescent="0.3">
      <c r="D38" s="6" t="s">
        <v>59</v>
      </c>
      <c r="E38" s="7"/>
      <c r="F38" s="75"/>
      <c r="Z38" s="27"/>
    </row>
    <row r="39" spans="2:37" x14ac:dyDescent="0.25">
      <c r="Z39" s="27"/>
    </row>
    <row r="40" spans="2:37" ht="13" x14ac:dyDescent="0.3">
      <c r="B40" s="18">
        <f>B35+1</f>
        <v>17</v>
      </c>
      <c r="D40" s="1" t="s">
        <v>33</v>
      </c>
      <c r="F40" s="48">
        <f ca="1">Function!R40</f>
        <v>0</v>
      </c>
      <c r="H40" s="48"/>
      <c r="J40" s="2"/>
      <c r="K40" s="70">
        <f>_xlfn.IFNA(MATCH(J40,'Stor Factors'!$B$13:$B$244,0),0)</f>
        <v>0</v>
      </c>
      <c r="L40" s="48">
        <f ca="1">F40-H40</f>
        <v>0</v>
      </c>
      <c r="N40" s="18" t="s">
        <v>204</v>
      </c>
      <c r="O40" s="70">
        <f>_xlfn.IFNA(MATCH(N40,'Stor Factors'!$B$13:$B$244,0),0)</f>
        <v>27</v>
      </c>
      <c r="P40" s="20">
        <f ca="1">OFFSET('Stor Factors'!$B$13,$O40-1,P$14)*$L40+OFFSET('Stor Factors'!$B$13,$K40-1,P$14)*$H40</f>
        <v>0</v>
      </c>
      <c r="R40" s="20">
        <f ca="1">OFFSET('Stor Factors'!$B$13,$O40-1,R$14)*$L40+OFFSET('Stor Factors'!$B$13,$K40-1,R$14)*$H40</f>
        <v>0</v>
      </c>
      <c r="S40" s="20"/>
      <c r="T40" s="20">
        <f ca="1">OFFSET('Stor Factors'!$B$13,$O40-1,T$14)*$L40+OFFSET('Stor Factors'!$B$13,$K40-1,T$14)*$H40</f>
        <v>0</v>
      </c>
      <c r="U40" s="20"/>
      <c r="V40" s="20">
        <f ca="1">OFFSET('Stor Factors'!$B$13,$O40-1,V$14)*$L40+OFFSET('Stor Factors'!$B$13,$K40-1,V$14)*$H40</f>
        <v>0</v>
      </c>
      <c r="X40" s="9">
        <f t="shared" ref="X40:X52" ca="1" si="9">P40+R40+T40+V40</f>
        <v>0</v>
      </c>
      <c r="Z40" s="25" t="str">
        <f ca="1">IF(ROUND(F40,4)=ROUND(X40,4), "", "check")</f>
        <v/>
      </c>
      <c r="AA40" s="8"/>
      <c r="AB40" s="20"/>
    </row>
    <row r="41" spans="2:37" ht="13" x14ac:dyDescent="0.3">
      <c r="B41" s="18">
        <f>B40+1</f>
        <v>18</v>
      </c>
      <c r="D41" s="1" t="s">
        <v>35</v>
      </c>
      <c r="F41" s="48">
        <f ca="1">Function!R41</f>
        <v>-48713.415889674274</v>
      </c>
      <c r="H41" s="48"/>
      <c r="J41" s="2"/>
      <c r="K41" s="70">
        <f>_xlfn.IFNA(MATCH(J41,'Stor Factors'!$B$13:$B$244,0),0)</f>
        <v>0</v>
      </c>
      <c r="L41" s="48">
        <f ca="1">F41-H41</f>
        <v>-48713.415889674274</v>
      </c>
      <c r="N41" s="18" t="s">
        <v>205</v>
      </c>
      <c r="O41" s="70">
        <f>_xlfn.IFNA(MATCH(N41,'Stor Factors'!$B$13:$B$244,0),0)</f>
        <v>24</v>
      </c>
      <c r="P41" s="20">
        <f ca="1">OFFSET('Stor Factors'!$B$13,$O41-1,P$14)*$L41+OFFSET('Stor Factors'!$B$13,$K41-1,P$14)*$H41</f>
        <v>-24356.707944837137</v>
      </c>
      <c r="R41" s="20">
        <f ca="1">OFFSET('Stor Factors'!$B$13,$O41-1,R$14)*$L41+OFFSET('Stor Factors'!$B$13,$K41-1,R$14)*$H41</f>
        <v>-22450.851426138794</v>
      </c>
      <c r="S41" s="20"/>
      <c r="T41" s="20">
        <f ca="1">OFFSET('Stor Factors'!$B$13,$O41-1,T$14)*$L41+OFFSET('Stor Factors'!$B$13,$K41-1,T$14)*$H41</f>
        <v>-1905.8565186983451</v>
      </c>
      <c r="U41" s="20"/>
      <c r="V41" s="20">
        <f ca="1">OFFSET('Stor Factors'!$B$13,$O41-1,V$14)*$L41+OFFSET('Stor Factors'!$B$13,$K41-1,V$14)*$H41</f>
        <v>0</v>
      </c>
      <c r="X41" s="9">
        <f t="shared" ca="1" si="9"/>
        <v>-48713.415889674274</v>
      </c>
      <c r="Z41" s="25" t="str">
        <f t="shared" ref="Z41:Z54" ca="1" si="10">IF(ROUND(F41,4)=ROUND(X41,4), "", "check")</f>
        <v/>
      </c>
      <c r="AA41" s="8"/>
      <c r="AB41" s="20"/>
    </row>
    <row r="42" spans="2:37" ht="13" x14ac:dyDescent="0.3">
      <c r="B42" s="18">
        <f t="shared" ref="B42:B53" si="11">B41+1</f>
        <v>19</v>
      </c>
      <c r="D42" s="1" t="s">
        <v>37</v>
      </c>
      <c r="F42" s="48">
        <f ca="1">Function!R42</f>
        <v>-30467.610982604227</v>
      </c>
      <c r="H42" s="48">
        <f ca="1">IF(K42&lt;&gt;0,OFFSET('Stor Factors'!$B$12,'Storage Class'!$K42-1,2),0)</f>
        <v>-2950.0008695332904</v>
      </c>
      <c r="J42" s="2" t="s">
        <v>210</v>
      </c>
      <c r="K42" s="70">
        <f>_xlfn.IFNA(MATCH(J42,'Stor Factors'!$B$13:$B$244,0),0)</f>
        <v>18</v>
      </c>
      <c r="L42" s="48">
        <f t="shared" ref="L42:L52" ca="1" si="12">F42-H42</f>
        <v>-27517.610113070936</v>
      </c>
      <c r="N42" s="18" t="s">
        <v>204</v>
      </c>
      <c r="O42" s="70">
        <f>_xlfn.IFNA(MATCH(N42,'Stor Factors'!$B$13:$B$244,0),0)</f>
        <v>27</v>
      </c>
      <c r="P42" s="20">
        <f ca="1">OFFSET('Stor Factors'!$B$13,$O42-1,P$14)*$L42+OFFSET('Stor Factors'!$B$13,$K42-1,P$14)*$H42</f>
        <v>-30467.610982604227</v>
      </c>
      <c r="R42" s="20">
        <f ca="1">OFFSET('Stor Factors'!$B$13,$O42-1,R$14)*$L42+OFFSET('Stor Factors'!$B$13,$K42-1,R$14)*$H42</f>
        <v>0</v>
      </c>
      <c r="S42" s="20"/>
      <c r="T42" s="20">
        <f ca="1">OFFSET('Stor Factors'!$B$13,$O42-1,T$14)*$L42+OFFSET('Stor Factors'!$B$13,$K42-1,T$14)*$H42</f>
        <v>0</v>
      </c>
      <c r="U42" s="20"/>
      <c r="V42" s="20">
        <f ca="1">OFFSET('Stor Factors'!$B$13,$O42-1,V$14)*$L42+OFFSET('Stor Factors'!$B$13,$K42-1,V$14)*$H42</f>
        <v>0</v>
      </c>
      <c r="X42" s="9">
        <f t="shared" ca="1" si="9"/>
        <v>-30467.610982604227</v>
      </c>
      <c r="Z42" s="25" t="str">
        <f t="shared" ca="1" si="10"/>
        <v/>
      </c>
      <c r="AA42" s="8"/>
      <c r="AB42" s="20"/>
    </row>
    <row r="43" spans="2:37" ht="13" x14ac:dyDescent="0.3">
      <c r="B43" s="18">
        <f t="shared" si="11"/>
        <v>20</v>
      </c>
      <c r="D43" s="1" t="s">
        <v>39</v>
      </c>
      <c r="F43" s="48">
        <f ca="1">Function!R43</f>
        <v>-30169.664755768776</v>
      </c>
      <c r="H43" s="48"/>
      <c r="J43" s="2"/>
      <c r="K43" s="70">
        <f>_xlfn.IFNA(MATCH(J43,'Stor Factors'!$B$13:$B$244,0),0)</f>
        <v>0</v>
      </c>
      <c r="L43" s="48">
        <f t="shared" ca="1" si="12"/>
        <v>-30169.664755768776</v>
      </c>
      <c r="N43" s="18" t="s">
        <v>204</v>
      </c>
      <c r="O43" s="70">
        <f>_xlfn.IFNA(MATCH(N43,'Stor Factors'!$B$13:$B$244,0),0)</f>
        <v>27</v>
      </c>
      <c r="P43" s="20">
        <f ca="1">OFFSET('Stor Factors'!$B$13,$O43-1,P$14)*$L43+OFFSET('Stor Factors'!$B$13,$K43-1,P$14)*$H43</f>
        <v>-30169.664755768776</v>
      </c>
      <c r="R43" s="20">
        <f ca="1">OFFSET('Stor Factors'!$B$13,$O43-1,R$14)*$L43+OFFSET('Stor Factors'!$B$13,$K43-1,R$14)*$H43</f>
        <v>0</v>
      </c>
      <c r="S43" s="20"/>
      <c r="T43" s="20">
        <f ca="1">OFFSET('Stor Factors'!$B$13,$O43-1,T$14)*$L43+OFFSET('Stor Factors'!$B$13,$K43-1,T$14)*$H43</f>
        <v>0</v>
      </c>
      <c r="U43" s="20"/>
      <c r="V43" s="20">
        <f ca="1">OFFSET('Stor Factors'!$B$13,$O43-1,V$14)*$L43+OFFSET('Stor Factors'!$B$13,$K43-1,V$14)*$H43</f>
        <v>0</v>
      </c>
      <c r="X43" s="9">
        <f t="shared" ca="1" si="9"/>
        <v>-30169.664755768776</v>
      </c>
      <c r="Z43" s="25" t="str">
        <f t="shared" ca="1" si="10"/>
        <v/>
      </c>
      <c r="AA43" s="8"/>
      <c r="AB43" s="20"/>
    </row>
    <row r="44" spans="2:37" ht="13" x14ac:dyDescent="0.3">
      <c r="B44" s="18">
        <f t="shared" si="11"/>
        <v>21</v>
      </c>
      <c r="D44" s="1" t="s">
        <v>41</v>
      </c>
      <c r="F44" s="48">
        <f ca="1">Function!R44</f>
        <v>0</v>
      </c>
      <c r="H44" s="48"/>
      <c r="J44" s="2"/>
      <c r="K44" s="70">
        <f>_xlfn.IFNA(MATCH(J44,'Stor Factors'!$B$13:$B$244,0),0)</f>
        <v>0</v>
      </c>
      <c r="L44" s="48">
        <f t="shared" ca="1" si="12"/>
        <v>0</v>
      </c>
      <c r="N44" s="18" t="s">
        <v>204</v>
      </c>
      <c r="O44" s="70">
        <f>_xlfn.IFNA(MATCH(N44,'Stor Factors'!$B$13:$B$244,0),0)</f>
        <v>27</v>
      </c>
      <c r="P44" s="20">
        <f ca="1">OFFSET('Stor Factors'!$B$13,$O44-1,P$14)*$L44+OFFSET('Stor Factors'!$B$13,$K44-1,P$14)*$H44</f>
        <v>0</v>
      </c>
      <c r="R44" s="20">
        <f ca="1">OFFSET('Stor Factors'!$B$13,$O44-1,R$14)*$L44+OFFSET('Stor Factors'!$B$13,$K44-1,R$14)*$H44</f>
        <v>0</v>
      </c>
      <c r="S44" s="20"/>
      <c r="T44" s="20">
        <f ca="1">OFFSET('Stor Factors'!$B$13,$O44-1,T$14)*$L44+OFFSET('Stor Factors'!$B$13,$K44-1,T$14)*$H44</f>
        <v>0</v>
      </c>
      <c r="U44" s="20"/>
      <c r="V44" s="20">
        <f ca="1">OFFSET('Stor Factors'!$B$13,$O44-1,V$14)*$L44+OFFSET('Stor Factors'!$B$13,$K44-1,V$14)*$H44</f>
        <v>0</v>
      </c>
      <c r="X44" s="9">
        <f t="shared" ca="1" si="9"/>
        <v>0</v>
      </c>
      <c r="Z44" s="25" t="str">
        <f t="shared" ca="1" si="10"/>
        <v/>
      </c>
      <c r="AA44" s="8"/>
      <c r="AB44" s="20"/>
    </row>
    <row r="45" spans="2:37" ht="13" x14ac:dyDescent="0.3">
      <c r="B45" s="18">
        <f t="shared" si="11"/>
        <v>22</v>
      </c>
      <c r="D45" s="1" t="s">
        <v>43</v>
      </c>
      <c r="F45" s="48">
        <f ca="1">Function!R45</f>
        <v>-153844.17287634031</v>
      </c>
      <c r="H45" s="48"/>
      <c r="K45" s="70">
        <f>_xlfn.IFNA(MATCH(J45,'Stor Factors'!$B$13:$B$244,0),0)</f>
        <v>0</v>
      </c>
      <c r="L45" s="48">
        <f t="shared" ca="1" si="12"/>
        <v>-153844.17287634031</v>
      </c>
      <c r="N45" s="18" t="s">
        <v>204</v>
      </c>
      <c r="O45" s="70">
        <f>_xlfn.IFNA(MATCH(N45,'Stor Factors'!$B$13:$B$244,0),0)</f>
        <v>27</v>
      </c>
      <c r="P45" s="20">
        <f ca="1">OFFSET('Stor Factors'!$B$13,$O45-1,P$14)*$L45+OFFSET('Stor Factors'!$B$13,$K45-1,P$14)*$H45</f>
        <v>-153844.17287634031</v>
      </c>
      <c r="R45" s="20">
        <f ca="1">OFFSET('Stor Factors'!$B$13,$O45-1,R$14)*$L45+OFFSET('Stor Factors'!$B$13,$K45-1,R$14)*$H45</f>
        <v>0</v>
      </c>
      <c r="S45" s="20"/>
      <c r="T45" s="20">
        <f ca="1">OFFSET('Stor Factors'!$B$13,$O45-1,T$14)*$L45+OFFSET('Stor Factors'!$B$13,$K45-1,T$14)*$H45</f>
        <v>0</v>
      </c>
      <c r="U45" s="20"/>
      <c r="V45" s="20">
        <f ca="1">OFFSET('Stor Factors'!$B$13,$O45-1,V$14)*$L45+OFFSET('Stor Factors'!$B$13,$K45-1,V$14)*$H45</f>
        <v>0</v>
      </c>
      <c r="X45" s="9">
        <f t="shared" ca="1" si="9"/>
        <v>-153844.17287634031</v>
      </c>
      <c r="Z45" s="25" t="str">
        <f t="shared" ca="1" si="10"/>
        <v/>
      </c>
      <c r="AA45" s="8"/>
      <c r="AB45" s="20"/>
      <c r="AK45" s="91"/>
    </row>
    <row r="46" spans="2:37" ht="13" x14ac:dyDescent="0.3">
      <c r="B46" s="18">
        <f t="shared" si="11"/>
        <v>23</v>
      </c>
      <c r="D46" s="1" t="s">
        <v>45</v>
      </c>
      <c r="F46" s="48">
        <f ca="1">Function!R46</f>
        <v>-17354.751934163171</v>
      </c>
      <c r="H46" s="48">
        <f ca="1">IF(K46&lt;&gt;0,OFFSET('Stor Factors'!$B$12,'Storage Class'!$K46-1,2),0)</f>
        <v>-17354.751934163171</v>
      </c>
      <c r="J46" s="2" t="s">
        <v>211</v>
      </c>
      <c r="K46" s="70">
        <f>_xlfn.IFNA(MATCH(J46,'Stor Factors'!$B$13:$B$244,0),0)</f>
        <v>6</v>
      </c>
      <c r="L46" s="48">
        <f t="shared" ca="1" si="12"/>
        <v>0</v>
      </c>
      <c r="N46" s="18" t="s">
        <v>204</v>
      </c>
      <c r="O46" s="70">
        <f>_xlfn.IFNA(MATCH(N46,'Stor Factors'!$B$13:$B$244,0),0)</f>
        <v>27</v>
      </c>
      <c r="P46" s="20">
        <f ca="1">OFFSET('Stor Factors'!$B$13,$O46-1,P$14)*$L46+OFFSET('Stor Factors'!$B$13,$K46-1,P$14)*$H46</f>
        <v>-17354.751934163171</v>
      </c>
      <c r="R46" s="20">
        <f ca="1">OFFSET('Stor Factors'!$B$13,$O46-1,R$14)*$L46+OFFSET('Stor Factors'!$B$13,$K46-1,R$14)*$H46</f>
        <v>0</v>
      </c>
      <c r="S46" s="20"/>
      <c r="T46" s="20">
        <f ca="1">OFFSET('Stor Factors'!$B$13,$O46-1,T$14)*$L46+OFFSET('Stor Factors'!$B$13,$K46-1,T$14)*$H46</f>
        <v>0</v>
      </c>
      <c r="U46" s="20"/>
      <c r="V46" s="20">
        <f ca="1">OFFSET('Stor Factors'!$B$13,$O46-1,V$14)*$L46+OFFSET('Stor Factors'!$B$13,$K46-1,V$14)*$H46</f>
        <v>0</v>
      </c>
      <c r="X46" s="9">
        <f t="shared" ca="1" si="9"/>
        <v>-17354.751934163171</v>
      </c>
      <c r="Z46" s="25" t="str">
        <f t="shared" ca="1" si="10"/>
        <v/>
      </c>
      <c r="AA46" s="8"/>
      <c r="AB46" s="20"/>
      <c r="AK46" s="91"/>
    </row>
    <row r="47" spans="2:37" ht="13" x14ac:dyDescent="0.3">
      <c r="B47" s="18">
        <f t="shared" si="11"/>
        <v>24</v>
      </c>
      <c r="D47" s="1" t="s">
        <v>47</v>
      </c>
      <c r="F47" s="48">
        <f ca="1">Function!R47</f>
        <v>-127950.16722804983</v>
      </c>
      <c r="H47" s="48"/>
      <c r="K47" s="70">
        <f>_xlfn.IFNA(MATCH(J47,'Stor Factors'!$B$13:$B$244,0),0)</f>
        <v>0</v>
      </c>
      <c r="L47" s="48">
        <f t="shared" ca="1" si="12"/>
        <v>-127950.16722804983</v>
      </c>
      <c r="N47" s="18" t="s">
        <v>205</v>
      </c>
      <c r="O47" s="70">
        <f>_xlfn.IFNA(MATCH(N47,'Stor Factors'!$B$13:$B$244,0),0)</f>
        <v>24</v>
      </c>
      <c r="P47" s="20">
        <f ca="1">OFFSET('Stor Factors'!$B$13,$O47-1,P$14)*$L47+OFFSET('Stor Factors'!$B$13,$K47-1,P$14)*$H47</f>
        <v>-63975.083614024916</v>
      </c>
      <c r="R47" s="20">
        <f ca="1">OFFSET('Stor Factors'!$B$13,$O47-1,R$14)*$L47+OFFSET('Stor Factors'!$B$13,$K47-1,R$14)*$H47</f>
        <v>-58969.180089780137</v>
      </c>
      <c r="S47" s="20"/>
      <c r="T47" s="20">
        <f ca="1">OFFSET('Stor Factors'!$B$13,$O47-1,T$14)*$L47+OFFSET('Stor Factors'!$B$13,$K47-1,T$14)*$H47</f>
        <v>-5005.9035242447808</v>
      </c>
      <c r="U47" s="20"/>
      <c r="V47" s="20">
        <f ca="1">OFFSET('Stor Factors'!$B$13,$O47-1,V$14)*$L47+OFFSET('Stor Factors'!$B$13,$K47-1,V$14)*$H47</f>
        <v>0</v>
      </c>
      <c r="X47" s="9">
        <f t="shared" ca="1" si="9"/>
        <v>-127950.16722804983</v>
      </c>
      <c r="Z47" s="25" t="str">
        <f t="shared" ca="1" si="10"/>
        <v/>
      </c>
      <c r="AA47" s="8"/>
      <c r="AB47" s="20"/>
    </row>
    <row r="48" spans="2:37" ht="13" x14ac:dyDescent="0.3">
      <c r="B48" s="18">
        <f t="shared" si="11"/>
        <v>25</v>
      </c>
      <c r="D48" s="1" t="s">
        <v>48</v>
      </c>
      <c r="F48" s="48">
        <f ca="1">Function!R48</f>
        <v>0</v>
      </c>
      <c r="H48" s="48"/>
      <c r="K48" s="70">
        <f>_xlfn.IFNA(MATCH(J48,'Stor Factors'!$B$13:$B$244,0),0)</f>
        <v>0</v>
      </c>
      <c r="L48" s="48">
        <f t="shared" ca="1" si="12"/>
        <v>0</v>
      </c>
      <c r="N48" s="18" t="s">
        <v>208</v>
      </c>
      <c r="O48" s="70">
        <f>_xlfn.IFNA(MATCH(N48,'Stor Factors'!$B$13:$B$244,0),0)</f>
        <v>36</v>
      </c>
      <c r="P48" s="20">
        <f ca="1">OFFSET('Stor Factors'!$B$13,$O48-1,P$14)*$L48+OFFSET('Stor Factors'!$B$13,$K48-1,P$14)*$H48</f>
        <v>0</v>
      </c>
      <c r="R48" s="20">
        <f ca="1">OFFSET('Stor Factors'!$B$13,$O48-1,R$14)*$L48+OFFSET('Stor Factors'!$B$13,$K48-1,R$14)*$H48</f>
        <v>0</v>
      </c>
      <c r="S48" s="20"/>
      <c r="T48" s="20">
        <f ca="1">OFFSET('Stor Factors'!$B$13,$O48-1,T$14)*$L48+OFFSET('Stor Factors'!$B$13,$K48-1,T$14)*$H48</f>
        <v>0</v>
      </c>
      <c r="U48" s="20"/>
      <c r="V48" s="20">
        <f ca="1">OFFSET('Stor Factors'!$B$13,$O48-1,V$14)*$L48+OFFSET('Stor Factors'!$B$13,$K48-1,V$14)*$H48</f>
        <v>0</v>
      </c>
      <c r="X48" s="9">
        <f t="shared" ca="1" si="9"/>
        <v>0</v>
      </c>
      <c r="Z48" s="25" t="str">
        <f t="shared" ca="1" si="10"/>
        <v/>
      </c>
      <c r="AA48" s="8"/>
      <c r="AB48" s="20"/>
    </row>
    <row r="49" spans="2:28" ht="13" x14ac:dyDescent="0.3">
      <c r="B49" s="18">
        <f t="shared" si="11"/>
        <v>26</v>
      </c>
      <c r="D49" s="1" t="s">
        <v>49</v>
      </c>
      <c r="F49" s="48">
        <f ca="1">Function!R49</f>
        <v>0</v>
      </c>
      <c r="H49" s="48"/>
      <c r="K49" s="70">
        <f>_xlfn.IFNA(MATCH(J49,'Stor Factors'!$B$13:$B$244,0),0)</f>
        <v>0</v>
      </c>
      <c r="L49" s="48">
        <f t="shared" ca="1" si="12"/>
        <v>0</v>
      </c>
      <c r="N49" s="18"/>
      <c r="O49" s="70">
        <f>_xlfn.IFNA(MATCH(N49,'Stor Factors'!$B$13:$B$244,0),0)</f>
        <v>0</v>
      </c>
      <c r="P49" s="20">
        <f ca="1">OFFSET('Stor Factors'!$B$13,$O49-1,P$14)*$L49+OFFSET('Stor Factors'!$B$13,$K49-1,P$14)*$H49</f>
        <v>0</v>
      </c>
      <c r="R49" s="20">
        <f ca="1">OFFSET('Stor Factors'!$B$13,$O49-1,R$14)*$L49+OFFSET('Stor Factors'!$B$13,$K49-1,R$14)*$H49</f>
        <v>0</v>
      </c>
      <c r="S49" s="20"/>
      <c r="T49" s="20">
        <f ca="1">OFFSET('Stor Factors'!$B$13,$O49-1,T$14)*$L49+OFFSET('Stor Factors'!$B$13,$K49-1,T$14)*$H49</f>
        <v>0</v>
      </c>
      <c r="U49" s="20"/>
      <c r="V49" s="20">
        <f ca="1">OFFSET('Stor Factors'!$B$13,$O49-1,V$14)*$L49+OFFSET('Stor Factors'!$B$13,$K49-1,V$14)*$H49</f>
        <v>0</v>
      </c>
      <c r="X49" s="9">
        <f t="shared" ca="1" si="9"/>
        <v>0</v>
      </c>
      <c r="Z49" s="25" t="str">
        <f t="shared" ca="1" si="10"/>
        <v/>
      </c>
      <c r="AA49" s="8"/>
      <c r="AB49" s="20"/>
    </row>
    <row r="50" spans="2:28" ht="13" x14ac:dyDescent="0.3">
      <c r="B50" s="18">
        <f t="shared" si="11"/>
        <v>27</v>
      </c>
      <c r="D50" s="1" t="s">
        <v>51</v>
      </c>
      <c r="F50" s="48">
        <f ca="1">Function!R50</f>
        <v>0</v>
      </c>
      <c r="H50" s="48"/>
      <c r="K50" s="70">
        <f>_xlfn.IFNA(MATCH(J50,'Stor Factors'!$B$13:$B$244,0),0)</f>
        <v>0</v>
      </c>
      <c r="L50" s="48">
        <f t="shared" ca="1" si="12"/>
        <v>0</v>
      </c>
      <c r="N50" s="18"/>
      <c r="O50" s="70">
        <f>_xlfn.IFNA(MATCH(N50,'Stor Factors'!$B$13:$B$244,0),0)</f>
        <v>0</v>
      </c>
      <c r="P50" s="20">
        <f ca="1">OFFSET('Stor Factors'!$B$13,$O50-1,P$14)*$L50+OFFSET('Stor Factors'!$B$13,$K50-1,P$14)*$H50</f>
        <v>0</v>
      </c>
      <c r="R50" s="20">
        <f ca="1">OFFSET('Stor Factors'!$B$13,$O50-1,R$14)*$L50+OFFSET('Stor Factors'!$B$13,$K50-1,R$14)*$H50</f>
        <v>0</v>
      </c>
      <c r="S50" s="20"/>
      <c r="T50" s="20">
        <f ca="1">OFFSET('Stor Factors'!$B$13,$O50-1,T$14)*$L50+OFFSET('Stor Factors'!$B$13,$K50-1,T$14)*$H50</f>
        <v>0</v>
      </c>
      <c r="U50" s="20"/>
      <c r="V50" s="20">
        <f ca="1">OFFSET('Stor Factors'!$B$13,$O50-1,V$14)*$L50+OFFSET('Stor Factors'!$B$13,$K50-1,V$14)*$H50</f>
        <v>0</v>
      </c>
      <c r="X50" s="9">
        <f t="shared" ca="1" si="9"/>
        <v>0</v>
      </c>
      <c r="Z50" s="25" t="str">
        <f t="shared" ca="1" si="10"/>
        <v/>
      </c>
      <c r="AA50" s="8"/>
      <c r="AB50" s="20"/>
    </row>
    <row r="51" spans="2:28" ht="13" x14ac:dyDescent="0.3">
      <c r="B51" s="18">
        <f>B50+1</f>
        <v>28</v>
      </c>
      <c r="D51" s="1" t="s">
        <v>52</v>
      </c>
      <c r="F51" s="48">
        <f ca="1">Function!R51</f>
        <v>0</v>
      </c>
      <c r="H51" s="48"/>
      <c r="K51" s="70">
        <f>_xlfn.IFNA(MATCH(J51,'Stor Factors'!$B$13:$B$244,0),0)</f>
        <v>0</v>
      </c>
      <c r="L51" s="48">
        <f t="shared" ca="1" si="12"/>
        <v>0</v>
      </c>
      <c r="N51" s="18"/>
      <c r="O51" s="70">
        <f>_xlfn.IFNA(MATCH(N51,'Stor Factors'!$B$13:$B$244,0),0)</f>
        <v>0</v>
      </c>
      <c r="P51" s="20">
        <f ca="1">OFFSET('Stor Factors'!$B$13,$O51-1,P$14)*$L51+OFFSET('Stor Factors'!$B$13,$K51-1,P$14)*$H51</f>
        <v>0</v>
      </c>
      <c r="R51" s="20">
        <f ca="1">OFFSET('Stor Factors'!$B$13,$O51-1,R$14)*$L51+OFFSET('Stor Factors'!$B$13,$K51-1,R$14)*$H51</f>
        <v>0</v>
      </c>
      <c r="S51" s="20"/>
      <c r="T51" s="20">
        <f ca="1">OFFSET('Stor Factors'!$B$13,$O51-1,T$14)*$L51+OFFSET('Stor Factors'!$B$13,$K51-1,T$14)*$H51</f>
        <v>0</v>
      </c>
      <c r="U51" s="20"/>
      <c r="V51" s="20">
        <f ca="1">OFFSET('Stor Factors'!$B$13,$O51-1,V$14)*$L51+OFFSET('Stor Factors'!$B$13,$K51-1,V$14)*$H51</f>
        <v>0</v>
      </c>
      <c r="X51" s="9">
        <f t="shared" ca="1" si="9"/>
        <v>0</v>
      </c>
      <c r="Z51" s="25" t="str">
        <f t="shared" ca="1" si="10"/>
        <v/>
      </c>
      <c r="AA51" s="8"/>
      <c r="AB51" s="20"/>
    </row>
    <row r="52" spans="2:28" ht="13" x14ac:dyDescent="0.3">
      <c r="B52" s="18">
        <f>B51+1</f>
        <v>29</v>
      </c>
      <c r="D52" s="1" t="s">
        <v>53</v>
      </c>
      <c r="F52" s="48">
        <f ca="1">Function!R52</f>
        <v>0</v>
      </c>
      <c r="H52" s="48"/>
      <c r="K52" s="70">
        <f>_xlfn.IFNA(MATCH(J52,'Stor Factors'!$B$13:$B$244,0),0)</f>
        <v>0</v>
      </c>
      <c r="L52" s="48">
        <f t="shared" ca="1" si="12"/>
        <v>0</v>
      </c>
      <c r="N52" s="18" t="s">
        <v>204</v>
      </c>
      <c r="O52" s="70">
        <f>_xlfn.IFNA(MATCH(N52,'Stor Factors'!$B$13:$B$244,0),0)</f>
        <v>27</v>
      </c>
      <c r="P52" s="20">
        <f ca="1">OFFSET('Stor Factors'!$B$13,$O52-1,P$14)*$L52+OFFSET('Stor Factors'!$B$13,$K52-1,P$14)*$H52</f>
        <v>0</v>
      </c>
      <c r="R52" s="20">
        <f ca="1">OFFSET('Stor Factors'!$B$13,$O52-1,R$14)*$L52+OFFSET('Stor Factors'!$B$13,$K52-1,R$14)*$H52</f>
        <v>0</v>
      </c>
      <c r="S52" s="20"/>
      <c r="T52" s="20">
        <f ca="1">OFFSET('Stor Factors'!$B$13,$O52-1,T$14)*$L52+OFFSET('Stor Factors'!$B$13,$K52-1,T$14)*$H52</f>
        <v>0</v>
      </c>
      <c r="U52" s="20"/>
      <c r="V52" s="20">
        <f ca="1">OFFSET('Stor Factors'!$B$13,$O52-1,V$14)*$L52+OFFSET('Stor Factors'!$B$13,$K52-1,V$14)*$H52</f>
        <v>0</v>
      </c>
      <c r="X52" s="9">
        <f t="shared" ca="1" si="9"/>
        <v>0</v>
      </c>
      <c r="Z52" s="25" t="str">
        <f t="shared" ca="1" si="10"/>
        <v/>
      </c>
      <c r="AA52" s="8"/>
      <c r="AB52" s="20"/>
    </row>
    <row r="53" spans="2:28" ht="13" x14ac:dyDescent="0.3">
      <c r="B53" s="18">
        <f t="shared" si="11"/>
        <v>30</v>
      </c>
      <c r="D53" s="1" t="s">
        <v>65</v>
      </c>
      <c r="F53" s="40">
        <f ca="1">SUM(F40:F52)</f>
        <v>-408499.78366660059</v>
      </c>
      <c r="H53" s="40">
        <f ca="1">SUM(H40:H52)</f>
        <v>-20304.752803696461</v>
      </c>
      <c r="L53" s="40">
        <f ca="1">SUM(L40:L52)</f>
        <v>-388195.03086290415</v>
      </c>
      <c r="P53" s="28">
        <f ca="1">SUM(P40:P52)</f>
        <v>-320167.99210773851</v>
      </c>
      <c r="Q53" s="23"/>
      <c r="R53" s="28">
        <f ca="1">SUM(R40:R52)</f>
        <v>-81420.031515918934</v>
      </c>
      <c r="S53" s="22"/>
      <c r="T53" s="28">
        <f ca="1">SUM(T40:T52)</f>
        <v>-6911.7600429431259</v>
      </c>
      <c r="U53" s="22"/>
      <c r="V53" s="28">
        <f ca="1">SUM(V40:V52)</f>
        <v>0</v>
      </c>
      <c r="W53" s="18"/>
      <c r="X53" s="28">
        <f ca="1">SUM(X40:X52)</f>
        <v>-408499.78366660059</v>
      </c>
      <c r="Y53" s="8"/>
      <c r="Z53" s="25" t="str">
        <f t="shared" ca="1" si="10"/>
        <v/>
      </c>
      <c r="AB53" s="20"/>
    </row>
    <row r="54" spans="2:28" ht="13" x14ac:dyDescent="0.3">
      <c r="R54" s="14"/>
      <c r="W54" s="18"/>
      <c r="Z54" s="25" t="str">
        <f t="shared" si="10"/>
        <v/>
      </c>
      <c r="AB54" s="20"/>
    </row>
    <row r="55" spans="2:28" ht="13" x14ac:dyDescent="0.3">
      <c r="B55" s="18">
        <f>B53+1</f>
        <v>31</v>
      </c>
      <c r="D55" s="1" t="s">
        <v>56</v>
      </c>
      <c r="F55" s="48">
        <f ca="1">Function!R55</f>
        <v>-21589.070931578161</v>
      </c>
      <c r="H55" s="48"/>
      <c r="K55" s="70">
        <f>_xlfn.IFNA(MATCH(J55,'Stor Factors'!$B$13:$B$244,0),0)</f>
        <v>0</v>
      </c>
      <c r="L55" s="48">
        <f t="shared" ref="L55" ca="1" si="13">F55-H55</f>
        <v>-21589.070931578161</v>
      </c>
      <c r="N55" s="18" t="s">
        <v>209</v>
      </c>
      <c r="O55" s="70">
        <f>_xlfn.IFNA(MATCH(N55,'Stor Factors'!$B$13:$B$244,0),0)</f>
        <v>45</v>
      </c>
      <c r="P55" s="20">
        <f ca="1">OFFSET('Stor Factors'!$B$13,$O55-1,P$14)*$L55+OFFSET('Stor Factors'!$B$13,$K55-1,P$14)*$H55</f>
        <v>-15714.195584247671</v>
      </c>
      <c r="R55" s="20">
        <f ca="1">OFFSET('Stor Factors'!$B$13,$O55-1,R$14)*$L55+OFFSET('Stor Factors'!$B$13,$K55-1,R$14)*$H55</f>
        <v>-5415.1798292576805</v>
      </c>
      <c r="S55" s="20"/>
      <c r="T55" s="20">
        <f ca="1">OFFSET('Stor Factors'!$B$13,$O55-1,T$14)*$L55+OFFSET('Stor Factors'!$B$13,$K55-1,T$14)*$H55</f>
        <v>-459.69551807280925</v>
      </c>
      <c r="U55" s="20"/>
      <c r="V55" s="20">
        <f ca="1">OFFSET('Stor Factors'!$B$13,$O55-1,V$14)*$L55+OFFSET('Stor Factors'!$B$13,$K55-1,V$14)*$H55</f>
        <v>0</v>
      </c>
      <c r="X55" s="9">
        <f t="shared" ref="X55" ca="1" si="14">P55+R55+T55+V55</f>
        <v>-21589.070931578164</v>
      </c>
      <c r="Z55" s="25"/>
      <c r="AB55" s="20"/>
    </row>
    <row r="56" spans="2:28" ht="13" x14ac:dyDescent="0.3">
      <c r="W56" s="18"/>
      <c r="Z56" s="25" t="str">
        <f t="shared" ref="Z56:Z59" si="15">IF(ROUND(F56,4)=ROUND(X56,4), "", "check")</f>
        <v/>
      </c>
      <c r="AB56" s="20"/>
    </row>
    <row r="57" spans="2:28" ht="13" x14ac:dyDescent="0.3">
      <c r="B57" s="18">
        <f>B55+1</f>
        <v>32</v>
      </c>
      <c r="D57" s="1" t="s">
        <v>66</v>
      </c>
      <c r="F57" s="40">
        <f ca="1">F53+F55</f>
        <v>-430088.85459817876</v>
      </c>
      <c r="H57" s="40">
        <f ca="1">H53+H55</f>
        <v>-20304.752803696461</v>
      </c>
      <c r="L57" s="40">
        <f ca="1">L53+L55</f>
        <v>-409784.10179448233</v>
      </c>
      <c r="P57" s="10">
        <f ca="1">P53+P55</f>
        <v>-335882.18769198615</v>
      </c>
      <c r="Q57" s="14"/>
      <c r="R57" s="10">
        <f ca="1">R53+R55</f>
        <v>-86835.21134517662</v>
      </c>
      <c r="S57" s="8"/>
      <c r="T57" s="10">
        <f ca="1">T53+T55</f>
        <v>-7371.455561015935</v>
      </c>
      <c r="U57" s="8"/>
      <c r="V57" s="10">
        <f ca="1">V53+V55</f>
        <v>0</v>
      </c>
      <c r="W57" s="18"/>
      <c r="X57" s="10">
        <f ca="1">X53+X55</f>
        <v>-430088.85459817876</v>
      </c>
      <c r="Z57" s="25" t="str">
        <f t="shared" ca="1" si="15"/>
        <v/>
      </c>
      <c r="AA57" s="8"/>
      <c r="AB57" s="20"/>
    </row>
    <row r="58" spans="2:28" ht="13" x14ac:dyDescent="0.3">
      <c r="D58" s="6"/>
      <c r="F58" s="74"/>
      <c r="H58" s="74"/>
      <c r="L58" s="74"/>
      <c r="W58" s="18"/>
      <c r="Z58" s="25" t="str">
        <f t="shared" si="15"/>
        <v/>
      </c>
      <c r="AB58" s="20"/>
    </row>
    <row r="59" spans="2:28" ht="13" x14ac:dyDescent="0.3">
      <c r="E59" s="6"/>
      <c r="W59" s="18"/>
      <c r="Z59" s="25" t="str">
        <f t="shared" si="15"/>
        <v/>
      </c>
      <c r="AB59" s="20"/>
    </row>
    <row r="60" spans="2:28" ht="13" x14ac:dyDescent="0.3">
      <c r="D60" s="6" t="s">
        <v>67</v>
      </c>
      <c r="E60" s="7"/>
      <c r="F60" s="75"/>
      <c r="Z60" s="27"/>
    </row>
    <row r="61" spans="2:28" x14ac:dyDescent="0.25">
      <c r="Z61" s="27"/>
    </row>
    <row r="62" spans="2:28" ht="13" x14ac:dyDescent="0.3">
      <c r="B62" s="18">
        <f>B57+1</f>
        <v>33</v>
      </c>
      <c r="D62" s="1" t="s">
        <v>33</v>
      </c>
      <c r="F62" s="48">
        <f ca="1">F18+F40</f>
        <v>13017.78562077151</v>
      </c>
      <c r="H62" s="48">
        <f ca="1">H18+H40</f>
        <v>7.3027000000000006</v>
      </c>
      <c r="J62" s="2"/>
      <c r="K62" s="70">
        <f>_xlfn.IFNA(MATCH(J62,'Stor Factors'!$B$13:$B$244,0),0)</f>
        <v>0</v>
      </c>
      <c r="L62" s="48">
        <f ca="1">F62-H62</f>
        <v>13010.48292077151</v>
      </c>
      <c r="N62" s="18"/>
      <c r="O62" s="70">
        <f>_xlfn.IFNA(MATCH(N62,'Stor Factors'!$B$13:$B$244,0),0)</f>
        <v>0</v>
      </c>
      <c r="P62" s="20">
        <f ca="1">P18+P40</f>
        <v>13017.78562077151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X62" s="9">
        <f t="shared" ref="X62:X74" ca="1" si="16">P62+R62+T62+V62</f>
        <v>13017.78562077151</v>
      </c>
      <c r="Z62" s="25" t="str">
        <f ca="1">IF(ROUND(F62,4)=ROUND(X62,4), "", "check")</f>
        <v/>
      </c>
      <c r="AB62" s="20"/>
    </row>
    <row r="63" spans="2:28" ht="13" x14ac:dyDescent="0.3">
      <c r="B63" s="18">
        <f>B62+1</f>
        <v>34</v>
      </c>
      <c r="D63" s="1" t="s">
        <v>35</v>
      </c>
      <c r="F63" s="48">
        <f t="shared" ref="F63:F74" ca="1" si="17">F19+F41</f>
        <v>26073.599070325727</v>
      </c>
      <c r="H63" s="48"/>
      <c r="J63" s="2"/>
      <c r="K63" s="70">
        <f>_xlfn.IFNA(MATCH(J63,'Stor Factors'!$B$13:$B$244,0),0)</f>
        <v>0</v>
      </c>
      <c r="L63" s="48">
        <f ca="1">F63-H63</f>
        <v>26073.599070325727</v>
      </c>
      <c r="N63" s="18"/>
      <c r="O63" s="70">
        <f>_xlfn.IFNA(MATCH(N63,'Stor Factors'!$B$13:$B$244,0),0)</f>
        <v>0</v>
      </c>
      <c r="P63" s="20">
        <f t="shared" ref="P63:R74" ca="1" si="18">P19+P41</f>
        <v>13036.799535162863</v>
      </c>
      <c r="R63" s="20">
        <f t="shared" ca="1" si="18"/>
        <v>12016.699879933371</v>
      </c>
      <c r="S63" s="20"/>
      <c r="T63" s="20">
        <f t="shared" ref="T63:T74" ca="1" si="19">T19+T41</f>
        <v>1020.0996552294882</v>
      </c>
      <c r="U63" s="20"/>
      <c r="V63" s="20">
        <f t="shared" ref="V63:V74" ca="1" si="20">V19+V41</f>
        <v>0</v>
      </c>
      <c r="X63" s="9">
        <f t="shared" ca="1" si="16"/>
        <v>26073.599070325723</v>
      </c>
      <c r="Z63" s="25" t="str">
        <f t="shared" ref="Z63:Z126" ca="1" si="21">IF(ROUND(F63,4)=ROUND(X63,4), "", "check")</f>
        <v/>
      </c>
      <c r="AB63" s="20"/>
    </row>
    <row r="64" spans="2:28" ht="13" x14ac:dyDescent="0.3">
      <c r="B64" s="18">
        <f t="shared" ref="B64:B75" si="22">B63+1</f>
        <v>35</v>
      </c>
      <c r="D64" s="1" t="s">
        <v>37</v>
      </c>
      <c r="F64" s="48">
        <f t="shared" ca="1" si="17"/>
        <v>49330.938952358076</v>
      </c>
      <c r="H64" s="48">
        <f ca="1">H20+H42</f>
        <v>6163.3275821364768</v>
      </c>
      <c r="J64" s="2"/>
      <c r="K64" s="70">
        <f>_xlfn.IFNA(MATCH(J64,'Stor Factors'!$B$13:$B$244,0),0)</f>
        <v>0</v>
      </c>
      <c r="L64" s="48">
        <f t="shared" ref="L64:L74" ca="1" si="23">F64-H64</f>
        <v>43167.611370221595</v>
      </c>
      <c r="N64" s="18"/>
      <c r="O64" s="70">
        <f>_xlfn.IFNA(MATCH(N64,'Stor Factors'!$B$13:$B$244,0),0)</f>
        <v>0</v>
      </c>
      <c r="P64" s="20">
        <f t="shared" ca="1" si="18"/>
        <v>49330.938952358076</v>
      </c>
      <c r="R64" s="20">
        <f t="shared" ca="1" si="18"/>
        <v>0</v>
      </c>
      <c r="S64" s="20"/>
      <c r="T64" s="20">
        <f t="shared" ca="1" si="19"/>
        <v>0</v>
      </c>
      <c r="U64" s="20"/>
      <c r="V64" s="20">
        <f t="shared" ca="1" si="20"/>
        <v>0</v>
      </c>
      <c r="X64" s="9">
        <f t="shared" ca="1" si="16"/>
        <v>49330.938952358076</v>
      </c>
      <c r="Z64" s="25" t="str">
        <f t="shared" ca="1" si="21"/>
        <v/>
      </c>
      <c r="AB64" s="20"/>
    </row>
    <row r="65" spans="2:37" ht="13" x14ac:dyDescent="0.3">
      <c r="B65" s="18">
        <f t="shared" si="22"/>
        <v>36</v>
      </c>
      <c r="D65" s="1" t="s">
        <v>39</v>
      </c>
      <c r="F65" s="48">
        <f t="shared" ca="1" si="17"/>
        <v>10132.150632208672</v>
      </c>
      <c r="H65" s="48"/>
      <c r="J65" s="2"/>
      <c r="K65" s="70">
        <f>_xlfn.IFNA(MATCH(J65,'Stor Factors'!$B$13:$B$244,0),0)</f>
        <v>0</v>
      </c>
      <c r="L65" s="48">
        <f t="shared" ca="1" si="23"/>
        <v>10132.150632208672</v>
      </c>
      <c r="N65" s="18"/>
      <c r="O65" s="70">
        <f>_xlfn.IFNA(MATCH(N65,'Stor Factors'!$B$13:$B$244,0),0)</f>
        <v>0</v>
      </c>
      <c r="P65" s="20">
        <f t="shared" ca="1" si="18"/>
        <v>10132.150632208672</v>
      </c>
      <c r="R65" s="20">
        <f t="shared" ca="1" si="18"/>
        <v>0</v>
      </c>
      <c r="S65" s="20"/>
      <c r="T65" s="20">
        <f t="shared" ca="1" si="19"/>
        <v>0</v>
      </c>
      <c r="U65" s="20"/>
      <c r="V65" s="20">
        <f t="shared" ca="1" si="20"/>
        <v>0</v>
      </c>
      <c r="X65" s="9">
        <f t="shared" ca="1" si="16"/>
        <v>10132.150632208672</v>
      </c>
      <c r="Z65" s="25" t="str">
        <f t="shared" ca="1" si="21"/>
        <v/>
      </c>
      <c r="AB65" s="20"/>
    </row>
    <row r="66" spans="2:37" ht="13" x14ac:dyDescent="0.3">
      <c r="B66" s="18">
        <f t="shared" si="22"/>
        <v>37</v>
      </c>
      <c r="D66" s="1" t="s">
        <v>41</v>
      </c>
      <c r="F66" s="48">
        <f t="shared" ca="1" si="17"/>
        <v>0</v>
      </c>
      <c r="H66" s="48"/>
      <c r="J66" s="2"/>
      <c r="K66" s="70">
        <f>_xlfn.IFNA(MATCH(J66,'Stor Factors'!$B$13:$B$244,0),0)</f>
        <v>0</v>
      </c>
      <c r="L66" s="48">
        <f t="shared" ca="1" si="23"/>
        <v>0</v>
      </c>
      <c r="N66" s="18"/>
      <c r="O66" s="70">
        <f>_xlfn.IFNA(MATCH(N66,'Stor Factors'!$B$13:$B$244,0),0)</f>
        <v>0</v>
      </c>
      <c r="P66" s="20">
        <f t="shared" ca="1" si="18"/>
        <v>0</v>
      </c>
      <c r="R66" s="20">
        <f t="shared" ca="1" si="18"/>
        <v>0</v>
      </c>
      <c r="S66" s="20"/>
      <c r="T66" s="20">
        <f t="shared" ca="1" si="19"/>
        <v>0</v>
      </c>
      <c r="U66" s="20"/>
      <c r="V66" s="20">
        <f t="shared" ca="1" si="20"/>
        <v>0</v>
      </c>
      <c r="X66" s="9">
        <f t="shared" ca="1" si="16"/>
        <v>0</v>
      </c>
      <c r="Z66" s="25" t="str">
        <f t="shared" ca="1" si="21"/>
        <v/>
      </c>
      <c r="AB66" s="20"/>
    </row>
    <row r="67" spans="2:37" ht="13" x14ac:dyDescent="0.3">
      <c r="B67" s="18">
        <f t="shared" si="22"/>
        <v>38</v>
      </c>
      <c r="D67" s="1" t="s">
        <v>43</v>
      </c>
      <c r="F67" s="48">
        <f t="shared" ca="1" si="17"/>
        <v>222279.83060167442</v>
      </c>
      <c r="H67" s="48"/>
      <c r="K67" s="70">
        <f>_xlfn.IFNA(MATCH(J67,'Stor Factors'!$B$13:$B$244,0),0)</f>
        <v>0</v>
      </c>
      <c r="L67" s="48">
        <f t="shared" ca="1" si="23"/>
        <v>222279.83060167442</v>
      </c>
      <c r="N67" s="18"/>
      <c r="O67" s="70">
        <f>_xlfn.IFNA(MATCH(N67,'Stor Factors'!$B$13:$B$244,0),0)</f>
        <v>0</v>
      </c>
      <c r="P67" s="20">
        <f t="shared" ca="1" si="18"/>
        <v>222279.83060167442</v>
      </c>
      <c r="R67" s="20">
        <f t="shared" ca="1" si="18"/>
        <v>0</v>
      </c>
      <c r="S67" s="20"/>
      <c r="T67" s="20">
        <f t="shared" ca="1" si="19"/>
        <v>0</v>
      </c>
      <c r="U67" s="20"/>
      <c r="V67" s="20">
        <f t="shared" ca="1" si="20"/>
        <v>0</v>
      </c>
      <c r="X67" s="9">
        <f t="shared" ca="1" si="16"/>
        <v>222279.83060167442</v>
      </c>
      <c r="Z67" s="25" t="str">
        <f t="shared" ca="1" si="21"/>
        <v/>
      </c>
      <c r="AB67" s="20"/>
      <c r="AK67" s="91"/>
    </row>
    <row r="68" spans="2:37" ht="13" x14ac:dyDescent="0.3">
      <c r="B68" s="18">
        <f t="shared" si="22"/>
        <v>39</v>
      </c>
      <c r="D68" s="1" t="s">
        <v>45</v>
      </c>
      <c r="F68" s="48">
        <f t="shared" ca="1" si="17"/>
        <v>12667.96592956391</v>
      </c>
      <c r="H68" s="48">
        <f ca="1">H24+H46</f>
        <v>12667.96592956391</v>
      </c>
      <c r="J68" s="2"/>
      <c r="K68" s="70">
        <f>_xlfn.IFNA(MATCH(J68,'Stor Factors'!$B$13:$B$244,0),0)</f>
        <v>0</v>
      </c>
      <c r="L68" s="48">
        <f t="shared" ca="1" si="23"/>
        <v>0</v>
      </c>
      <c r="N68" s="18"/>
      <c r="O68" s="70">
        <f>_xlfn.IFNA(MATCH(N68,'Stor Factors'!$B$13:$B$244,0),0)</f>
        <v>0</v>
      </c>
      <c r="P68" s="20">
        <f t="shared" ca="1" si="18"/>
        <v>12667.96592956391</v>
      </c>
      <c r="R68" s="20">
        <f t="shared" ca="1" si="18"/>
        <v>0</v>
      </c>
      <c r="S68" s="20"/>
      <c r="T68" s="20">
        <f t="shared" ca="1" si="19"/>
        <v>0</v>
      </c>
      <c r="U68" s="20"/>
      <c r="V68" s="20">
        <f t="shared" ca="1" si="20"/>
        <v>0</v>
      </c>
      <c r="X68" s="9">
        <f t="shared" ca="1" si="16"/>
        <v>12667.96592956391</v>
      </c>
      <c r="Z68" s="25" t="str">
        <f t="shared" ca="1" si="21"/>
        <v/>
      </c>
      <c r="AB68" s="20"/>
      <c r="AK68" s="91"/>
    </row>
    <row r="69" spans="2:37" ht="13" x14ac:dyDescent="0.3">
      <c r="B69" s="18">
        <f t="shared" si="22"/>
        <v>40</v>
      </c>
      <c r="D69" s="1" t="s">
        <v>47</v>
      </c>
      <c r="F69" s="48">
        <f t="shared" ca="1" si="17"/>
        <v>257394.65378702851</v>
      </c>
      <c r="H69" s="48"/>
      <c r="K69" s="70">
        <f>_xlfn.IFNA(MATCH(J69,'Stor Factors'!$B$13:$B$244,0),0)</f>
        <v>0</v>
      </c>
      <c r="L69" s="48">
        <f t="shared" ca="1" si="23"/>
        <v>257394.65378702851</v>
      </c>
      <c r="N69" s="18"/>
      <c r="O69" s="70">
        <f>_xlfn.IFNA(MATCH(N69,'Stor Factors'!$B$13:$B$244,0),0)</f>
        <v>0</v>
      </c>
      <c r="P69" s="20">
        <f t="shared" ca="1" si="18"/>
        <v>128697.32689351426</v>
      </c>
      <c r="R69" s="20">
        <f t="shared" ca="1" si="18"/>
        <v>118627.05631529979</v>
      </c>
      <c r="S69" s="20"/>
      <c r="T69" s="20">
        <f t="shared" ca="1" si="19"/>
        <v>10070.270578214468</v>
      </c>
      <c r="U69" s="20"/>
      <c r="V69" s="20">
        <f t="shared" ca="1" si="20"/>
        <v>0</v>
      </c>
      <c r="X69" s="9">
        <f t="shared" ca="1" si="16"/>
        <v>257394.65378702851</v>
      </c>
      <c r="Z69" s="25" t="str">
        <f t="shared" ca="1" si="21"/>
        <v/>
      </c>
      <c r="AB69" s="20"/>
    </row>
    <row r="70" spans="2:37" ht="13" x14ac:dyDescent="0.3">
      <c r="B70" s="18">
        <f t="shared" si="22"/>
        <v>41</v>
      </c>
      <c r="D70" s="1" t="s">
        <v>48</v>
      </c>
      <c r="F70" s="48">
        <f t="shared" ca="1" si="17"/>
        <v>68466.485990000001</v>
      </c>
      <c r="H70" s="48"/>
      <c r="K70" s="70">
        <f>_xlfn.IFNA(MATCH(J70,'Stor Factors'!$B$13:$B$244,0),0)</f>
        <v>0</v>
      </c>
      <c r="L70" s="48">
        <f t="shared" ca="1" si="23"/>
        <v>68466.485990000001</v>
      </c>
      <c r="N70" s="18"/>
      <c r="O70" s="70">
        <f>_xlfn.IFNA(MATCH(N70,'Stor Factors'!$B$13:$B$244,0),0)</f>
        <v>0</v>
      </c>
      <c r="P70" s="20">
        <f t="shared" ca="1" si="18"/>
        <v>0</v>
      </c>
      <c r="R70" s="20">
        <f t="shared" ca="1" si="18"/>
        <v>63109.14053379398</v>
      </c>
      <c r="S70" s="20"/>
      <c r="T70" s="20">
        <f t="shared" ca="1" si="19"/>
        <v>5357.3454562060251</v>
      </c>
      <c r="U70" s="20"/>
      <c r="V70" s="20">
        <f t="shared" ca="1" si="20"/>
        <v>0</v>
      </c>
      <c r="X70" s="9">
        <f t="shared" ca="1" si="16"/>
        <v>68466.485990000001</v>
      </c>
      <c r="Z70" s="25" t="str">
        <f t="shared" ca="1" si="21"/>
        <v/>
      </c>
      <c r="AB70" s="20"/>
    </row>
    <row r="71" spans="2:37" ht="13" x14ac:dyDescent="0.3">
      <c r="B71" s="18">
        <f t="shared" si="22"/>
        <v>42</v>
      </c>
      <c r="D71" s="1" t="s">
        <v>49</v>
      </c>
      <c r="F71" s="48">
        <f t="shared" ca="1" si="17"/>
        <v>0</v>
      </c>
      <c r="H71" s="48"/>
      <c r="K71" s="70">
        <f>_xlfn.IFNA(MATCH(J71,'Stor Factors'!$B$13:$B$244,0),0)</f>
        <v>0</v>
      </c>
      <c r="L71" s="48">
        <f t="shared" ca="1" si="23"/>
        <v>0</v>
      </c>
      <c r="N71" s="18"/>
      <c r="O71" s="70">
        <f>_xlfn.IFNA(MATCH(N71,'Stor Factors'!$B$13:$B$244,0),0)</f>
        <v>0</v>
      </c>
      <c r="P71" s="20">
        <f t="shared" ca="1" si="18"/>
        <v>0</v>
      </c>
      <c r="R71" s="20">
        <f t="shared" ca="1" si="18"/>
        <v>0</v>
      </c>
      <c r="S71" s="20"/>
      <c r="T71" s="20">
        <f t="shared" ca="1" si="19"/>
        <v>0</v>
      </c>
      <c r="U71" s="20"/>
      <c r="V71" s="20">
        <f t="shared" ca="1" si="20"/>
        <v>0</v>
      </c>
      <c r="X71" s="9">
        <f t="shared" ca="1" si="16"/>
        <v>0</v>
      </c>
      <c r="Z71" s="25" t="str">
        <f t="shared" ca="1" si="21"/>
        <v/>
      </c>
      <c r="AB71" s="20"/>
    </row>
    <row r="72" spans="2:37" ht="13" x14ac:dyDescent="0.3">
      <c r="B72" s="18">
        <f t="shared" si="22"/>
        <v>43</v>
      </c>
      <c r="D72" s="1" t="s">
        <v>51</v>
      </c>
      <c r="F72" s="48">
        <f t="shared" ca="1" si="17"/>
        <v>0</v>
      </c>
      <c r="H72" s="48"/>
      <c r="K72" s="70">
        <f>_xlfn.IFNA(MATCH(J72,'Stor Factors'!$B$13:$B$244,0),0)</f>
        <v>0</v>
      </c>
      <c r="L72" s="48">
        <f t="shared" ca="1" si="23"/>
        <v>0</v>
      </c>
      <c r="N72" s="18"/>
      <c r="O72" s="70">
        <f>_xlfn.IFNA(MATCH(N72,'Stor Factors'!$B$13:$B$244,0),0)</f>
        <v>0</v>
      </c>
      <c r="P72" s="20">
        <f t="shared" ca="1" si="18"/>
        <v>0</v>
      </c>
      <c r="R72" s="20">
        <f t="shared" ca="1" si="18"/>
        <v>0</v>
      </c>
      <c r="S72" s="20"/>
      <c r="T72" s="20">
        <f t="shared" ca="1" si="19"/>
        <v>0</v>
      </c>
      <c r="U72" s="20"/>
      <c r="V72" s="20">
        <f t="shared" ca="1" si="20"/>
        <v>0</v>
      </c>
      <c r="X72" s="9">
        <f t="shared" ca="1" si="16"/>
        <v>0</v>
      </c>
      <c r="Z72" s="25" t="str">
        <f t="shared" ca="1" si="21"/>
        <v/>
      </c>
      <c r="AB72" s="20"/>
    </row>
    <row r="73" spans="2:37" ht="13" x14ac:dyDescent="0.3">
      <c r="B73" s="18">
        <f>B72+1</f>
        <v>44</v>
      </c>
      <c r="D73" s="1" t="s">
        <v>52</v>
      </c>
      <c r="F73" s="48">
        <f t="shared" ca="1" si="17"/>
        <v>0</v>
      </c>
      <c r="H73" s="48"/>
      <c r="K73" s="70">
        <f>_xlfn.IFNA(MATCH(J73,'Stor Factors'!$B$13:$B$244,0),0)</f>
        <v>0</v>
      </c>
      <c r="L73" s="48">
        <f t="shared" ca="1" si="23"/>
        <v>0</v>
      </c>
      <c r="N73" s="18"/>
      <c r="O73" s="70">
        <f>_xlfn.IFNA(MATCH(N73,'Stor Factors'!$B$13:$B$244,0),0)</f>
        <v>0</v>
      </c>
      <c r="P73" s="20">
        <f t="shared" ca="1" si="18"/>
        <v>0</v>
      </c>
      <c r="R73" s="20">
        <f t="shared" ca="1" si="18"/>
        <v>0</v>
      </c>
      <c r="S73" s="20"/>
      <c r="T73" s="20">
        <f t="shared" ca="1" si="19"/>
        <v>0</v>
      </c>
      <c r="U73" s="20"/>
      <c r="V73" s="20">
        <f t="shared" ca="1" si="20"/>
        <v>0</v>
      </c>
      <c r="X73" s="9">
        <f t="shared" ca="1" si="16"/>
        <v>0</v>
      </c>
      <c r="Z73" s="25" t="str">
        <f t="shared" ca="1" si="21"/>
        <v/>
      </c>
      <c r="AB73" s="20"/>
    </row>
    <row r="74" spans="2:37" ht="13" x14ac:dyDescent="0.3">
      <c r="B74" s="18">
        <f>B73+1</f>
        <v>45</v>
      </c>
      <c r="D74" s="1" t="s">
        <v>53</v>
      </c>
      <c r="F74" s="48">
        <f t="shared" ca="1" si="17"/>
        <v>477.03131475162303</v>
      </c>
      <c r="H74" s="48"/>
      <c r="K74" s="70">
        <f>_xlfn.IFNA(MATCH(J74,'Stor Factors'!$B$13:$B$244,0),0)</f>
        <v>0</v>
      </c>
      <c r="L74" s="48">
        <f t="shared" ca="1" si="23"/>
        <v>477.03131475162303</v>
      </c>
      <c r="N74" s="18"/>
      <c r="O74" s="70">
        <f>_xlfn.IFNA(MATCH(N74,'Stor Factors'!$B$13:$B$244,0),0)</f>
        <v>0</v>
      </c>
      <c r="P74" s="20">
        <f t="shared" ca="1" si="18"/>
        <v>477.03131475162303</v>
      </c>
      <c r="R74" s="20">
        <f t="shared" ca="1" si="18"/>
        <v>0</v>
      </c>
      <c r="S74" s="20"/>
      <c r="T74" s="20">
        <f t="shared" ca="1" si="19"/>
        <v>0</v>
      </c>
      <c r="U74" s="20"/>
      <c r="V74" s="20">
        <f t="shared" ca="1" si="20"/>
        <v>0</v>
      </c>
      <c r="X74" s="9">
        <f t="shared" ca="1" si="16"/>
        <v>477.03131475162303</v>
      </c>
      <c r="Z74" s="25" t="str">
        <f t="shared" ca="1" si="21"/>
        <v/>
      </c>
      <c r="AB74" s="20"/>
    </row>
    <row r="75" spans="2:37" ht="13" x14ac:dyDescent="0.3">
      <c r="B75" s="18">
        <f t="shared" si="22"/>
        <v>46</v>
      </c>
      <c r="D75" s="1" t="s">
        <v>68</v>
      </c>
      <c r="F75" s="40">
        <f ca="1">SUM(F62:F74)</f>
        <v>659840.44189868239</v>
      </c>
      <c r="H75" s="40">
        <f ca="1">SUM(H62:H74)</f>
        <v>18838.596211700387</v>
      </c>
      <c r="L75" s="40">
        <f ca="1">SUM(L62:L74)</f>
        <v>641001.84568698192</v>
      </c>
      <c r="P75" s="28">
        <f ca="1">SUM(P62:P74)</f>
        <v>449639.82948000531</v>
      </c>
      <c r="Q75" s="23"/>
      <c r="R75" s="28">
        <f ca="1">SUM(R62:R74)</f>
        <v>193752.89672902715</v>
      </c>
      <c r="S75" s="22"/>
      <c r="T75" s="28">
        <f ca="1">SUM(T62:T74)</f>
        <v>16447.71568964998</v>
      </c>
      <c r="U75" s="22"/>
      <c r="V75" s="28">
        <f ca="1">SUM(V62:V74)</f>
        <v>0</v>
      </c>
      <c r="W75" s="18"/>
      <c r="X75" s="28">
        <f ca="1">SUM(X62:X74)</f>
        <v>659840.44189868239</v>
      </c>
      <c r="Y75" s="8"/>
      <c r="Z75" s="25" t="str">
        <f t="shared" ca="1" si="21"/>
        <v/>
      </c>
      <c r="AB75" s="20"/>
    </row>
    <row r="76" spans="2:37" ht="13" x14ac:dyDescent="0.3">
      <c r="W76" s="18"/>
      <c r="Z76" s="25" t="str">
        <f t="shared" si="21"/>
        <v/>
      </c>
      <c r="AB76" s="20"/>
    </row>
    <row r="77" spans="2:37" ht="13" x14ac:dyDescent="0.3">
      <c r="B77" s="18">
        <f>B75+1</f>
        <v>47</v>
      </c>
      <c r="D77" s="1" t="s">
        <v>56</v>
      </c>
      <c r="F77" s="48">
        <f ca="1">F33+F55</f>
        <v>21591.256497628452</v>
      </c>
      <c r="H77" s="48"/>
      <c r="K77" s="70">
        <f>_xlfn.IFNA(MATCH(J77,'Stor Factors'!$B$13:$B$244,0),0)</f>
        <v>0</v>
      </c>
      <c r="L77" s="48">
        <f t="shared" ref="L77" ca="1" si="24">F77-H77</f>
        <v>21591.256497628452</v>
      </c>
      <c r="N77" s="18"/>
      <c r="O77" s="70">
        <f>_xlfn.IFNA(MATCH(N77,'Stor Factors'!$B$13:$B$244,0),0)</f>
        <v>0</v>
      </c>
      <c r="P77" s="20">
        <f ca="1">P33+P55</f>
        <v>15715.786408256976</v>
      </c>
      <c r="R77" s="20">
        <f ca="1">R33+R55</f>
        <v>5415.7280340983871</v>
      </c>
      <c r="S77" s="20"/>
      <c r="T77" s="20">
        <f ca="1">T33+T55</f>
        <v>459.74205527308789</v>
      </c>
      <c r="U77" s="20"/>
      <c r="V77" s="20">
        <f ca="1">V33+V55</f>
        <v>0</v>
      </c>
      <c r="X77" s="9">
        <f t="shared" ref="X77" ca="1" si="25">P77+R77+T77+V77</f>
        <v>21591.256497628452</v>
      </c>
      <c r="Z77" s="25"/>
      <c r="AB77" s="20"/>
    </row>
    <row r="78" spans="2:37" ht="13" x14ac:dyDescent="0.3">
      <c r="W78" s="18"/>
      <c r="Z78" s="25" t="str">
        <f t="shared" si="21"/>
        <v/>
      </c>
      <c r="AB78" s="20"/>
    </row>
    <row r="79" spans="2:37" ht="13" x14ac:dyDescent="0.3">
      <c r="B79" s="18">
        <f>B77+1</f>
        <v>48</v>
      </c>
      <c r="D79" s="1" t="s">
        <v>69</v>
      </c>
      <c r="F79" s="40">
        <f ca="1">F75+F77</f>
        <v>681431.69839631079</v>
      </c>
      <c r="H79" s="40">
        <f ca="1">H75+H77</f>
        <v>18838.596211700387</v>
      </c>
      <c r="L79" s="40">
        <f ca="1">L75+L77</f>
        <v>662593.10218461032</v>
      </c>
      <c r="P79" s="10">
        <f ca="1">P75+P77</f>
        <v>465355.61588826228</v>
      </c>
      <c r="Q79" s="14"/>
      <c r="R79" s="10">
        <f ca="1">R75+R77</f>
        <v>199168.62476312555</v>
      </c>
      <c r="S79" s="8"/>
      <c r="T79" s="10">
        <f ca="1">T75+T77</f>
        <v>16907.457744923067</v>
      </c>
      <c r="U79" s="8"/>
      <c r="V79" s="10">
        <f ca="1">V75+V77</f>
        <v>0</v>
      </c>
      <c r="W79" s="18"/>
      <c r="X79" s="10">
        <f ca="1">X75+X77</f>
        <v>681431.69839631079</v>
      </c>
      <c r="Z79" s="25" t="str">
        <f t="shared" ca="1" si="21"/>
        <v/>
      </c>
      <c r="AA79" s="8"/>
      <c r="AB79" s="20"/>
    </row>
    <row r="80" spans="2:37" ht="13" x14ac:dyDescent="0.3">
      <c r="D80" s="6"/>
      <c r="F80" s="74"/>
      <c r="H80" s="74"/>
      <c r="L80" s="74"/>
      <c r="W80" s="18"/>
      <c r="Z80" s="25" t="str">
        <f t="shared" si="21"/>
        <v/>
      </c>
      <c r="AB80" s="20"/>
    </row>
    <row r="81" spans="2:30" ht="13" x14ac:dyDescent="0.3">
      <c r="E81" s="6"/>
      <c r="W81" s="18"/>
      <c r="Z81" s="25" t="str">
        <f t="shared" si="21"/>
        <v/>
      </c>
      <c r="AB81" s="20"/>
    </row>
    <row r="82" spans="2:30" ht="13" x14ac:dyDescent="0.3">
      <c r="D82" s="6" t="s">
        <v>70</v>
      </c>
      <c r="F82" s="74"/>
      <c r="H82" s="74"/>
      <c r="L82" s="74"/>
      <c r="W82" s="18"/>
      <c r="Z82" s="25" t="str">
        <f t="shared" si="21"/>
        <v/>
      </c>
      <c r="AB82" s="22"/>
    </row>
    <row r="83" spans="2:30" ht="13" x14ac:dyDescent="0.3">
      <c r="W83" s="18"/>
      <c r="Z83" s="25" t="str">
        <f t="shared" si="21"/>
        <v/>
      </c>
      <c r="AB83" s="22"/>
    </row>
    <row r="84" spans="2:30" ht="13" x14ac:dyDescent="0.3">
      <c r="B84" s="18">
        <f>B79+1</f>
        <v>49</v>
      </c>
      <c r="D84" s="1" t="s">
        <v>71</v>
      </c>
      <c r="F84" s="48">
        <f ca="1">Function!R84</f>
        <v>4345.1165095733522</v>
      </c>
      <c r="H84" s="48"/>
      <c r="K84" s="70">
        <f>_xlfn.IFNA(MATCH(J84,'Stor Factors'!$B$13:$B$244,0),0)</f>
        <v>0</v>
      </c>
      <c r="L84" s="48">
        <f t="shared" ref="L84:L88" ca="1" si="26">F84-H84</f>
        <v>4345.1165095733522</v>
      </c>
      <c r="N84" s="18" t="s">
        <v>212</v>
      </c>
      <c r="O84" s="70">
        <f>_xlfn.IFNA(MATCH(N84,'Stor Factors'!$B$13:$B$244,0),0)</f>
        <v>51</v>
      </c>
      <c r="P84" s="20">
        <f ca="1">OFFSET('Stor Factors'!$B$13,$O84-1,P$14)*$L84+OFFSET('Stor Factors'!$B$13,$K84-1,P$14)*$H84</f>
        <v>3302.8851709377354</v>
      </c>
      <c r="R84" s="20">
        <f ca="1">OFFSET('Stor Factors'!$B$13,$O84-1,R$14)*$L84+OFFSET('Stor Factors'!$B$13,$K84-1,R$14)*$H84</f>
        <v>960.67912742427245</v>
      </c>
      <c r="S84" s="20"/>
      <c r="T84" s="20">
        <f ca="1">OFFSET('Stor Factors'!$B$13,$O84-1,T$14)*$L84+OFFSET('Stor Factors'!$B$13,$K84-1,T$14)*$H84</f>
        <v>81.552211211344584</v>
      </c>
      <c r="U84" s="20"/>
      <c r="V84" s="20">
        <f ca="1">OFFSET('Stor Factors'!$B$13,$O84-1,V$14)*$L84+OFFSET('Stor Factors'!$B$13,$K84-1,V$14)*$H84</f>
        <v>0</v>
      </c>
      <c r="X84" s="9">
        <f t="shared" ref="X84:X88" ca="1" si="27">P84+R84+T84+V84</f>
        <v>4345.1165095733531</v>
      </c>
      <c r="Z84" s="25" t="str">
        <f t="shared" ca="1" si="21"/>
        <v/>
      </c>
      <c r="AB84" s="22"/>
    </row>
    <row r="85" spans="2:30" ht="13" x14ac:dyDescent="0.3">
      <c r="B85" s="18">
        <f>B84+1</f>
        <v>50</v>
      </c>
      <c r="D85" s="1" t="s">
        <v>73</v>
      </c>
      <c r="F85" s="48">
        <f ca="1">Function!R85</f>
        <v>-206.16452215560537</v>
      </c>
      <c r="H85" s="48"/>
      <c r="K85" s="70">
        <f>_xlfn.IFNA(MATCH(J85,'Stor Factors'!$B$13:$B$244,0),0)</f>
        <v>0</v>
      </c>
      <c r="L85" s="48">
        <f t="shared" ca="1" si="26"/>
        <v>-206.16452215560537</v>
      </c>
      <c r="N85" s="18" t="s">
        <v>212</v>
      </c>
      <c r="O85" s="70">
        <f>_xlfn.IFNA(MATCH(N85,'Stor Factors'!$B$13:$B$244,0),0)</f>
        <v>51</v>
      </c>
      <c r="P85" s="20">
        <f ca="1">OFFSET('Stor Factors'!$B$13,$O85-1,P$14)*$L85+OFFSET('Stor Factors'!$B$13,$K85-1,P$14)*$H85</f>
        <v>-156.71334508544044</v>
      </c>
      <c r="R85" s="20">
        <f ca="1">OFFSET('Stor Factors'!$B$13,$O85-1,R$14)*$L85+OFFSET('Stor Factors'!$B$13,$K85-1,R$14)*$H85</f>
        <v>-45.581735912930995</v>
      </c>
      <c r="S85" s="20"/>
      <c r="T85" s="20">
        <f ca="1">OFFSET('Stor Factors'!$B$13,$O85-1,T$14)*$L85+OFFSET('Stor Factors'!$B$13,$K85-1,T$14)*$H85</f>
        <v>-3.8694411572339513</v>
      </c>
      <c r="U85" s="20"/>
      <c r="V85" s="20">
        <f ca="1">OFFSET('Stor Factors'!$B$13,$O85-1,V$14)*$L85+OFFSET('Stor Factors'!$B$13,$K85-1,V$14)*$H85</f>
        <v>0</v>
      </c>
      <c r="X85" s="9">
        <f t="shared" ca="1" si="27"/>
        <v>-206.16452215560537</v>
      </c>
      <c r="Z85" s="25" t="str">
        <f t="shared" ca="1" si="21"/>
        <v/>
      </c>
      <c r="AB85" s="22"/>
    </row>
    <row r="86" spans="2:30" ht="13" x14ac:dyDescent="0.3">
      <c r="B86" s="18">
        <f t="shared" ref="B86:B89" si="28">B85+1</f>
        <v>51</v>
      </c>
      <c r="D86" s="1" t="s">
        <v>74</v>
      </c>
      <c r="F86" s="48">
        <f ca="1">Function!R86</f>
        <v>-2444.2915726439505</v>
      </c>
      <c r="H86" s="48"/>
      <c r="K86" s="70">
        <f>_xlfn.IFNA(MATCH(J86,'Stor Factors'!$B$13:$B$244,0),0)</f>
        <v>0</v>
      </c>
      <c r="L86" s="48">
        <f t="shared" ca="1" si="26"/>
        <v>-2444.2915726439505</v>
      </c>
      <c r="N86" s="18" t="s">
        <v>212</v>
      </c>
      <c r="O86" s="70">
        <f>_xlfn.IFNA(MATCH(N86,'Stor Factors'!$B$13:$B$244,0),0)</f>
        <v>51</v>
      </c>
      <c r="P86" s="20">
        <f ca="1">OFFSET('Stor Factors'!$B$13,$O86-1,P$14)*$L86+OFFSET('Stor Factors'!$B$13,$K86-1,P$14)*$H86</f>
        <v>-1857.9972184742385</v>
      </c>
      <c r="R86" s="20">
        <f ca="1">OFFSET('Stor Factors'!$B$13,$O86-1,R$14)*$L86+OFFSET('Stor Factors'!$B$13,$K86-1,R$14)*$H86</f>
        <v>-540.41816600417496</v>
      </c>
      <c r="S86" s="20"/>
      <c r="T86" s="20">
        <f ca="1">OFFSET('Stor Factors'!$B$13,$O86-1,T$14)*$L86+OFFSET('Stor Factors'!$B$13,$K86-1,T$14)*$H86</f>
        <v>-45.876188165537137</v>
      </c>
      <c r="U86" s="20"/>
      <c r="V86" s="20">
        <f ca="1">OFFSET('Stor Factors'!$B$13,$O86-1,V$14)*$L86+OFFSET('Stor Factors'!$B$13,$K86-1,V$14)*$H86</f>
        <v>0</v>
      </c>
      <c r="X86" s="9">
        <f t="shared" ca="1" si="27"/>
        <v>-2444.2915726439505</v>
      </c>
      <c r="Z86" s="25" t="str">
        <f t="shared" ca="1" si="21"/>
        <v/>
      </c>
      <c r="AB86" s="22"/>
    </row>
    <row r="87" spans="2:30" ht="13" x14ac:dyDescent="0.3">
      <c r="B87" s="18">
        <f t="shared" si="28"/>
        <v>52</v>
      </c>
      <c r="D87" s="1" t="s">
        <v>75</v>
      </c>
      <c r="F87" s="48">
        <f ca="1">Function!R87</f>
        <v>450894.64997650369</v>
      </c>
      <c r="H87" s="48"/>
      <c r="K87" s="70">
        <f>_xlfn.IFNA(MATCH(J87,'Stor Factors'!$B$13:$B$244,0),0)</f>
        <v>0</v>
      </c>
      <c r="L87" s="48">
        <f t="shared" ca="1" si="26"/>
        <v>450894.64997650369</v>
      </c>
      <c r="N87" s="18" t="s">
        <v>213</v>
      </c>
      <c r="O87" s="70">
        <f>_xlfn.IFNA(MATCH(N87,'Stor Factors'!$B$13:$B$244,0),0)</f>
        <v>30</v>
      </c>
      <c r="P87" s="20">
        <f ca="1">OFFSET('Stor Factors'!$B$13,$O87-1,P$14)*$L87+OFFSET('Stor Factors'!$B$13,$K87-1,P$14)*$H87</f>
        <v>0</v>
      </c>
      <c r="R87" s="20">
        <f ca="1">OFFSET('Stor Factors'!$B$13,$O87-1,R$14)*$L87+OFFSET('Stor Factors'!$B$13,$K87-1,R$14)*$H87</f>
        <v>411482.44165298209</v>
      </c>
      <c r="S87" s="20"/>
      <c r="T87" s="20">
        <f ca="1">OFFSET('Stor Factors'!$B$13,$O87-1,T$14)*$L87+OFFSET('Stor Factors'!$B$13,$K87-1,T$14)*$H87</f>
        <v>39412.208323521612</v>
      </c>
      <c r="U87" s="20"/>
      <c r="V87" s="20">
        <f ca="1">OFFSET('Stor Factors'!$B$13,$O87-1,V$14)*$L87+OFFSET('Stor Factors'!$B$13,$K87-1,V$14)*$H87</f>
        <v>0</v>
      </c>
      <c r="X87" s="9">
        <f t="shared" ca="1" si="27"/>
        <v>450894.64997650369</v>
      </c>
      <c r="Z87" s="25" t="str">
        <f t="shared" ca="1" si="21"/>
        <v/>
      </c>
      <c r="AB87" s="22"/>
      <c r="AC87" s="31" t="s">
        <v>214</v>
      </c>
    </row>
    <row r="88" spans="2:30" ht="13" x14ac:dyDescent="0.3">
      <c r="B88" s="18">
        <f t="shared" si="28"/>
        <v>53</v>
      </c>
      <c r="D88" s="1" t="s">
        <v>76</v>
      </c>
      <c r="F88" s="48">
        <f ca="1">Function!R88</f>
        <v>-5295.833184271617</v>
      </c>
      <c r="H88" s="48"/>
      <c r="K88" s="70">
        <f>_xlfn.IFNA(MATCH(J88,'Stor Factors'!$B$13:$B$244,0),0)</f>
        <v>0</v>
      </c>
      <c r="L88" s="48">
        <f t="shared" ca="1" si="26"/>
        <v>-5295.833184271617</v>
      </c>
      <c r="N88" s="18" t="s">
        <v>212</v>
      </c>
      <c r="O88" s="70">
        <f>_xlfn.IFNA(MATCH(N88,'Stor Factors'!$B$13:$B$244,0),0)</f>
        <v>51</v>
      </c>
      <c r="P88" s="20">
        <f ca="1">OFFSET('Stor Factors'!$B$13,$O88-1,P$14)*$L88+OFFSET('Stor Factors'!$B$13,$K88-1,P$14)*$H88</f>
        <v>-4025.56038567725</v>
      </c>
      <c r="R88" s="20">
        <f ca="1">OFFSET('Stor Factors'!$B$13,$O88-1,R$14)*$L88+OFFSET('Stor Factors'!$B$13,$K88-1,R$14)*$H88</f>
        <v>-1170.8768663029741</v>
      </c>
      <c r="S88" s="20"/>
      <c r="T88" s="20">
        <f ca="1">OFFSET('Stor Factors'!$B$13,$O88-1,T$14)*$L88+OFFSET('Stor Factors'!$B$13,$K88-1,T$14)*$H88</f>
        <v>-99.395932291392924</v>
      </c>
      <c r="U88" s="20"/>
      <c r="V88" s="20">
        <f ca="1">OFFSET('Stor Factors'!$B$13,$O88-1,V$14)*$L88+OFFSET('Stor Factors'!$B$13,$K88-1,V$14)*$H88</f>
        <v>0</v>
      </c>
      <c r="X88" s="9">
        <f t="shared" ca="1" si="27"/>
        <v>-5295.833184271617</v>
      </c>
      <c r="Z88" s="25" t="str">
        <f t="shared" ca="1" si="21"/>
        <v/>
      </c>
      <c r="AB88" s="22"/>
    </row>
    <row r="89" spans="2:30" ht="13" x14ac:dyDescent="0.3">
      <c r="B89" s="18">
        <f t="shared" si="28"/>
        <v>54</v>
      </c>
      <c r="D89" s="1" t="s">
        <v>77</v>
      </c>
      <c r="F89" s="40">
        <f ca="1">SUM(F82:F88)</f>
        <v>447293.47720700584</v>
      </c>
      <c r="H89" s="40">
        <f>SUM(H82:H88)</f>
        <v>0</v>
      </c>
      <c r="L89" s="40">
        <f ca="1">SUM(L82:L88)</f>
        <v>447293.47720700584</v>
      </c>
      <c r="P89" s="28">
        <f ca="1">SUM(P82:P88)</f>
        <v>-2737.3857782991936</v>
      </c>
      <c r="Q89" s="23"/>
      <c r="R89" s="28">
        <f ca="1">SUM(R82:R88)</f>
        <v>410686.2440121863</v>
      </c>
      <c r="S89" s="23"/>
      <c r="T89" s="28">
        <f ca="1">SUM(T82:T88)</f>
        <v>39344.618973118791</v>
      </c>
      <c r="U89" s="23"/>
      <c r="V89" s="29">
        <f ca="1">SUM(V82:V88)</f>
        <v>0</v>
      </c>
      <c r="W89" s="18"/>
      <c r="X89" s="28">
        <f ca="1">SUM(X82:X88)</f>
        <v>447293.47720700584</v>
      </c>
      <c r="Z89" s="25" t="str">
        <f t="shared" ca="1" si="21"/>
        <v/>
      </c>
      <c r="AB89" s="22"/>
      <c r="AC89" s="92">
        <f ca="1">R87</f>
        <v>411482.44165298209</v>
      </c>
      <c r="AD89" s="31" t="s">
        <v>215</v>
      </c>
    </row>
    <row r="90" spans="2:30" ht="13" x14ac:dyDescent="0.3">
      <c r="W90" s="18"/>
      <c r="X90" s="8"/>
      <c r="Z90" s="25" t="str">
        <f t="shared" si="21"/>
        <v/>
      </c>
      <c r="AB90" s="22"/>
      <c r="AC90" s="109">
        <f>R95</f>
        <v>6.0821321807016528E-2</v>
      </c>
      <c r="AD90" s="31" t="s">
        <v>216</v>
      </c>
    </row>
    <row r="91" spans="2:30" ht="13" x14ac:dyDescent="0.3">
      <c r="X91" s="8"/>
      <c r="Z91" s="25" t="str">
        <f t="shared" si="21"/>
        <v/>
      </c>
      <c r="AB91" s="22"/>
      <c r="AC91" s="92">
        <f ca="1">AC89*AC90</f>
        <v>25026.906001712927</v>
      </c>
      <c r="AD91" s="31" t="s">
        <v>217</v>
      </c>
    </row>
    <row r="92" spans="2:30" ht="13" x14ac:dyDescent="0.3">
      <c r="B92" s="18">
        <f>B89+1</f>
        <v>55</v>
      </c>
      <c r="D92" s="1" t="s">
        <v>78</v>
      </c>
      <c r="F92" s="40">
        <f ca="1">F79+F89</f>
        <v>1128725.1756033166</v>
      </c>
      <c r="H92" s="40">
        <f ca="1">H79+H89</f>
        <v>18838.596211700387</v>
      </c>
      <c r="L92" s="40">
        <f ca="1">L79+L89</f>
        <v>1109886.5793916162</v>
      </c>
      <c r="P92" s="10">
        <f ca="1">P79+P89</f>
        <v>462618.2301099631</v>
      </c>
      <c r="Q92" s="8"/>
      <c r="R92" s="10">
        <f ca="1">R79+R89</f>
        <v>609854.86877531186</v>
      </c>
      <c r="S92" s="8"/>
      <c r="T92" s="10">
        <f ca="1">T79+T89</f>
        <v>56252.076718041862</v>
      </c>
      <c r="U92" s="8"/>
      <c r="V92" s="10">
        <f ca="1">V79+V89</f>
        <v>0</v>
      </c>
      <c r="W92" s="8"/>
      <c r="X92" s="10">
        <f ca="1">X79+X89</f>
        <v>1128725.1756033166</v>
      </c>
      <c r="Z92" s="25" t="str">
        <f t="shared" ca="1" si="21"/>
        <v/>
      </c>
      <c r="AA92" s="8"/>
      <c r="AB92" s="22"/>
      <c r="AC92" s="92">
        <f ca="1">AC91/R97*R108</f>
        <v>3229.6484055862934</v>
      </c>
      <c r="AD92" s="31" t="s">
        <v>86</v>
      </c>
    </row>
    <row r="93" spans="2:30" ht="13" x14ac:dyDescent="0.3">
      <c r="Z93" s="25" t="str">
        <f t="shared" si="21"/>
        <v/>
      </c>
      <c r="AB93" s="22"/>
      <c r="AC93" s="93">
        <f ca="1">SUM(AC91:AC92)</f>
        <v>28256.55440729922</v>
      </c>
    </row>
    <row r="94" spans="2:30" ht="13" x14ac:dyDescent="0.3">
      <c r="Z94" s="25" t="str">
        <f t="shared" si="21"/>
        <v/>
      </c>
      <c r="AB94" s="22"/>
    </row>
    <row r="95" spans="2:30" ht="13" x14ac:dyDescent="0.3">
      <c r="B95" s="18">
        <f>B92+1</f>
        <v>56</v>
      </c>
      <c r="D95" s="1" t="s">
        <v>79</v>
      </c>
      <c r="F95" s="82">
        <f>Function!R95</f>
        <v>6.0821321807016528E-2</v>
      </c>
      <c r="H95" s="82">
        <f>$F$95</f>
        <v>6.0821321807016528E-2</v>
      </c>
      <c r="L95" s="82">
        <f>$F$95</f>
        <v>6.0821321807016528E-2</v>
      </c>
      <c r="P95" s="82">
        <f>$F$95</f>
        <v>6.0821321807016528E-2</v>
      </c>
      <c r="R95" s="82">
        <f>$F$95</f>
        <v>6.0821321807016528E-2</v>
      </c>
      <c r="T95" s="82">
        <f>$F$95</f>
        <v>6.0821321807016528E-2</v>
      </c>
      <c r="V95" s="82">
        <f>$F$95</f>
        <v>6.0821321807016528E-2</v>
      </c>
      <c r="W95" s="24"/>
      <c r="X95" s="24">
        <f>V95</f>
        <v>6.0821321807016528E-2</v>
      </c>
      <c r="Z95" s="25" t="str">
        <f t="shared" si="21"/>
        <v/>
      </c>
      <c r="AB95" s="22"/>
    </row>
    <row r="96" spans="2:30" ht="13" x14ac:dyDescent="0.3">
      <c r="Z96" s="25" t="str">
        <f t="shared" si="21"/>
        <v/>
      </c>
      <c r="AB96" s="22"/>
    </row>
    <row r="97" spans="2:28" ht="13" x14ac:dyDescent="0.3">
      <c r="B97" s="18">
        <f>B95+1</f>
        <v>57</v>
      </c>
      <c r="D97" s="1" t="s">
        <v>80</v>
      </c>
      <c r="F97" s="40">
        <f ca="1">F92*F95</f>
        <v>68650.557137050564</v>
      </c>
      <c r="H97" s="40">
        <f ca="1">H92*H95</f>
        <v>1145.7883225842718</v>
      </c>
      <c r="L97" s="40">
        <f ca="1">L92*L95</f>
        <v>67504.768814466282</v>
      </c>
      <c r="P97" s="10">
        <f ca="1">P92*P95</f>
        <v>28137.05224731049</v>
      </c>
      <c r="R97" s="10">
        <f ca="1">R92*R95</f>
        <v>37092.179229359077</v>
      </c>
      <c r="T97" s="10">
        <f ca="1">T92*T95</f>
        <v>3421.3256603810064</v>
      </c>
      <c r="V97" s="10">
        <f ca="1">V92*V95</f>
        <v>0</v>
      </c>
      <c r="X97" s="10">
        <f t="shared" ref="X97" ca="1" si="29">P97+R97+T97+V97</f>
        <v>68650.557137050564</v>
      </c>
      <c r="Z97" s="25" t="str">
        <f t="shared" ca="1" si="21"/>
        <v/>
      </c>
      <c r="AB97" s="22"/>
    </row>
    <row r="98" spans="2:28" ht="13" x14ac:dyDescent="0.3">
      <c r="F98" s="48"/>
      <c r="H98" s="48"/>
      <c r="L98" s="48"/>
      <c r="Z98" s="25" t="str">
        <f t="shared" si="21"/>
        <v/>
      </c>
      <c r="AB98" s="22"/>
    </row>
    <row r="99" spans="2:28" ht="13" x14ac:dyDescent="0.3">
      <c r="F99" s="48"/>
      <c r="H99" s="48"/>
      <c r="L99" s="48"/>
      <c r="Z99" s="25" t="str">
        <f t="shared" si="21"/>
        <v/>
      </c>
    </row>
    <row r="100" spans="2:28" ht="13" x14ac:dyDescent="0.3">
      <c r="D100" s="6" t="s">
        <v>81</v>
      </c>
      <c r="Z100" s="25" t="str">
        <f t="shared" si="21"/>
        <v/>
      </c>
    </row>
    <row r="101" spans="2:28" ht="13" x14ac:dyDescent="0.3">
      <c r="Z101" s="25" t="str">
        <f t="shared" si="21"/>
        <v/>
      </c>
    </row>
    <row r="102" spans="2:28" ht="13" x14ac:dyDescent="0.3">
      <c r="B102" s="18">
        <f>B97+1</f>
        <v>58</v>
      </c>
      <c r="D102" s="1" t="s">
        <v>82</v>
      </c>
      <c r="F102" s="48">
        <f ca="1">Function!R102</f>
        <v>24853.346732706683</v>
      </c>
      <c r="H102" s="48"/>
      <c r="K102" s="70">
        <f>_xlfn.IFNA(MATCH(J102,'Stor Factors'!$B$13:$B$244,0),0)</f>
        <v>0</v>
      </c>
      <c r="L102" s="48">
        <f t="shared" ref="L102:L104" ca="1" si="30">F102-H102</f>
        <v>24853.346732706683</v>
      </c>
      <c r="N102" s="18" t="s">
        <v>218</v>
      </c>
      <c r="O102" s="70">
        <f>_xlfn.IFNA(MATCH(N102,'Stor Factors'!$B$13:$B$244,0),0)</f>
        <v>42</v>
      </c>
      <c r="P102" s="20">
        <f ca="1">OFFSET('Stor Factors'!$B$13,$O102-1,P$14)*$L102+OFFSET('Stor Factors'!$B$13,$K102-1,P$14)*$H102</f>
        <v>18544.471545173583</v>
      </c>
      <c r="R102" s="20">
        <f ca="1">OFFSET('Stor Factors'!$B$13,$O102-1,R$14)*$L102+OFFSET('Stor Factors'!$B$13,$K102-1,R$14)*$H102</f>
        <v>5815.2201776259453</v>
      </c>
      <c r="S102" s="20"/>
      <c r="T102" s="20">
        <f ca="1">OFFSET('Stor Factors'!$B$13,$O102-1,T$14)*$L102+OFFSET('Stor Factors'!$B$13,$K102-1,T$14)*$H102</f>
        <v>493.65500990715259</v>
      </c>
      <c r="U102" s="20"/>
      <c r="V102" s="20">
        <f ca="1">OFFSET('Stor Factors'!$B$13,$O102-1,V$14)*$L102+OFFSET('Stor Factors'!$B$13,$K102-1,V$14)*$H102</f>
        <v>0</v>
      </c>
      <c r="X102" s="9">
        <f t="shared" ref="X102:X103" ca="1" si="31">P102+R102+T102+V102</f>
        <v>24853.346732706683</v>
      </c>
      <c r="Z102" s="25" t="str">
        <f t="shared" ca="1" si="21"/>
        <v/>
      </c>
      <c r="AB102" s="22"/>
    </row>
    <row r="103" spans="2:28" ht="13" x14ac:dyDescent="0.3">
      <c r="B103" s="18">
        <f>B102+1</f>
        <v>59</v>
      </c>
      <c r="D103" s="1" t="s">
        <v>56</v>
      </c>
      <c r="F103" s="48">
        <f ca="1">Function!R103</f>
        <v>3002.3106592115464</v>
      </c>
      <c r="H103" s="48"/>
      <c r="K103" s="70">
        <f>_xlfn.IFNA(MATCH(J103,'Stor Factors'!$B$13:$B$244,0),0)</f>
        <v>0</v>
      </c>
      <c r="L103" s="48">
        <f t="shared" ca="1" si="30"/>
        <v>3002.3106592115464</v>
      </c>
      <c r="N103" s="18" t="s">
        <v>209</v>
      </c>
      <c r="O103" s="70">
        <f>_xlfn.IFNA(MATCH(N103,'Stor Factors'!$B$13:$B$244,0),0)</f>
        <v>45</v>
      </c>
      <c r="P103" s="20">
        <f ca="1">OFFSET('Stor Factors'!$B$13,$O103-1,P$14)*$L103+OFFSET('Stor Factors'!$B$13,$K103-1,P$14)*$H103</f>
        <v>2185.3139050330137</v>
      </c>
      <c r="R103" s="20">
        <f ca="1">OFFSET('Stor Factors'!$B$13,$O103-1,R$14)*$L103+OFFSET('Stor Factors'!$B$13,$K103-1,R$14)*$H103</f>
        <v>753.06863247862952</v>
      </c>
      <c r="S103" s="20"/>
      <c r="T103" s="20">
        <f ca="1">OFFSET('Stor Factors'!$B$13,$O103-1,T$14)*$L103+OFFSET('Stor Factors'!$B$13,$K103-1,T$14)*$H103</f>
        <v>63.928121699903116</v>
      </c>
      <c r="U103" s="20"/>
      <c r="V103" s="20">
        <f ca="1">OFFSET('Stor Factors'!$B$13,$O103-1,V$14)*$L103+OFFSET('Stor Factors'!$B$13,$K103-1,V$14)*$H103</f>
        <v>0</v>
      </c>
      <c r="X103" s="9">
        <f t="shared" ca="1" si="31"/>
        <v>3002.310659211546</v>
      </c>
      <c r="Z103" s="25" t="str">
        <f t="shared" ca="1" si="21"/>
        <v/>
      </c>
    </row>
    <row r="104" spans="2:28" ht="13" x14ac:dyDescent="0.3">
      <c r="B104" s="18">
        <f>B103+1</f>
        <v>60</v>
      </c>
      <c r="D104" s="1" t="s">
        <v>84</v>
      </c>
      <c r="F104" s="10">
        <f ca="1">F103+F102</f>
        <v>27855.65739191823</v>
      </c>
      <c r="H104" s="40"/>
      <c r="L104" s="40">
        <f t="shared" ca="1" si="30"/>
        <v>27855.65739191823</v>
      </c>
      <c r="P104" s="10">
        <f ca="1">P103+P102</f>
        <v>20729.785450206597</v>
      </c>
      <c r="R104" s="10">
        <f ca="1">R103+R102</f>
        <v>6568.2888101045746</v>
      </c>
      <c r="T104" s="10">
        <f ca="1">T103+T102</f>
        <v>557.58313160705575</v>
      </c>
      <c r="V104" s="10">
        <f ca="1">V103+V102</f>
        <v>0</v>
      </c>
      <c r="X104" s="11">
        <f ca="1">P104+R104+T104+V104</f>
        <v>27855.657391918226</v>
      </c>
      <c r="Z104" s="25" t="str">
        <f t="shared" ca="1" si="21"/>
        <v/>
      </c>
    </row>
    <row r="105" spans="2:28" ht="13" x14ac:dyDescent="0.3">
      <c r="Z105" s="25" t="str">
        <f t="shared" si="21"/>
        <v/>
      </c>
    </row>
    <row r="106" spans="2:28" ht="13" x14ac:dyDescent="0.3">
      <c r="D106" s="6" t="s">
        <v>85</v>
      </c>
      <c r="F106" s="48"/>
      <c r="H106" s="48"/>
      <c r="L106" s="48"/>
      <c r="Z106" s="25" t="str">
        <f t="shared" si="21"/>
        <v/>
      </c>
    </row>
    <row r="107" spans="2:28" ht="13" x14ac:dyDescent="0.3">
      <c r="F107" s="48"/>
      <c r="H107" s="48"/>
      <c r="L107" s="48"/>
      <c r="Z107" s="25" t="str">
        <f t="shared" si="21"/>
        <v/>
      </c>
    </row>
    <row r="108" spans="2:28" ht="13" x14ac:dyDescent="0.3">
      <c r="B108" s="18">
        <f>B104+1</f>
        <v>61</v>
      </c>
      <c r="D108" s="1" t="s">
        <v>86</v>
      </c>
      <c r="F108" s="48">
        <f ca="1">Function!R108</f>
        <v>8859.1519217401892</v>
      </c>
      <c r="H108" s="48"/>
      <c r="K108" s="70">
        <f>_xlfn.IFNA(MATCH(J108,'Stor Factors'!$B$13:$B$244,0),0)</f>
        <v>0</v>
      </c>
      <c r="L108" s="48">
        <f t="shared" ref="L108:L110" ca="1" si="32">F108-H108</f>
        <v>8859.1519217401892</v>
      </c>
      <c r="N108" s="18" t="s">
        <v>219</v>
      </c>
      <c r="O108" s="70">
        <f>_xlfn.IFNA(MATCH(N108,'Stor Factors'!$B$13:$B$244,0),0)</f>
        <v>60</v>
      </c>
      <c r="P108" s="20">
        <f ca="1">OFFSET('Stor Factors'!$B$13,$O108-1,P$14)*$L108+OFFSET('Stor Factors'!$B$13,$K108-1,P$14)*$H108</f>
        <v>3631.0036055677406</v>
      </c>
      <c r="R108" s="20">
        <f ca="1">OFFSET('Stor Factors'!$B$13,$O108-1,R$14)*$L108+OFFSET('Stor Factors'!$B$13,$K108-1,R$14)*$H108</f>
        <v>4786.6363305005189</v>
      </c>
      <c r="S108" s="20"/>
      <c r="T108" s="20">
        <f ca="1">OFFSET('Stor Factors'!$B$13,$O108-1,T$14)*$L108+OFFSET('Stor Factors'!$B$13,$K108-1,T$14)*$H108</f>
        <v>441.51198567192898</v>
      </c>
      <c r="U108" s="20"/>
      <c r="V108" s="20">
        <f ca="1">OFFSET('Stor Factors'!$B$13,$O108-1,V$14)*$L108+OFFSET('Stor Factors'!$B$13,$K108-1,V$14)*$H108</f>
        <v>0</v>
      </c>
      <c r="X108" s="9">
        <f t="shared" ref="X108:X109" ca="1" si="33">P108+R108+T108+V108</f>
        <v>8859.1519217401874</v>
      </c>
      <c r="Z108" s="25" t="str">
        <f t="shared" ca="1" si="21"/>
        <v/>
      </c>
      <c r="AB108" s="20"/>
    </row>
    <row r="109" spans="2:28" ht="13" x14ac:dyDescent="0.3">
      <c r="B109" s="18">
        <f>B108+1</f>
        <v>62</v>
      </c>
      <c r="D109" s="1" t="s">
        <v>88</v>
      </c>
      <c r="F109" s="48">
        <f ca="1">Function!R109</f>
        <v>4332.8583914291694</v>
      </c>
      <c r="H109" s="48"/>
      <c r="K109" s="70">
        <f>_xlfn.IFNA(MATCH(J109,'Stor Factors'!$B$13:$B$244,0),0)</f>
        <v>0</v>
      </c>
      <c r="L109" s="48">
        <f t="shared" ca="1" si="32"/>
        <v>4332.8583914291694</v>
      </c>
      <c r="N109" s="18" t="s">
        <v>220</v>
      </c>
      <c r="O109" s="70">
        <f>_xlfn.IFNA(MATCH(N109,'Stor Factors'!$B$13:$B$244,0),0)</f>
        <v>57</v>
      </c>
      <c r="P109" s="20">
        <f ca="1">OFFSET('Stor Factors'!$B$13,$O109-1,P$14)*$L109+OFFSET('Stor Factors'!$B$13,$K109-1,P$14)*$H109</f>
        <v>4268.143739508665</v>
      </c>
      <c r="R109" s="20">
        <f ca="1">OFFSET('Stor Factors'!$B$13,$O109-1,R$14)*$L109+OFFSET('Stor Factors'!$B$13,$K109-1,R$14)*$H109</f>
        <v>59.650878872959638</v>
      </c>
      <c r="S109" s="20"/>
      <c r="T109" s="20">
        <f ca="1">OFFSET('Stor Factors'!$B$13,$O109-1,T$14)*$L109+OFFSET('Stor Factors'!$B$13,$K109-1,T$14)*$H109</f>
        <v>5.0637730475448528</v>
      </c>
      <c r="U109" s="20"/>
      <c r="V109" s="20">
        <f ca="1">OFFSET('Stor Factors'!$B$13,$O109-1,V$14)*$L109+OFFSET('Stor Factors'!$B$13,$K109-1,V$14)*$H109</f>
        <v>0</v>
      </c>
      <c r="X109" s="9">
        <f t="shared" ca="1" si="33"/>
        <v>4332.8583914291694</v>
      </c>
      <c r="Z109" s="25" t="str">
        <f t="shared" ca="1" si="21"/>
        <v/>
      </c>
      <c r="AB109" s="20"/>
    </row>
    <row r="110" spans="2:28" ht="13" x14ac:dyDescent="0.3">
      <c r="B110" s="18">
        <f>B109+1</f>
        <v>63</v>
      </c>
      <c r="D110" s="1" t="s">
        <v>90</v>
      </c>
      <c r="F110" s="10">
        <f ca="1">F109+F108</f>
        <v>13192.010313169358</v>
      </c>
      <c r="H110" s="40"/>
      <c r="L110" s="40">
        <f t="shared" ca="1" si="32"/>
        <v>13192.010313169358</v>
      </c>
      <c r="P110" s="10">
        <f ca="1">P109+P108</f>
        <v>7899.1473450764061</v>
      </c>
      <c r="R110" s="10">
        <f ca="1">R109+R108</f>
        <v>4846.2872093734786</v>
      </c>
      <c r="T110" s="10">
        <f ca="1">T109+T108</f>
        <v>446.57575871947381</v>
      </c>
      <c r="V110" s="10">
        <f ca="1">V109+V108</f>
        <v>0</v>
      </c>
      <c r="X110" s="11">
        <f ca="1">P110+R110+T110+V110</f>
        <v>13192.010313169358</v>
      </c>
      <c r="Z110" s="25" t="str">
        <f t="shared" ca="1" si="21"/>
        <v/>
      </c>
    </row>
    <row r="111" spans="2:28" ht="13" x14ac:dyDescent="0.3">
      <c r="Z111" s="25" t="str">
        <f t="shared" si="21"/>
        <v/>
      </c>
    </row>
    <row r="112" spans="2:28" ht="13" x14ac:dyDescent="0.3">
      <c r="Z112" s="25" t="str">
        <f t="shared" si="21"/>
        <v/>
      </c>
    </row>
    <row r="113" spans="2:40" ht="13" x14ac:dyDescent="0.3">
      <c r="D113" s="6" t="s">
        <v>91</v>
      </c>
      <c r="Z113" s="25" t="str">
        <f t="shared" si="21"/>
        <v/>
      </c>
      <c r="AC113" s="2" t="s">
        <v>92</v>
      </c>
      <c r="AD113" s="2" t="s">
        <v>93</v>
      </c>
      <c r="AE113" s="2"/>
      <c r="AF113" s="2"/>
      <c r="AG113" s="2"/>
      <c r="AH113" s="2"/>
      <c r="AI113" s="2"/>
      <c r="AJ113" s="2" t="s">
        <v>200</v>
      </c>
      <c r="AK113" s="2"/>
      <c r="AL113" s="2" t="s">
        <v>18</v>
      </c>
      <c r="AM113" s="2"/>
      <c r="AN113" s="2"/>
    </row>
    <row r="114" spans="2:40" ht="13" x14ac:dyDescent="0.3">
      <c r="Z114" s="25" t="str">
        <f t="shared" si="21"/>
        <v/>
      </c>
      <c r="AC114" s="33" t="s">
        <v>94</v>
      </c>
      <c r="AD114" s="33" t="s">
        <v>95</v>
      </c>
      <c r="AE114" s="2"/>
      <c r="AF114" s="33" t="s">
        <v>196</v>
      </c>
      <c r="AG114" s="2"/>
      <c r="AH114" s="33" t="s">
        <v>197</v>
      </c>
      <c r="AI114" s="2"/>
      <c r="AJ114" s="33" t="s">
        <v>202</v>
      </c>
      <c r="AK114" s="2"/>
      <c r="AL114" s="33" t="s">
        <v>175</v>
      </c>
      <c r="AM114" s="2"/>
      <c r="AN114" s="33" t="s">
        <v>2</v>
      </c>
    </row>
    <row r="115" spans="2:40" ht="13" x14ac:dyDescent="0.3">
      <c r="D115" s="1" t="s">
        <v>17</v>
      </c>
      <c r="P115" s="20"/>
      <c r="R115" s="20"/>
      <c r="S115" s="20"/>
      <c r="T115" s="20"/>
      <c r="U115" s="20"/>
      <c r="V115" s="20"/>
      <c r="X115" s="9"/>
      <c r="Z115" s="25" t="str">
        <f t="shared" si="21"/>
        <v/>
      </c>
      <c r="AB115" s="20"/>
    </row>
    <row r="116" spans="2:40" ht="13" x14ac:dyDescent="0.3">
      <c r="B116" s="18">
        <f>B110+1</f>
        <v>64</v>
      </c>
      <c r="D116" s="35" t="s">
        <v>97</v>
      </c>
      <c r="F116" s="48">
        <f ca="1">Function!R116</f>
        <v>0</v>
      </c>
      <c r="H116" s="76"/>
      <c r="K116" s="70">
        <f>_xlfn.IFNA(MATCH(J116,'Stor Factors'!$B$13:$B$244,0),0)</f>
        <v>0</v>
      </c>
      <c r="L116" s="48">
        <f ca="1">F116-H116</f>
        <v>0</v>
      </c>
      <c r="O116" s="70">
        <f>_xlfn.IFNA(MATCH(N116,'Stor Factors'!$B$13:$B$244,0),0)</f>
        <v>0</v>
      </c>
      <c r="P116" s="20">
        <f ca="1">OFFSET('Stor Factors'!$B$13,$O116-1,P$14)*$L116+OFFSET('Stor Factors'!$B$13,$K116-1,P$14)*$H116</f>
        <v>0</v>
      </c>
      <c r="R116" s="20">
        <f ca="1">OFFSET('Stor Factors'!$B$13,$O116-1,R$14)*$L116+OFFSET('Stor Factors'!$B$13,$K116-1,R$14)*$H116</f>
        <v>0</v>
      </c>
      <c r="S116" s="20"/>
      <c r="T116" s="20">
        <f ca="1">OFFSET('Stor Factors'!$B$13,$O116-1,T$14)*$L116+OFFSET('Stor Factors'!$B$13,$K116-1,T$14)*$H116</f>
        <v>0</v>
      </c>
      <c r="U116" s="20"/>
      <c r="V116" s="20">
        <f ca="1">OFFSET('Stor Factors'!$B$13,$O116-1,V$14)*$L116+OFFSET('Stor Factors'!$B$13,$K116-1,V$14)*$H116</f>
        <v>0</v>
      </c>
      <c r="X116" s="9">
        <f t="shared" ref="X116:X131" ca="1" si="34">P116+R116+T116+V116</f>
        <v>0</v>
      </c>
      <c r="Z116" s="25" t="str">
        <f t="shared" ca="1" si="21"/>
        <v/>
      </c>
      <c r="AB116" s="20"/>
      <c r="AC116" s="89">
        <f ca="1">Function!AH116</f>
        <v>0</v>
      </c>
      <c r="AD116" s="96">
        <f ca="1">IFERROR(AC116/F116,0)</f>
        <v>0</v>
      </c>
      <c r="AF116" s="48"/>
      <c r="AH116" s="48"/>
      <c r="AJ116" s="48"/>
      <c r="AL116" s="48"/>
      <c r="AN116" s="48"/>
    </row>
    <row r="117" spans="2:40" ht="13" x14ac:dyDescent="0.3">
      <c r="B117" s="18">
        <f t="shared" ref="B117:B122" si="35">B116+1</f>
        <v>65</v>
      </c>
      <c r="D117" s="35" t="s">
        <v>99</v>
      </c>
      <c r="F117" s="48">
        <f ca="1">Function!R117</f>
        <v>5732.3451488280325</v>
      </c>
      <c r="H117" s="76"/>
      <c r="K117" s="70">
        <f>_xlfn.IFNA(MATCH(J117,'Stor Factors'!$B$13:$B$244,0),0)</f>
        <v>0</v>
      </c>
      <c r="L117" s="48">
        <f t="shared" ref="L117:L122" ca="1" si="36">F117-H117</f>
        <v>5732.3451488280325</v>
      </c>
      <c r="N117" s="18" t="s">
        <v>221</v>
      </c>
      <c r="O117" s="70">
        <f>_xlfn.IFNA(MATCH(N117,'Stor Factors'!$B$13:$B$244,0),0)</f>
        <v>39</v>
      </c>
      <c r="P117" s="20">
        <f ca="1">OFFSET('Stor Factors'!$B$13,$O117-1,P$14)*$L117+OFFSET('Stor Factors'!$B$13,$K117-1,P$14)*$H117</f>
        <v>0</v>
      </c>
      <c r="R117" s="20">
        <f ca="1">OFFSET('Stor Factors'!$B$13,$O117-1,R$14)*$L117+OFFSET('Stor Factors'!$B$13,$K117-1,R$14)*$H117</f>
        <v>0</v>
      </c>
      <c r="S117" s="20"/>
      <c r="T117" s="20">
        <f ca="1">OFFSET('Stor Factors'!$B$13,$O117-1,T$14)*$L117+OFFSET('Stor Factors'!$B$13,$K117-1,T$14)*$H117</f>
        <v>0</v>
      </c>
      <c r="U117" s="20"/>
      <c r="V117" s="20">
        <f ca="1">OFFSET('Stor Factors'!$B$13,$O117-1,V$14)*$L117+OFFSET('Stor Factors'!$B$13,$K117-1,V$14)*$H117</f>
        <v>5732.3451488280325</v>
      </c>
      <c r="X117" s="9">
        <f t="shared" ca="1" si="34"/>
        <v>5732.3451488280325</v>
      </c>
      <c r="Z117" s="25" t="str">
        <f t="shared" ca="1" si="21"/>
        <v/>
      </c>
      <c r="AB117" s="20"/>
      <c r="AC117" s="89">
        <f ca="1">Function!AH117</f>
        <v>0</v>
      </c>
      <c r="AD117" s="96">
        <f t="shared" ref="AD117:AD122" ca="1" si="37">IFERROR(AC117/F117,0)</f>
        <v>0</v>
      </c>
      <c r="AF117" s="48"/>
      <c r="AH117" s="48"/>
      <c r="AJ117" s="48"/>
      <c r="AL117" s="48"/>
      <c r="AN117" s="48"/>
    </row>
    <row r="118" spans="2:40" ht="13" x14ac:dyDescent="0.3">
      <c r="B118" s="18">
        <f t="shared" si="35"/>
        <v>66</v>
      </c>
      <c r="D118" s="35" t="s">
        <v>101</v>
      </c>
      <c r="F118" s="48">
        <f ca="1">Function!R118</f>
        <v>7509.5133219631934</v>
      </c>
      <c r="H118" s="76"/>
      <c r="K118" s="70">
        <f>_xlfn.IFNA(MATCH(J118,'Stor Factors'!$B$13:$B$244,0),0)</f>
        <v>0</v>
      </c>
      <c r="L118" s="48">
        <f t="shared" ca="1" si="36"/>
        <v>7509.5133219631934</v>
      </c>
      <c r="N118" s="18" t="s">
        <v>221</v>
      </c>
      <c r="O118" s="70">
        <f>_xlfn.IFNA(MATCH(N118,'Stor Factors'!$B$13:$B$244,0),0)</f>
        <v>39</v>
      </c>
      <c r="P118" s="20">
        <f ca="1">OFFSET('Stor Factors'!$B$13,$O118-1,P$14)*$L118+OFFSET('Stor Factors'!$B$13,$K118-1,P$14)*$H118</f>
        <v>0</v>
      </c>
      <c r="R118" s="20">
        <f ca="1">OFFSET('Stor Factors'!$B$13,$O118-1,R$14)*$L118+OFFSET('Stor Factors'!$B$13,$K118-1,R$14)*$H118</f>
        <v>0</v>
      </c>
      <c r="S118" s="20"/>
      <c r="T118" s="20">
        <f ca="1">OFFSET('Stor Factors'!$B$13,$O118-1,T$14)*$L118+OFFSET('Stor Factors'!$B$13,$K118-1,T$14)*$H118</f>
        <v>0</v>
      </c>
      <c r="U118" s="20"/>
      <c r="V118" s="20">
        <f ca="1">OFFSET('Stor Factors'!$B$13,$O118-1,V$14)*$L118+OFFSET('Stor Factors'!$B$13,$K118-1,V$14)*$H118</f>
        <v>7509.5133219631934</v>
      </c>
      <c r="X118" s="9">
        <f t="shared" ca="1" si="34"/>
        <v>7509.5133219631934</v>
      </c>
      <c r="Z118" s="25" t="str">
        <f t="shared" ca="1" si="21"/>
        <v/>
      </c>
      <c r="AB118" s="20"/>
      <c r="AC118" s="89">
        <f ca="1">Function!AH118</f>
        <v>0</v>
      </c>
      <c r="AD118" s="96">
        <f t="shared" ca="1" si="37"/>
        <v>0</v>
      </c>
      <c r="AF118" s="48"/>
      <c r="AH118" s="48"/>
      <c r="AJ118" s="48"/>
      <c r="AL118" s="48"/>
      <c r="AN118" s="48"/>
    </row>
    <row r="119" spans="2:40" ht="13" x14ac:dyDescent="0.3">
      <c r="B119" s="18">
        <f t="shared" si="35"/>
        <v>67</v>
      </c>
      <c r="D119" s="35" t="s">
        <v>103</v>
      </c>
      <c r="F119" s="48">
        <f ca="1">Function!R119</f>
        <v>192.8819400195122</v>
      </c>
      <c r="H119" s="76"/>
      <c r="K119" s="70">
        <f>_xlfn.IFNA(MATCH(J119,'Stor Factors'!$B$13:$B$244,0),0)</f>
        <v>0</v>
      </c>
      <c r="L119" s="48">
        <f t="shared" ca="1" si="36"/>
        <v>192.8819400195122</v>
      </c>
      <c r="N119" s="18" t="s">
        <v>221</v>
      </c>
      <c r="O119" s="70">
        <f>_xlfn.IFNA(MATCH(N119,'Stor Factors'!$B$13:$B$244,0),0)</f>
        <v>39</v>
      </c>
      <c r="P119" s="20">
        <f ca="1">OFFSET('Stor Factors'!$B$13,$O119-1,P$14)*$L119+OFFSET('Stor Factors'!$B$13,$K119-1,P$14)*$H119</f>
        <v>0</v>
      </c>
      <c r="R119" s="20">
        <f ca="1">OFFSET('Stor Factors'!$B$13,$O119-1,R$14)*$L119+OFFSET('Stor Factors'!$B$13,$K119-1,R$14)*$H119</f>
        <v>0</v>
      </c>
      <c r="S119" s="20"/>
      <c r="T119" s="20">
        <f ca="1">OFFSET('Stor Factors'!$B$13,$O119-1,T$14)*$L119+OFFSET('Stor Factors'!$B$13,$K119-1,T$14)*$H119</f>
        <v>0</v>
      </c>
      <c r="U119" s="20"/>
      <c r="V119" s="20">
        <f ca="1">OFFSET('Stor Factors'!$B$13,$O119-1,V$14)*$L119+OFFSET('Stor Factors'!$B$13,$K119-1,V$14)*$H119</f>
        <v>192.8819400195122</v>
      </c>
      <c r="X119" s="9">
        <f t="shared" ca="1" si="34"/>
        <v>192.8819400195122</v>
      </c>
      <c r="Z119" s="25"/>
      <c r="AB119" s="20"/>
      <c r="AC119" s="89">
        <f ca="1">Function!AH119</f>
        <v>0</v>
      </c>
      <c r="AD119" s="96">
        <f t="shared" ca="1" si="37"/>
        <v>0</v>
      </c>
      <c r="AF119" s="48"/>
      <c r="AH119" s="48"/>
      <c r="AJ119" s="48"/>
      <c r="AL119" s="48"/>
      <c r="AN119" s="48"/>
    </row>
    <row r="120" spans="2:40" ht="13" x14ac:dyDescent="0.3">
      <c r="B120" s="18">
        <f t="shared" si="35"/>
        <v>68</v>
      </c>
      <c r="D120" s="35" t="s">
        <v>105</v>
      </c>
      <c r="F120" s="48">
        <f ca="1">Function!R120</f>
        <v>13946.739835347375</v>
      </c>
      <c r="H120" s="48">
        <f ca="1">IF(K120&lt;&gt;0,OFFSET('Stor Factors'!$B$12,'Storage Class'!$K120-1,2),0)</f>
        <v>700.84706149023225</v>
      </c>
      <c r="J120" s="2" t="s">
        <v>222</v>
      </c>
      <c r="K120" s="70">
        <f>_xlfn.IFNA(MATCH(J120,'Stor Factors'!$B$13:$B$244,0),0)</f>
        <v>21</v>
      </c>
      <c r="L120" s="48">
        <f t="shared" ca="1" si="36"/>
        <v>13245.892773857142</v>
      </c>
      <c r="N120" s="18" t="s">
        <v>223</v>
      </c>
      <c r="O120" s="70">
        <f>_xlfn.IFNA(MATCH(N120,'Stor Factors'!$B$13:$B$244,0),0)</f>
        <v>33</v>
      </c>
      <c r="P120" s="20">
        <f ca="1">OFFSET('Stor Factors'!$B$13,$O120-1,P$14)*$L120+OFFSET('Stor Factors'!$B$13,$K120-1,P$14)*$H120</f>
        <v>10261.28838620118</v>
      </c>
      <c r="R120" s="20">
        <f ca="1">OFFSET('Stor Factors'!$B$13,$O120-1,R$14)*$L120+OFFSET('Stor Factors'!$B$13,$K120-1,R$14)*$H120</f>
        <v>2984.6043876559602</v>
      </c>
      <c r="S120" s="20"/>
      <c r="T120" s="20">
        <f ca="1">OFFSET('Stor Factors'!$B$13,$O120-1,T$14)*$L120+OFFSET('Stor Factors'!$B$13,$K120-1,T$14)*$H120</f>
        <v>0</v>
      </c>
      <c r="U120" s="20"/>
      <c r="V120" s="20">
        <f ca="1">OFFSET('Stor Factors'!$B$13,$O120-1,V$14)*$L120+OFFSET('Stor Factors'!$B$13,$K120-1,V$14)*$H120</f>
        <v>700.84706149023225</v>
      </c>
      <c r="X120" s="9">
        <f t="shared" ca="1" si="34"/>
        <v>13946.739835347373</v>
      </c>
      <c r="Z120" s="25" t="str">
        <f t="shared" ca="1" si="21"/>
        <v/>
      </c>
      <c r="AB120" s="20"/>
      <c r="AC120" s="89">
        <f ca="1">Function!AH120</f>
        <v>0</v>
      </c>
      <c r="AD120" s="96">
        <f t="shared" ca="1" si="37"/>
        <v>0</v>
      </c>
      <c r="AF120" s="48"/>
      <c r="AH120" s="48"/>
      <c r="AJ120" s="48"/>
      <c r="AL120" s="48"/>
      <c r="AN120" s="48"/>
    </row>
    <row r="121" spans="2:40" ht="13" x14ac:dyDescent="0.3">
      <c r="B121" s="18">
        <f t="shared" si="35"/>
        <v>69</v>
      </c>
      <c r="D121" s="35" t="s">
        <v>106</v>
      </c>
      <c r="F121" s="48">
        <f ca="1">Function!R121</f>
        <v>0</v>
      </c>
      <c r="H121" s="76"/>
      <c r="J121" s="2"/>
      <c r="K121" s="70">
        <f>_xlfn.IFNA(MATCH(J121,'Stor Factors'!$B$13:$B$244,0),0)</f>
        <v>0</v>
      </c>
      <c r="L121" s="48"/>
      <c r="N121" s="18"/>
      <c r="O121" s="70">
        <f>_xlfn.IFNA(MATCH(N121,'Stor Factors'!$B$13:$B$244,0),0)</f>
        <v>0</v>
      </c>
      <c r="P121" s="20">
        <f ca="1">OFFSET('Stor Factors'!$B$13,$O121-1,P$14)*$L121+OFFSET('Stor Factors'!$B$13,$K121-1,P$14)*$H121</f>
        <v>0</v>
      </c>
      <c r="R121" s="20">
        <f ca="1">OFFSET('Stor Factors'!$B$13,$O121-1,R$14)*$L121+OFFSET('Stor Factors'!$B$13,$K121-1,R$14)*$H121</f>
        <v>0</v>
      </c>
      <c r="S121" s="20"/>
      <c r="T121" s="20">
        <f ca="1">OFFSET('Stor Factors'!$B$13,$O121-1,T$14)*$L121+OFFSET('Stor Factors'!$B$13,$K121-1,T$14)*$H121</f>
        <v>0</v>
      </c>
      <c r="U121" s="20"/>
      <c r="V121" s="20">
        <f ca="1">OFFSET('Stor Factors'!$B$13,$O121-1,V$14)*$L121+OFFSET('Stor Factors'!$B$13,$K121-1,V$14)*$H121</f>
        <v>0</v>
      </c>
      <c r="X121" s="9"/>
      <c r="Z121" s="25"/>
      <c r="AB121" s="20"/>
      <c r="AC121" s="89">
        <f ca="1">Function!AH121</f>
        <v>0</v>
      </c>
      <c r="AD121" s="96">
        <f t="shared" ca="1" si="37"/>
        <v>0</v>
      </c>
      <c r="AF121" s="48"/>
      <c r="AH121" s="48"/>
      <c r="AJ121" s="48"/>
      <c r="AL121" s="48"/>
      <c r="AN121" s="48"/>
    </row>
    <row r="122" spans="2:40" ht="13" x14ac:dyDescent="0.3">
      <c r="B122" s="18">
        <f t="shared" si="35"/>
        <v>70</v>
      </c>
      <c r="D122" s="35" t="s">
        <v>108</v>
      </c>
      <c r="F122" s="48">
        <f ca="1">Function!R122</f>
        <v>0</v>
      </c>
      <c r="H122" s="76"/>
      <c r="J122" s="2"/>
      <c r="K122" s="70">
        <f>_xlfn.IFNA(MATCH(J122,'Stor Factors'!$B$13:$B$244,0),0)</f>
        <v>0</v>
      </c>
      <c r="L122" s="48">
        <f t="shared" ca="1" si="36"/>
        <v>0</v>
      </c>
      <c r="N122" s="18"/>
      <c r="O122" s="70">
        <f>_xlfn.IFNA(MATCH(N122,'Stor Factors'!$B$13:$B$244,0),0)</f>
        <v>0</v>
      </c>
      <c r="P122" s="20">
        <f ca="1">OFFSET('Stor Factors'!$B$13,$O122-1,P$14)*$L122+OFFSET('Stor Factors'!$B$13,$K122-1,P$14)*$H122</f>
        <v>0</v>
      </c>
      <c r="R122" s="20">
        <f ca="1">OFFSET('Stor Factors'!$B$13,$O122-1,R$14)*$L122+OFFSET('Stor Factors'!$B$13,$K122-1,R$14)*$H122</f>
        <v>0</v>
      </c>
      <c r="S122" s="20"/>
      <c r="T122" s="20">
        <f ca="1">OFFSET('Stor Factors'!$B$13,$O122-1,T$14)*$L122+OFFSET('Stor Factors'!$B$13,$K122-1,T$14)*$H122</f>
        <v>0</v>
      </c>
      <c r="U122" s="20"/>
      <c r="V122" s="20">
        <f ca="1">OFFSET('Stor Factors'!$B$13,$O122-1,V$14)*$L122+OFFSET('Stor Factors'!$B$13,$K122-1,V$14)*$H122</f>
        <v>0</v>
      </c>
      <c r="X122" s="9">
        <f t="shared" ca="1" si="34"/>
        <v>0</v>
      </c>
      <c r="Z122" s="25" t="str">
        <f t="shared" ca="1" si="21"/>
        <v/>
      </c>
      <c r="AB122" s="20"/>
      <c r="AC122" s="89">
        <f ca="1">Function!AH122</f>
        <v>0</v>
      </c>
      <c r="AD122" s="96">
        <f t="shared" ca="1" si="37"/>
        <v>0</v>
      </c>
      <c r="AF122" s="48"/>
      <c r="AH122" s="48"/>
      <c r="AJ122" s="48"/>
      <c r="AL122" s="48"/>
      <c r="AN122" s="48"/>
    </row>
    <row r="123" spans="2:40" ht="13" x14ac:dyDescent="0.3">
      <c r="D123" s="1" t="s">
        <v>18</v>
      </c>
      <c r="N123" s="18"/>
      <c r="Z123" s="25" t="str">
        <f t="shared" si="21"/>
        <v/>
      </c>
      <c r="AB123" s="20"/>
      <c r="AF123" s="48"/>
      <c r="AH123" s="48"/>
      <c r="AJ123" s="48"/>
      <c r="AL123" s="48"/>
      <c r="AN123" s="48"/>
    </row>
    <row r="124" spans="2:40" ht="13" x14ac:dyDescent="0.3">
      <c r="B124" s="18">
        <f>B122+1</f>
        <v>71</v>
      </c>
      <c r="D124" s="35" t="s">
        <v>110</v>
      </c>
      <c r="F124" s="48">
        <f ca="1">Function!R124</f>
        <v>1640.1810497976596</v>
      </c>
      <c r="H124" s="48">
        <f ca="1">IF(K124&lt;&gt;0,OFFSET('Stor Factors'!$B$12,'Storage Class'!$K124-1,2),0)</f>
        <v>1640.1810497976596</v>
      </c>
      <c r="J124" s="2" t="s">
        <v>224</v>
      </c>
      <c r="K124" s="70">
        <f>_xlfn.IFNA(MATCH(J124,'Stor Factors'!$B$13:$B$244,0),0)</f>
        <v>12</v>
      </c>
      <c r="L124" s="48">
        <f t="shared" ref="L124:L131" ca="1" si="38">F124-H124</f>
        <v>0</v>
      </c>
      <c r="N124" s="18"/>
      <c r="O124" s="70">
        <f>_xlfn.IFNA(MATCH(N124,'Stor Factors'!$B$13:$B$244,0),0)</f>
        <v>0</v>
      </c>
      <c r="P124" s="20">
        <f ca="1">OFFSET('Stor Factors'!$B$13,$O124-1,P$14)*$L124+OFFSET('Stor Factors'!$B$13,$K124-1,P$14)*$H124</f>
        <v>1640.1810497976596</v>
      </c>
      <c r="R124" s="20">
        <f ca="1">OFFSET('Stor Factors'!$B$13,$O124-1,R$14)*$L124+OFFSET('Stor Factors'!$B$13,$K124-1,R$14)*$H124</f>
        <v>0</v>
      </c>
      <c r="S124" s="20"/>
      <c r="T124" s="20">
        <f ca="1">OFFSET('Stor Factors'!$B$13,$O124-1,T$14)*$L124+OFFSET('Stor Factors'!$B$13,$K124-1,T$14)*$H124</f>
        <v>0</v>
      </c>
      <c r="U124" s="20"/>
      <c r="V124" s="20">
        <f ca="1">OFFSET('Stor Factors'!$B$13,$O124-1,V$14)*$L124+OFFSET('Stor Factors'!$B$13,$K124-1,V$14)*$H124</f>
        <v>0</v>
      </c>
      <c r="X124" s="9">
        <f t="shared" ca="1" si="34"/>
        <v>1640.1810497976596</v>
      </c>
      <c r="Z124" s="25" t="str">
        <f t="shared" ca="1" si="21"/>
        <v/>
      </c>
      <c r="AB124" s="20"/>
      <c r="AC124" s="89">
        <f ca="1">Function!AH124</f>
        <v>579.59980981929994</v>
      </c>
      <c r="AD124" s="96">
        <f t="shared" ref="AD124:AD131" ca="1" si="39">IFERROR(AC124/F124,0)</f>
        <v>0.35337550686297836</v>
      </c>
      <c r="AF124" s="48">
        <f ca="1">$AD124*P124</f>
        <v>579.59980981929994</v>
      </c>
      <c r="AH124" s="48">
        <f t="shared" ref="AH124:AL139" ca="1" si="40">$AD124*R124</f>
        <v>0</v>
      </c>
      <c r="AJ124" s="48">
        <f t="shared" ca="1" si="40"/>
        <v>0</v>
      </c>
      <c r="AK124" s="31">
        <f t="shared" ca="1" si="40"/>
        <v>0</v>
      </c>
      <c r="AL124" s="48">
        <f t="shared" ca="1" si="40"/>
        <v>0</v>
      </c>
      <c r="AN124" s="48">
        <f ca="1">SUM(AF124:AL124)</f>
        <v>579.59980981929994</v>
      </c>
    </row>
    <row r="125" spans="2:40" ht="13" x14ac:dyDescent="0.3">
      <c r="B125" s="18">
        <f t="shared" ref="B125:B131" si="41">B124+1</f>
        <v>72</v>
      </c>
      <c r="D125" s="35" t="s">
        <v>111</v>
      </c>
      <c r="F125" s="48">
        <f ca="1">Function!R125</f>
        <v>14117.785878445757</v>
      </c>
      <c r="H125" s="76"/>
      <c r="K125" s="70">
        <f>_xlfn.IFNA(MATCH(J125,'Stor Factors'!$B$13:$B$244,0),0)</f>
        <v>0</v>
      </c>
      <c r="L125" s="48">
        <f t="shared" ca="1" si="38"/>
        <v>14117.785878445757</v>
      </c>
      <c r="N125" s="18" t="s">
        <v>225</v>
      </c>
      <c r="O125" s="70">
        <f>_xlfn.IFNA(MATCH(N125,'Stor Factors'!$B$13:$B$244,0),0)</f>
        <v>63</v>
      </c>
      <c r="P125" s="20">
        <f ca="1">OFFSET('Stor Factors'!$B$13,$O125-1,P$14)*$L125+OFFSET('Stor Factors'!$B$13,$K125-1,P$14)*$H125</f>
        <v>9482.7879254386644</v>
      </c>
      <c r="R125" s="20">
        <f ca="1">OFFSET('Stor Factors'!$B$13,$O125-1,R$14)*$L125+OFFSET('Stor Factors'!$B$13,$K125-1,R$14)*$H125</f>
        <v>4272.3199965731428</v>
      </c>
      <c r="S125" s="20"/>
      <c r="T125" s="20">
        <f ca="1">OFFSET('Stor Factors'!$B$13,$O125-1,T$14)*$L125+OFFSET('Stor Factors'!$B$13,$K125-1,T$14)*$H125</f>
        <v>362.67795643394857</v>
      </c>
      <c r="U125" s="20"/>
      <c r="V125" s="20">
        <f ca="1">OFFSET('Stor Factors'!$B$13,$O125-1,V$14)*$L125+OFFSET('Stor Factors'!$B$13,$K125-1,V$14)*$H125</f>
        <v>0</v>
      </c>
      <c r="X125" s="9">
        <f t="shared" ca="1" si="34"/>
        <v>14117.785878445757</v>
      </c>
      <c r="Z125" s="25" t="str">
        <f t="shared" ca="1" si="21"/>
        <v/>
      </c>
      <c r="AB125" s="20"/>
      <c r="AC125" s="89">
        <f ca="1">Function!AH125</f>
        <v>6028.7944072011724</v>
      </c>
      <c r="AD125" s="96">
        <f ca="1">IFERROR(AC125/F125,0)</f>
        <v>0.42703540478012186</v>
      </c>
      <c r="AF125" s="48">
        <f ca="1">$AD125*P125</f>
        <v>4049.4861801837519</v>
      </c>
      <c r="AH125" s="48">
        <f t="shared" ca="1" si="40"/>
        <v>1824.431899086821</v>
      </c>
      <c r="AJ125" s="48">
        <f t="shared" ca="1" si="40"/>
        <v>154.87632793059862</v>
      </c>
      <c r="AK125" s="31">
        <f t="shared" ca="1" si="40"/>
        <v>0</v>
      </c>
      <c r="AL125" s="48">
        <f t="shared" ca="1" si="40"/>
        <v>0</v>
      </c>
      <c r="AN125" s="48">
        <f t="shared" ref="AN125:AN160" ca="1" si="42">SUM(AF125:AL125)</f>
        <v>6028.7944072011715</v>
      </c>
    </row>
    <row r="126" spans="2:40" ht="13" x14ac:dyDescent="0.3">
      <c r="B126" s="18">
        <f t="shared" si="41"/>
        <v>73</v>
      </c>
      <c r="D126" s="35" t="s">
        <v>113</v>
      </c>
      <c r="F126" s="48">
        <f ca="1">Function!R126</f>
        <v>1307.4095306239601</v>
      </c>
      <c r="H126" s="76"/>
      <c r="K126" s="70">
        <f>_xlfn.IFNA(MATCH(J126,'Stor Factors'!$B$13:$B$244,0),0)</f>
        <v>0</v>
      </c>
      <c r="L126" s="48">
        <f t="shared" ca="1" si="38"/>
        <v>1307.4095306239601</v>
      </c>
      <c r="N126" s="18" t="s">
        <v>205</v>
      </c>
      <c r="O126" s="70">
        <f>_xlfn.IFNA(MATCH(N126,'Stor Factors'!$B$13:$B$244,0),0)</f>
        <v>24</v>
      </c>
      <c r="P126" s="20">
        <f ca="1">OFFSET('Stor Factors'!$B$13,$O126-1,P$14)*$L126+OFFSET('Stor Factors'!$B$13,$K126-1,P$14)*$H126</f>
        <v>653.70476531198005</v>
      </c>
      <c r="R126" s="20">
        <f ca="1">OFFSET('Stor Factors'!$B$13,$O126-1,R$14)*$L126+OFFSET('Stor Factors'!$B$13,$K126-1,R$14)*$H126</f>
        <v>602.55386712427594</v>
      </c>
      <c r="S126" s="20"/>
      <c r="T126" s="20">
        <f ca="1">OFFSET('Stor Factors'!$B$13,$O126-1,T$14)*$L126+OFFSET('Stor Factors'!$B$13,$K126-1,T$14)*$H126</f>
        <v>51.150898187704144</v>
      </c>
      <c r="U126" s="20"/>
      <c r="V126" s="20">
        <f ca="1">OFFSET('Stor Factors'!$B$13,$O126-1,V$14)*$L126+OFFSET('Stor Factors'!$B$13,$K126-1,V$14)*$H126</f>
        <v>0</v>
      </c>
      <c r="X126" s="9">
        <f t="shared" ca="1" si="34"/>
        <v>1307.4095306239601</v>
      </c>
      <c r="Z126" s="25" t="str">
        <f t="shared" ca="1" si="21"/>
        <v/>
      </c>
      <c r="AB126" s="20"/>
      <c r="AC126" s="89">
        <f ca="1">Function!AH126</f>
        <v>0</v>
      </c>
      <c r="AD126" s="96">
        <f t="shared" ca="1" si="39"/>
        <v>0</v>
      </c>
      <c r="AF126" s="48">
        <f t="shared" ref="AF126:AF145" ca="1" si="43">$AD126*P126</f>
        <v>0</v>
      </c>
      <c r="AH126" s="48">
        <f t="shared" ca="1" si="40"/>
        <v>0</v>
      </c>
      <c r="AJ126" s="48">
        <f t="shared" ca="1" si="40"/>
        <v>0</v>
      </c>
      <c r="AK126" s="31">
        <f t="shared" ca="1" si="40"/>
        <v>0</v>
      </c>
      <c r="AL126" s="48">
        <f t="shared" ca="1" si="40"/>
        <v>0</v>
      </c>
      <c r="AN126" s="48">
        <f t="shared" ca="1" si="42"/>
        <v>0</v>
      </c>
    </row>
    <row r="127" spans="2:40" ht="13" x14ac:dyDescent="0.3">
      <c r="B127" s="18">
        <f t="shared" si="41"/>
        <v>74</v>
      </c>
      <c r="D127" s="35" t="s">
        <v>114</v>
      </c>
      <c r="F127" s="48">
        <f ca="1">Function!R127</f>
        <v>1489.5035949216872</v>
      </c>
      <c r="H127" s="76"/>
      <c r="K127" s="70">
        <f>_xlfn.IFNA(MATCH(J127,'Stor Factors'!$B$13:$B$244,0),0)</f>
        <v>0</v>
      </c>
      <c r="L127" s="48">
        <f t="shared" ca="1" si="38"/>
        <v>1489.5035949216872</v>
      </c>
      <c r="N127" s="18" t="s">
        <v>204</v>
      </c>
      <c r="O127" s="70">
        <f>_xlfn.IFNA(MATCH(N127,'Stor Factors'!$B$13:$B$244,0),0)</f>
        <v>27</v>
      </c>
      <c r="P127" s="20">
        <f ca="1">OFFSET('Stor Factors'!$B$13,$O127-1,P$14)*$L127+OFFSET('Stor Factors'!$B$13,$K127-1,P$14)*$H127</f>
        <v>1489.5035949216872</v>
      </c>
      <c r="R127" s="20">
        <f ca="1">OFFSET('Stor Factors'!$B$13,$O127-1,R$14)*$L127+OFFSET('Stor Factors'!$B$13,$K127-1,R$14)*$H127</f>
        <v>0</v>
      </c>
      <c r="S127" s="20"/>
      <c r="T127" s="20">
        <f ca="1">OFFSET('Stor Factors'!$B$13,$O127-1,T$14)*$L127+OFFSET('Stor Factors'!$B$13,$K127-1,T$14)*$H127</f>
        <v>0</v>
      </c>
      <c r="U127" s="20"/>
      <c r="V127" s="20">
        <f ca="1">OFFSET('Stor Factors'!$B$13,$O127-1,V$14)*$L127+OFFSET('Stor Factors'!$B$13,$K127-1,V$14)*$H127</f>
        <v>0</v>
      </c>
      <c r="X127" s="9">
        <f t="shared" ca="1" si="34"/>
        <v>1489.5035949216872</v>
      </c>
      <c r="Z127" s="25" t="str">
        <f t="shared" ref="Z127:Z180" ca="1" si="44">IF(ROUND(F127,4)=ROUND(X127,4), "", "check")</f>
        <v/>
      </c>
      <c r="AB127" s="20"/>
      <c r="AC127" s="89">
        <f ca="1">Function!AH127</f>
        <v>221.52729747511745</v>
      </c>
      <c r="AD127" s="96">
        <f t="shared" ca="1" si="39"/>
        <v>0.14872558765913188</v>
      </c>
      <c r="AF127" s="48">
        <f t="shared" ca="1" si="43"/>
        <v>221.52729747511745</v>
      </c>
      <c r="AH127" s="48">
        <f t="shared" ca="1" si="40"/>
        <v>0</v>
      </c>
      <c r="AJ127" s="48">
        <f t="shared" ca="1" si="40"/>
        <v>0</v>
      </c>
      <c r="AK127" s="31">
        <f t="shared" ca="1" si="40"/>
        <v>0</v>
      </c>
      <c r="AL127" s="48">
        <f t="shared" ca="1" si="40"/>
        <v>0</v>
      </c>
      <c r="AN127" s="48">
        <f t="shared" ca="1" si="42"/>
        <v>221.52729747511745</v>
      </c>
    </row>
    <row r="128" spans="2:40" ht="13" x14ac:dyDescent="0.3">
      <c r="B128" s="18">
        <f t="shared" si="41"/>
        <v>75</v>
      </c>
      <c r="D128" s="35" t="s">
        <v>39</v>
      </c>
      <c r="F128" s="48">
        <f ca="1">Function!R128</f>
        <v>417.64292401249998</v>
      </c>
      <c r="H128" s="76"/>
      <c r="K128" s="70">
        <f>_xlfn.IFNA(MATCH(J128,'Stor Factors'!$B$13:$B$244,0),0)</f>
        <v>0</v>
      </c>
      <c r="L128" s="48">
        <f t="shared" ca="1" si="38"/>
        <v>417.64292401249998</v>
      </c>
      <c r="N128" s="18" t="s">
        <v>204</v>
      </c>
      <c r="O128" s="70">
        <f>_xlfn.IFNA(MATCH(N128,'Stor Factors'!$B$13:$B$244,0),0)</f>
        <v>27</v>
      </c>
      <c r="P128" s="20">
        <f ca="1">OFFSET('Stor Factors'!$B$13,$O128-1,P$14)*$L128+OFFSET('Stor Factors'!$B$13,$K128-1,P$14)*$H128</f>
        <v>417.64292401249998</v>
      </c>
      <c r="R128" s="20">
        <f ca="1">OFFSET('Stor Factors'!$B$13,$O128-1,R$14)*$L128+OFFSET('Stor Factors'!$B$13,$K128-1,R$14)*$H128</f>
        <v>0</v>
      </c>
      <c r="S128" s="20"/>
      <c r="T128" s="20">
        <f ca="1">OFFSET('Stor Factors'!$B$13,$O128-1,T$14)*$L128+OFFSET('Stor Factors'!$B$13,$K128-1,T$14)*$H128</f>
        <v>0</v>
      </c>
      <c r="U128" s="20"/>
      <c r="V128" s="20">
        <f ca="1">OFFSET('Stor Factors'!$B$13,$O128-1,V$14)*$L128+OFFSET('Stor Factors'!$B$13,$K128-1,V$14)*$H128</f>
        <v>0</v>
      </c>
      <c r="X128" s="9">
        <f t="shared" ca="1" si="34"/>
        <v>417.64292401249998</v>
      </c>
      <c r="Z128" s="25" t="str">
        <f t="shared" ca="1" si="44"/>
        <v/>
      </c>
      <c r="AB128" s="20"/>
      <c r="AC128" s="89">
        <f ca="1">Function!AH128</f>
        <v>0</v>
      </c>
      <c r="AD128" s="96">
        <f t="shared" ca="1" si="39"/>
        <v>0</v>
      </c>
      <c r="AF128" s="48">
        <f t="shared" ca="1" si="43"/>
        <v>0</v>
      </c>
      <c r="AH128" s="48">
        <f t="shared" ca="1" si="40"/>
        <v>0</v>
      </c>
      <c r="AJ128" s="48">
        <f t="shared" ca="1" si="40"/>
        <v>0</v>
      </c>
      <c r="AK128" s="31">
        <f t="shared" ca="1" si="40"/>
        <v>0</v>
      </c>
      <c r="AL128" s="48">
        <f t="shared" ca="1" si="40"/>
        <v>0</v>
      </c>
      <c r="AN128" s="48">
        <f t="shared" ca="1" si="42"/>
        <v>0</v>
      </c>
    </row>
    <row r="129" spans="2:40" ht="13" x14ac:dyDescent="0.3">
      <c r="B129" s="18">
        <f t="shared" si="41"/>
        <v>76</v>
      </c>
      <c r="D129" s="35" t="s">
        <v>116</v>
      </c>
      <c r="F129" s="48">
        <f ca="1">Function!R129</f>
        <v>191.86462860127</v>
      </c>
      <c r="H129" s="76"/>
      <c r="K129" s="70">
        <f>_xlfn.IFNA(MATCH(J129,'Stor Factors'!$B$13:$B$244,0),0)</f>
        <v>0</v>
      </c>
      <c r="L129" s="48">
        <f t="shared" ca="1" si="38"/>
        <v>191.86462860127</v>
      </c>
      <c r="N129" s="18" t="s">
        <v>204</v>
      </c>
      <c r="O129" s="70">
        <f>_xlfn.IFNA(MATCH(N129,'Stor Factors'!$B$13:$B$244,0),0)</f>
        <v>27</v>
      </c>
      <c r="P129" s="20">
        <f ca="1">OFFSET('Stor Factors'!$B$13,$O129-1,P$14)*$L129+OFFSET('Stor Factors'!$B$13,$K129-1,P$14)*$H129</f>
        <v>191.86462860127</v>
      </c>
      <c r="R129" s="20">
        <f ca="1">OFFSET('Stor Factors'!$B$13,$O129-1,R$14)*$L129+OFFSET('Stor Factors'!$B$13,$K129-1,R$14)*$H129</f>
        <v>0</v>
      </c>
      <c r="S129" s="20"/>
      <c r="T129" s="20">
        <f ca="1">OFFSET('Stor Factors'!$B$13,$O129-1,T$14)*$L129+OFFSET('Stor Factors'!$B$13,$K129-1,T$14)*$H129</f>
        <v>0</v>
      </c>
      <c r="U129" s="20"/>
      <c r="V129" s="20">
        <f ca="1">OFFSET('Stor Factors'!$B$13,$O129-1,V$14)*$L129+OFFSET('Stor Factors'!$B$13,$K129-1,V$14)*$H129</f>
        <v>0</v>
      </c>
      <c r="X129" s="9">
        <f t="shared" ca="1" si="34"/>
        <v>191.86462860127</v>
      </c>
      <c r="Z129" s="25" t="str">
        <f t="shared" ca="1" si="44"/>
        <v/>
      </c>
      <c r="AB129" s="20"/>
      <c r="AC129" s="89">
        <f ca="1">Function!AH129</f>
        <v>0</v>
      </c>
      <c r="AD129" s="96">
        <f t="shared" ca="1" si="39"/>
        <v>0</v>
      </c>
      <c r="AF129" s="48">
        <f t="shared" ca="1" si="43"/>
        <v>0</v>
      </c>
      <c r="AH129" s="48">
        <f t="shared" ca="1" si="40"/>
        <v>0</v>
      </c>
      <c r="AJ129" s="48">
        <f t="shared" ca="1" si="40"/>
        <v>0</v>
      </c>
      <c r="AK129" s="31">
        <f t="shared" ca="1" si="40"/>
        <v>0</v>
      </c>
      <c r="AL129" s="48">
        <f t="shared" ca="1" si="40"/>
        <v>0</v>
      </c>
      <c r="AN129" s="48">
        <f t="shared" ca="1" si="42"/>
        <v>0</v>
      </c>
    </row>
    <row r="130" spans="2:40" ht="13" x14ac:dyDescent="0.3">
      <c r="B130" s="18">
        <f t="shared" si="41"/>
        <v>77</v>
      </c>
      <c r="D130" s="35" t="s">
        <v>117</v>
      </c>
      <c r="F130" s="48">
        <f ca="1">Function!R130</f>
        <v>4026.3844920256997</v>
      </c>
      <c r="H130" s="76"/>
      <c r="K130" s="70">
        <f>_xlfn.IFNA(MATCH(J130,'Stor Factors'!$B$13:$B$244,0),0)</f>
        <v>0</v>
      </c>
      <c r="L130" s="48">
        <f t="shared" ca="1" si="38"/>
        <v>4026.3844920256997</v>
      </c>
      <c r="N130" s="18" t="s">
        <v>205</v>
      </c>
      <c r="O130" s="70">
        <f>_xlfn.IFNA(MATCH(N130,'Stor Factors'!$B$13:$B$244,0),0)</f>
        <v>24</v>
      </c>
      <c r="P130" s="20">
        <f ca="1">OFFSET('Stor Factors'!$B$13,$O130-1,P$14)*$L130+OFFSET('Stor Factors'!$B$13,$K130-1,P$14)*$H130</f>
        <v>2013.1922460128499</v>
      </c>
      <c r="R130" s="20">
        <f ca="1">OFFSET('Stor Factors'!$B$13,$O130-1,R$14)*$L130+OFFSET('Stor Factors'!$B$13,$K130-1,R$14)*$H130</f>
        <v>1855.6645713309417</v>
      </c>
      <c r="S130" s="20"/>
      <c r="T130" s="20">
        <f ca="1">OFFSET('Stor Factors'!$B$13,$O130-1,T$14)*$L130+OFFSET('Stor Factors'!$B$13,$K130-1,T$14)*$H130</f>
        <v>157.52767468190817</v>
      </c>
      <c r="U130" s="20"/>
      <c r="V130" s="20">
        <f ca="1">OFFSET('Stor Factors'!$B$13,$O130-1,V$14)*$L130+OFFSET('Stor Factors'!$B$13,$K130-1,V$14)*$H130</f>
        <v>0</v>
      </c>
      <c r="X130" s="9">
        <f t="shared" ca="1" si="34"/>
        <v>4026.3844920256997</v>
      </c>
      <c r="Z130" s="25" t="str">
        <f t="shared" ca="1" si="44"/>
        <v/>
      </c>
      <c r="AB130" s="20"/>
      <c r="AC130" s="89">
        <f ca="1">Function!AH130</f>
        <v>0</v>
      </c>
      <c r="AD130" s="96">
        <f t="shared" ca="1" si="39"/>
        <v>0</v>
      </c>
      <c r="AF130" s="48">
        <f t="shared" ca="1" si="43"/>
        <v>0</v>
      </c>
      <c r="AH130" s="48">
        <f t="shared" ca="1" si="40"/>
        <v>0</v>
      </c>
      <c r="AJ130" s="48">
        <f t="shared" ca="1" si="40"/>
        <v>0</v>
      </c>
      <c r="AK130" s="31">
        <f t="shared" ca="1" si="40"/>
        <v>0</v>
      </c>
      <c r="AL130" s="48">
        <f t="shared" ca="1" si="40"/>
        <v>0</v>
      </c>
      <c r="AN130" s="48">
        <f t="shared" ca="1" si="42"/>
        <v>0</v>
      </c>
    </row>
    <row r="131" spans="2:40" ht="13" x14ac:dyDescent="0.3">
      <c r="B131" s="18">
        <f t="shared" si="41"/>
        <v>78</v>
      </c>
      <c r="D131" s="35" t="s">
        <v>118</v>
      </c>
      <c r="F131" s="48">
        <f ca="1">Function!R131</f>
        <v>1816.3293445332881</v>
      </c>
      <c r="H131" s="76"/>
      <c r="K131" s="70">
        <f>_xlfn.IFNA(MATCH(J131,'Stor Factors'!$B$13:$B$244,0),0)</f>
        <v>0</v>
      </c>
      <c r="L131" s="48">
        <f t="shared" ca="1" si="38"/>
        <v>1816.3293445332881</v>
      </c>
      <c r="N131" s="18" t="s">
        <v>205</v>
      </c>
      <c r="O131" s="70">
        <f>_xlfn.IFNA(MATCH(N131,'Stor Factors'!$B$13:$B$244,0),0)</f>
        <v>24</v>
      </c>
      <c r="P131" s="20">
        <f ca="1">OFFSET('Stor Factors'!$B$13,$O131-1,P$14)*$L131+OFFSET('Stor Factors'!$B$13,$K131-1,P$14)*$H131</f>
        <v>908.16467226664406</v>
      </c>
      <c r="R131" s="20">
        <f ca="1">OFFSET('Stor Factors'!$B$13,$O131-1,R$14)*$L131+OFFSET('Stor Factors'!$B$13,$K131-1,R$14)*$H131</f>
        <v>837.10287012938886</v>
      </c>
      <c r="S131" s="20"/>
      <c r="T131" s="20">
        <f ca="1">OFFSET('Stor Factors'!$B$13,$O131-1,T$14)*$L131+OFFSET('Stor Factors'!$B$13,$K131-1,T$14)*$H131</f>
        <v>71.061802137255256</v>
      </c>
      <c r="U131" s="20"/>
      <c r="V131" s="20">
        <f ca="1">OFFSET('Stor Factors'!$B$13,$O131-1,V$14)*$L131+OFFSET('Stor Factors'!$B$13,$K131-1,V$14)*$H131</f>
        <v>0</v>
      </c>
      <c r="X131" s="9">
        <f t="shared" ca="1" si="34"/>
        <v>1816.3293445332881</v>
      </c>
      <c r="Z131" s="25" t="str">
        <f t="shared" ca="1" si="44"/>
        <v/>
      </c>
      <c r="AB131" s="20"/>
      <c r="AC131" s="89">
        <f ca="1">Function!AH131</f>
        <v>366.20012159340001</v>
      </c>
      <c r="AD131" s="96">
        <f t="shared" ca="1" si="39"/>
        <v>0.20161548493150419</v>
      </c>
      <c r="AF131" s="48">
        <f t="shared" ca="1" si="43"/>
        <v>183.10006079670001</v>
      </c>
      <c r="AH131" s="48">
        <f t="shared" ca="1" si="40"/>
        <v>168.77290109869071</v>
      </c>
      <c r="AJ131" s="48">
        <f t="shared" ca="1" si="40"/>
        <v>14.32715969800932</v>
      </c>
      <c r="AK131" s="31">
        <f t="shared" ca="1" si="40"/>
        <v>0</v>
      </c>
      <c r="AL131" s="48">
        <f t="shared" ca="1" si="40"/>
        <v>0</v>
      </c>
      <c r="AN131" s="48">
        <f t="shared" ca="1" si="42"/>
        <v>366.20012159340007</v>
      </c>
    </row>
    <row r="132" spans="2:40" ht="13" x14ac:dyDescent="0.3">
      <c r="D132" s="1" t="s">
        <v>19</v>
      </c>
      <c r="N132" s="18"/>
      <c r="Z132" s="25" t="str">
        <f t="shared" si="44"/>
        <v/>
      </c>
      <c r="AF132" s="48">
        <f t="shared" si="43"/>
        <v>0</v>
      </c>
      <c r="AH132" s="48">
        <f t="shared" si="40"/>
        <v>0</v>
      </c>
      <c r="AJ132" s="48">
        <f t="shared" si="40"/>
        <v>0</v>
      </c>
      <c r="AK132" s="31">
        <f t="shared" si="40"/>
        <v>0</v>
      </c>
      <c r="AL132" s="48">
        <f t="shared" si="40"/>
        <v>0</v>
      </c>
      <c r="AN132" s="48">
        <f t="shared" si="42"/>
        <v>0</v>
      </c>
    </row>
    <row r="133" spans="2:40" ht="13" x14ac:dyDescent="0.3">
      <c r="B133" s="18">
        <f>B131+1</f>
        <v>79</v>
      </c>
      <c r="D133" s="35" t="s">
        <v>111</v>
      </c>
      <c r="F133" s="48">
        <f ca="1">Function!R133</f>
        <v>0</v>
      </c>
      <c r="K133" s="70">
        <f>_xlfn.IFNA(MATCH(J133,'Stor Factors'!$B$13:$B$244,0),0)</f>
        <v>0</v>
      </c>
      <c r="L133" s="48">
        <f t="shared" ref="L133:L136" ca="1" si="45">F133-H133</f>
        <v>0</v>
      </c>
      <c r="N133" s="18"/>
      <c r="O133" s="70">
        <f>_xlfn.IFNA(MATCH(N133,'Stor Factors'!$B$13:$B$244,0),0)</f>
        <v>0</v>
      </c>
      <c r="P133" s="20">
        <f ca="1">OFFSET('Stor Factors'!$B$13,$O133-1,P$14)*$L133+OFFSET('Stor Factors'!$B$13,$K133-1,P$14)*$H133</f>
        <v>0</v>
      </c>
      <c r="R133" s="20">
        <f ca="1">OFFSET('Stor Factors'!$B$13,$O133-1,R$14)*$L133+OFFSET('Stor Factors'!$B$13,$K133-1,R$14)*$H133</f>
        <v>0</v>
      </c>
      <c r="S133" s="20"/>
      <c r="T133" s="20">
        <f ca="1">OFFSET('Stor Factors'!$B$13,$O133-1,T$14)*$L133+OFFSET('Stor Factors'!$B$13,$K133-1,T$14)*$H133</f>
        <v>0</v>
      </c>
      <c r="U133" s="20"/>
      <c r="V133" s="20">
        <f ca="1">OFFSET('Stor Factors'!$B$13,$O133-1,V$14)*$L133+OFFSET('Stor Factors'!$B$13,$K133-1,V$14)*$H133</f>
        <v>0</v>
      </c>
      <c r="X133" s="9">
        <f t="shared" ref="X133:X136" ca="1" si="46">P133+R133+T133+V133</f>
        <v>0</v>
      </c>
      <c r="Z133" s="25" t="str">
        <f t="shared" ca="1" si="44"/>
        <v/>
      </c>
      <c r="AB133" s="20"/>
      <c r="AC133" s="89">
        <f ca="1">Function!AH133</f>
        <v>0</v>
      </c>
      <c r="AD133" s="96">
        <f t="shared" ref="AD133:AD136" ca="1" si="47">IFERROR(AC133/F133,0)</f>
        <v>0</v>
      </c>
      <c r="AF133" s="48">
        <f t="shared" ca="1" si="43"/>
        <v>0</v>
      </c>
      <c r="AH133" s="48">
        <f t="shared" ca="1" si="40"/>
        <v>0</v>
      </c>
      <c r="AJ133" s="48">
        <f t="shared" ca="1" si="40"/>
        <v>0</v>
      </c>
      <c r="AK133" s="31">
        <f t="shared" ca="1" si="40"/>
        <v>0</v>
      </c>
      <c r="AL133" s="48">
        <f t="shared" ca="1" si="40"/>
        <v>0</v>
      </c>
      <c r="AN133" s="48">
        <f t="shared" ca="1" si="42"/>
        <v>0</v>
      </c>
    </row>
    <row r="134" spans="2:40" ht="13" x14ac:dyDescent="0.3">
      <c r="B134" s="18">
        <f>B133+1</f>
        <v>80</v>
      </c>
      <c r="D134" s="35" t="s">
        <v>120</v>
      </c>
      <c r="F134" s="48">
        <f ca="1">Function!R134</f>
        <v>0</v>
      </c>
      <c r="H134" s="76"/>
      <c r="K134" s="70">
        <f>_xlfn.IFNA(MATCH(J134,'Stor Factors'!$B$13:$B$244,0),0)</f>
        <v>0</v>
      </c>
      <c r="L134" s="48">
        <f t="shared" ca="1" si="45"/>
        <v>0</v>
      </c>
      <c r="N134" s="18"/>
      <c r="O134" s="70">
        <f>_xlfn.IFNA(MATCH(N134,'Stor Factors'!$B$13:$B$244,0),0)</f>
        <v>0</v>
      </c>
      <c r="P134" s="20">
        <f ca="1">OFFSET('Stor Factors'!$B$13,$O134-1,P$14)*$L134+OFFSET('Stor Factors'!$B$13,$K134-1,P$14)*$H134</f>
        <v>0</v>
      </c>
      <c r="R134" s="20">
        <f ca="1">OFFSET('Stor Factors'!$B$13,$O134-1,R$14)*$L134+OFFSET('Stor Factors'!$B$13,$K134-1,R$14)*$H134</f>
        <v>0</v>
      </c>
      <c r="S134" s="20"/>
      <c r="T134" s="20">
        <f ca="1">OFFSET('Stor Factors'!$B$13,$O134-1,T$14)*$L134+OFFSET('Stor Factors'!$B$13,$K134-1,T$14)*$H134</f>
        <v>0</v>
      </c>
      <c r="U134" s="20"/>
      <c r="V134" s="20">
        <f ca="1">OFFSET('Stor Factors'!$B$13,$O134-1,V$14)*$L134+OFFSET('Stor Factors'!$B$13,$K134-1,V$14)*$H134</f>
        <v>0</v>
      </c>
      <c r="X134" s="9">
        <f t="shared" ca="1" si="46"/>
        <v>0</v>
      </c>
      <c r="Z134" s="25" t="str">
        <f t="shared" ca="1" si="44"/>
        <v/>
      </c>
      <c r="AB134" s="20"/>
      <c r="AC134" s="89">
        <f ca="1">Function!AH134</f>
        <v>0</v>
      </c>
      <c r="AD134" s="96">
        <f t="shared" ca="1" si="47"/>
        <v>0</v>
      </c>
      <c r="AF134" s="48">
        <f t="shared" ca="1" si="43"/>
        <v>0</v>
      </c>
      <c r="AH134" s="48">
        <f t="shared" ca="1" si="40"/>
        <v>0</v>
      </c>
      <c r="AJ134" s="48">
        <f t="shared" ca="1" si="40"/>
        <v>0</v>
      </c>
      <c r="AK134" s="31">
        <f t="shared" ca="1" si="40"/>
        <v>0</v>
      </c>
      <c r="AL134" s="48">
        <f t="shared" ca="1" si="40"/>
        <v>0</v>
      </c>
      <c r="AN134" s="48">
        <f t="shared" ca="1" si="42"/>
        <v>0</v>
      </c>
    </row>
    <row r="135" spans="2:40" ht="13" x14ac:dyDescent="0.3">
      <c r="B135" s="18">
        <f t="shared" ref="B135:B136" si="48">B134+1</f>
        <v>81</v>
      </c>
      <c r="D135" s="35" t="s">
        <v>114</v>
      </c>
      <c r="F135" s="48">
        <f ca="1">Function!R135</f>
        <v>0</v>
      </c>
      <c r="H135" s="76"/>
      <c r="K135" s="70">
        <f>_xlfn.IFNA(MATCH(J135,'Stor Factors'!$B$13:$B$244,0),0)</f>
        <v>0</v>
      </c>
      <c r="L135" s="48">
        <f t="shared" ca="1" si="45"/>
        <v>0</v>
      </c>
      <c r="N135" s="18"/>
      <c r="O135" s="70">
        <f>_xlfn.IFNA(MATCH(N135,'Stor Factors'!$B$13:$B$244,0),0)</f>
        <v>0</v>
      </c>
      <c r="P135" s="20">
        <f ca="1">OFFSET('Stor Factors'!$B$13,$O135-1,P$14)*$L135+OFFSET('Stor Factors'!$B$13,$K135-1,P$14)*$H135</f>
        <v>0</v>
      </c>
      <c r="R135" s="20">
        <f ca="1">OFFSET('Stor Factors'!$B$13,$O135-1,R$14)*$L135+OFFSET('Stor Factors'!$B$13,$K135-1,R$14)*$H135</f>
        <v>0</v>
      </c>
      <c r="S135" s="20"/>
      <c r="T135" s="20">
        <f ca="1">OFFSET('Stor Factors'!$B$13,$O135-1,T$14)*$L135+OFFSET('Stor Factors'!$B$13,$K135-1,T$14)*$H135</f>
        <v>0</v>
      </c>
      <c r="U135" s="20"/>
      <c r="V135" s="20">
        <f ca="1">OFFSET('Stor Factors'!$B$13,$O135-1,V$14)*$L135+OFFSET('Stor Factors'!$B$13,$K135-1,V$14)*$H135</f>
        <v>0</v>
      </c>
      <c r="X135" s="9">
        <f t="shared" ca="1" si="46"/>
        <v>0</v>
      </c>
      <c r="Z135" s="25" t="str">
        <f t="shared" ca="1" si="44"/>
        <v/>
      </c>
      <c r="AB135" s="20"/>
      <c r="AC135" s="89">
        <f ca="1">Function!AH135</f>
        <v>0</v>
      </c>
      <c r="AD135" s="96">
        <f t="shared" ca="1" si="47"/>
        <v>0</v>
      </c>
      <c r="AF135" s="48">
        <f t="shared" ca="1" si="43"/>
        <v>0</v>
      </c>
      <c r="AH135" s="48">
        <f t="shared" ca="1" si="40"/>
        <v>0</v>
      </c>
      <c r="AJ135" s="48">
        <f t="shared" ca="1" si="40"/>
        <v>0</v>
      </c>
      <c r="AK135" s="31">
        <f t="shared" ca="1" si="40"/>
        <v>0</v>
      </c>
      <c r="AL135" s="48">
        <f t="shared" ca="1" si="40"/>
        <v>0</v>
      </c>
      <c r="AN135" s="48">
        <f t="shared" ca="1" si="42"/>
        <v>0</v>
      </c>
    </row>
    <row r="136" spans="2:40" ht="13" x14ac:dyDescent="0.3">
      <c r="B136" s="18">
        <f t="shared" si="48"/>
        <v>82</v>
      </c>
      <c r="D136" s="35" t="s">
        <v>39</v>
      </c>
      <c r="F136" s="48">
        <f ca="1">Function!R136</f>
        <v>0</v>
      </c>
      <c r="H136" s="76"/>
      <c r="K136" s="70">
        <f>_xlfn.IFNA(MATCH(J136,'Stor Factors'!$B$13:$B$244,0),0)</f>
        <v>0</v>
      </c>
      <c r="L136" s="48">
        <f t="shared" ca="1" si="45"/>
        <v>0</v>
      </c>
      <c r="N136" s="18"/>
      <c r="O136" s="70">
        <f>_xlfn.IFNA(MATCH(N136,'Stor Factors'!$B$13:$B$244,0),0)</f>
        <v>0</v>
      </c>
      <c r="P136" s="20">
        <f ca="1">OFFSET('Stor Factors'!$B$13,$O136-1,P$14)*$L136+OFFSET('Stor Factors'!$B$13,$K136-1,P$14)*$H136</f>
        <v>0</v>
      </c>
      <c r="R136" s="20">
        <f ca="1">OFFSET('Stor Factors'!$B$13,$O136-1,R$14)*$L136+OFFSET('Stor Factors'!$B$13,$K136-1,R$14)*$H136</f>
        <v>0</v>
      </c>
      <c r="S136" s="20"/>
      <c r="T136" s="20">
        <f ca="1">OFFSET('Stor Factors'!$B$13,$O136-1,T$14)*$L136+OFFSET('Stor Factors'!$B$13,$K136-1,T$14)*$H136</f>
        <v>0</v>
      </c>
      <c r="U136" s="20"/>
      <c r="V136" s="20">
        <f ca="1">OFFSET('Stor Factors'!$B$13,$O136-1,V$14)*$L136+OFFSET('Stor Factors'!$B$13,$K136-1,V$14)*$H136</f>
        <v>0</v>
      </c>
      <c r="X136" s="9">
        <f t="shared" ca="1" si="46"/>
        <v>0</v>
      </c>
      <c r="Z136" s="25" t="str">
        <f t="shared" ca="1" si="44"/>
        <v/>
      </c>
      <c r="AB136" s="20"/>
      <c r="AC136" s="89">
        <f ca="1">Function!AH136</f>
        <v>0</v>
      </c>
      <c r="AD136" s="96">
        <f t="shared" ca="1" si="47"/>
        <v>0</v>
      </c>
      <c r="AF136" s="48">
        <f t="shared" ca="1" si="43"/>
        <v>0</v>
      </c>
      <c r="AH136" s="48">
        <f t="shared" ca="1" si="40"/>
        <v>0</v>
      </c>
      <c r="AJ136" s="48">
        <f t="shared" ca="1" si="40"/>
        <v>0</v>
      </c>
      <c r="AK136" s="31">
        <f t="shared" ca="1" si="40"/>
        <v>0</v>
      </c>
      <c r="AL136" s="48">
        <f t="shared" ca="1" si="40"/>
        <v>0</v>
      </c>
      <c r="AN136" s="48">
        <f t="shared" ca="1" si="42"/>
        <v>0</v>
      </c>
    </row>
    <row r="137" spans="2:40" ht="13" x14ac:dyDescent="0.3">
      <c r="D137" s="1" t="s">
        <v>20</v>
      </c>
      <c r="N137" s="18"/>
      <c r="Z137" s="25" t="str">
        <f t="shared" si="44"/>
        <v/>
      </c>
      <c r="AB137" s="20"/>
      <c r="AD137" s="96"/>
      <c r="AF137" s="48">
        <f t="shared" si="43"/>
        <v>0</v>
      </c>
      <c r="AH137" s="48">
        <f t="shared" si="40"/>
        <v>0</v>
      </c>
      <c r="AJ137" s="48">
        <f t="shared" si="40"/>
        <v>0</v>
      </c>
      <c r="AK137" s="31">
        <f t="shared" si="40"/>
        <v>0</v>
      </c>
      <c r="AL137" s="48">
        <f t="shared" si="40"/>
        <v>0</v>
      </c>
      <c r="AN137" s="48">
        <f t="shared" si="42"/>
        <v>0</v>
      </c>
    </row>
    <row r="138" spans="2:40" ht="13" x14ac:dyDescent="0.3">
      <c r="B138" s="18">
        <f>B136+1</f>
        <v>83</v>
      </c>
      <c r="D138" s="35" t="s">
        <v>111</v>
      </c>
      <c r="F138" s="48">
        <f ca="1">Function!R138</f>
        <v>0</v>
      </c>
      <c r="K138" s="70">
        <f>_xlfn.IFNA(MATCH(J138,'Stor Factors'!$B$13:$B$244,0),0)</f>
        <v>0</v>
      </c>
      <c r="L138" s="48">
        <f t="shared" ref="L138:L143" ca="1" si="49">F138-H138</f>
        <v>0</v>
      </c>
      <c r="N138" s="18"/>
      <c r="O138" s="70">
        <f>_xlfn.IFNA(MATCH(N138,'Stor Factors'!$B$13:$B$244,0),0)</f>
        <v>0</v>
      </c>
      <c r="P138" s="20">
        <f ca="1">OFFSET('Stor Factors'!$B$13,$O138-1,P$14)*$L138+OFFSET('Stor Factors'!$B$13,$K138-1,P$14)*$H138</f>
        <v>0</v>
      </c>
      <c r="R138" s="20">
        <f ca="1">OFFSET('Stor Factors'!$B$13,$O138-1,R$14)*$L138+OFFSET('Stor Factors'!$B$13,$K138-1,R$14)*$H138</f>
        <v>0</v>
      </c>
      <c r="S138" s="20"/>
      <c r="T138" s="20">
        <f ca="1">OFFSET('Stor Factors'!$B$13,$O138-1,T$14)*$L138+OFFSET('Stor Factors'!$B$13,$K138-1,T$14)*$H138</f>
        <v>0</v>
      </c>
      <c r="U138" s="20"/>
      <c r="V138" s="20">
        <f ca="1">OFFSET('Stor Factors'!$B$13,$O138-1,V$14)*$L138+OFFSET('Stor Factors'!$B$13,$K138-1,V$14)*$H138</f>
        <v>0</v>
      </c>
      <c r="X138" s="9">
        <f t="shared" ref="X138:X143" ca="1" si="50">P138+R138+T138+V138</f>
        <v>0</v>
      </c>
      <c r="Z138" s="25" t="str">
        <f t="shared" ca="1" si="44"/>
        <v/>
      </c>
      <c r="AB138" s="20"/>
      <c r="AC138" s="89">
        <f ca="1">Function!AH138</f>
        <v>0</v>
      </c>
      <c r="AD138" s="96">
        <f ca="1">IFERROR(AC138/F138,0)</f>
        <v>0</v>
      </c>
      <c r="AF138" s="48">
        <f t="shared" ca="1" si="43"/>
        <v>0</v>
      </c>
      <c r="AH138" s="48">
        <f t="shared" ca="1" si="40"/>
        <v>0</v>
      </c>
      <c r="AJ138" s="48">
        <f t="shared" ca="1" si="40"/>
        <v>0</v>
      </c>
      <c r="AK138" s="31">
        <f t="shared" ca="1" si="40"/>
        <v>0</v>
      </c>
      <c r="AL138" s="48">
        <f t="shared" ca="1" si="40"/>
        <v>0</v>
      </c>
      <c r="AN138" s="48">
        <f t="shared" ca="1" si="42"/>
        <v>0</v>
      </c>
    </row>
    <row r="139" spans="2:40" ht="13" x14ac:dyDescent="0.3">
      <c r="B139" s="18">
        <f>B138+1</f>
        <v>84</v>
      </c>
      <c r="D139" s="35" t="s">
        <v>122</v>
      </c>
      <c r="F139" s="48">
        <f ca="1">Function!R139</f>
        <v>0</v>
      </c>
      <c r="H139" s="76"/>
      <c r="K139" s="70">
        <f>_xlfn.IFNA(MATCH(J139,'Stor Factors'!$B$13:$B$244,0),0)</f>
        <v>0</v>
      </c>
      <c r="L139" s="48">
        <f t="shared" ca="1" si="49"/>
        <v>0</v>
      </c>
      <c r="N139" s="18"/>
      <c r="O139" s="70">
        <f>_xlfn.IFNA(MATCH(N139,'Stor Factors'!$B$13:$B$244,0),0)</f>
        <v>0</v>
      </c>
      <c r="P139" s="20">
        <f ca="1">OFFSET('Stor Factors'!$B$13,$O139-1,P$14)*$L139+OFFSET('Stor Factors'!$B$13,$K139-1,P$14)*$H139</f>
        <v>0</v>
      </c>
      <c r="R139" s="20">
        <f ca="1">OFFSET('Stor Factors'!$B$13,$O139-1,R$14)*$L139+OFFSET('Stor Factors'!$B$13,$K139-1,R$14)*$H139</f>
        <v>0</v>
      </c>
      <c r="S139" s="20"/>
      <c r="T139" s="20">
        <f ca="1">OFFSET('Stor Factors'!$B$13,$O139-1,T$14)*$L139+OFFSET('Stor Factors'!$B$13,$K139-1,T$14)*$H139</f>
        <v>0</v>
      </c>
      <c r="U139" s="20"/>
      <c r="V139" s="20">
        <f ca="1">OFFSET('Stor Factors'!$B$13,$O139-1,V$14)*$L139+OFFSET('Stor Factors'!$B$13,$K139-1,V$14)*$H139</f>
        <v>0</v>
      </c>
      <c r="X139" s="9">
        <f t="shared" ca="1" si="50"/>
        <v>0</v>
      </c>
      <c r="Z139" s="25" t="str">
        <f t="shared" ca="1" si="44"/>
        <v/>
      </c>
      <c r="AB139" s="20"/>
      <c r="AC139" s="89">
        <f ca="1">Function!AH139</f>
        <v>0</v>
      </c>
      <c r="AD139" s="96">
        <f ca="1">IFERROR(AC139/F139,0)</f>
        <v>0</v>
      </c>
      <c r="AF139" s="48">
        <f t="shared" ca="1" si="43"/>
        <v>0</v>
      </c>
      <c r="AH139" s="48">
        <f t="shared" ca="1" si="40"/>
        <v>0</v>
      </c>
      <c r="AJ139" s="48">
        <f t="shared" ca="1" si="40"/>
        <v>0</v>
      </c>
      <c r="AK139" s="31">
        <f t="shared" ca="1" si="40"/>
        <v>0</v>
      </c>
      <c r="AL139" s="48">
        <f t="shared" ca="1" si="40"/>
        <v>0</v>
      </c>
      <c r="AN139" s="48">
        <f t="shared" ca="1" si="42"/>
        <v>0</v>
      </c>
    </row>
    <row r="140" spans="2:40" ht="13" x14ac:dyDescent="0.3">
      <c r="B140" s="18">
        <f t="shared" ref="B140:B143" si="51">B139+1</f>
        <v>85</v>
      </c>
      <c r="D140" s="35" t="s">
        <v>123</v>
      </c>
      <c r="F140" s="48">
        <f ca="1">Function!R140</f>
        <v>0</v>
      </c>
      <c r="H140" s="76"/>
      <c r="K140" s="70">
        <f>_xlfn.IFNA(MATCH(J140,'Stor Factors'!$B$13:$B$244,0),0)</f>
        <v>0</v>
      </c>
      <c r="L140" s="48">
        <f t="shared" ca="1" si="49"/>
        <v>0</v>
      </c>
      <c r="N140" s="18"/>
      <c r="O140" s="70">
        <f>_xlfn.IFNA(MATCH(N140,'Stor Factors'!$B$13:$B$244,0),0)</f>
        <v>0</v>
      </c>
      <c r="P140" s="20">
        <f ca="1">OFFSET('Stor Factors'!$B$13,$O140-1,P$14)*$L140+OFFSET('Stor Factors'!$B$13,$K140-1,P$14)*$H140</f>
        <v>0</v>
      </c>
      <c r="R140" s="20">
        <f ca="1">OFFSET('Stor Factors'!$B$13,$O140-1,R$14)*$L140+OFFSET('Stor Factors'!$B$13,$K140-1,R$14)*$H140</f>
        <v>0</v>
      </c>
      <c r="S140" s="20"/>
      <c r="T140" s="20">
        <f ca="1">OFFSET('Stor Factors'!$B$13,$O140-1,T$14)*$L140+OFFSET('Stor Factors'!$B$13,$K140-1,T$14)*$H140</f>
        <v>0</v>
      </c>
      <c r="U140" s="20"/>
      <c r="V140" s="20">
        <f ca="1">OFFSET('Stor Factors'!$B$13,$O140-1,V$14)*$L140+OFFSET('Stor Factors'!$B$13,$K140-1,V$14)*$H140</f>
        <v>0</v>
      </c>
      <c r="X140" s="9">
        <f t="shared" ca="1" si="50"/>
        <v>0</v>
      </c>
      <c r="Z140" s="25" t="str">
        <f t="shared" ca="1" si="44"/>
        <v/>
      </c>
      <c r="AB140" s="20"/>
      <c r="AC140" s="89">
        <f ca="1">Function!AH140</f>
        <v>0</v>
      </c>
      <c r="AD140" s="96">
        <f t="shared" ref="AD140:AD143" ca="1" si="52">IFERROR(AC140/F140,0)</f>
        <v>0</v>
      </c>
      <c r="AF140" s="48">
        <f t="shared" ca="1" si="43"/>
        <v>0</v>
      </c>
      <c r="AH140" s="48">
        <f t="shared" ref="AH140:AH160" ca="1" si="53">$AD140*R140</f>
        <v>0</v>
      </c>
      <c r="AJ140" s="48">
        <f t="shared" ref="AJ140:AL160" ca="1" si="54">$AD140*T140</f>
        <v>0</v>
      </c>
      <c r="AK140" s="31">
        <f t="shared" ca="1" si="54"/>
        <v>0</v>
      </c>
      <c r="AL140" s="48">
        <f t="shared" ca="1" si="54"/>
        <v>0</v>
      </c>
      <c r="AN140" s="48">
        <f t="shared" ca="1" si="42"/>
        <v>0</v>
      </c>
    </row>
    <row r="141" spans="2:40" ht="13" x14ac:dyDescent="0.3">
      <c r="B141" s="18">
        <f t="shared" si="51"/>
        <v>86</v>
      </c>
      <c r="D141" s="35" t="s">
        <v>124</v>
      </c>
      <c r="F141" s="48">
        <f ca="1">Function!R141</f>
        <v>0</v>
      </c>
      <c r="H141" s="76"/>
      <c r="K141" s="70">
        <f>_xlfn.IFNA(MATCH(J141,'Stor Factors'!$B$13:$B$244,0),0)</f>
        <v>0</v>
      </c>
      <c r="L141" s="48">
        <f t="shared" ca="1" si="49"/>
        <v>0</v>
      </c>
      <c r="N141" s="18"/>
      <c r="O141" s="70">
        <f>_xlfn.IFNA(MATCH(N141,'Stor Factors'!$B$13:$B$244,0),0)</f>
        <v>0</v>
      </c>
      <c r="P141" s="20">
        <f ca="1">OFFSET('Stor Factors'!$B$13,$O141-1,P$14)*$L141+OFFSET('Stor Factors'!$B$13,$K141-1,P$14)*$H141</f>
        <v>0</v>
      </c>
      <c r="R141" s="20">
        <f ca="1">OFFSET('Stor Factors'!$B$13,$O141-1,R$14)*$L141+OFFSET('Stor Factors'!$B$13,$K141-1,R$14)*$H141</f>
        <v>0</v>
      </c>
      <c r="S141" s="20"/>
      <c r="T141" s="20">
        <f ca="1">OFFSET('Stor Factors'!$B$13,$O141-1,T$14)*$L141+OFFSET('Stor Factors'!$B$13,$K141-1,T$14)*$H141</f>
        <v>0</v>
      </c>
      <c r="U141" s="20"/>
      <c r="V141" s="20">
        <f ca="1">OFFSET('Stor Factors'!$B$13,$O141-1,V$14)*$L141+OFFSET('Stor Factors'!$B$13,$K141-1,V$14)*$H141</f>
        <v>0</v>
      </c>
      <c r="X141" s="9">
        <f t="shared" ca="1" si="50"/>
        <v>0</v>
      </c>
      <c r="Z141" s="25" t="str">
        <f t="shared" ca="1" si="44"/>
        <v/>
      </c>
      <c r="AB141" s="20"/>
      <c r="AC141" s="89">
        <f ca="1">Function!AH141</f>
        <v>0</v>
      </c>
      <c r="AD141" s="96">
        <f t="shared" ca="1" si="52"/>
        <v>0</v>
      </c>
      <c r="AF141" s="48">
        <f t="shared" ca="1" si="43"/>
        <v>0</v>
      </c>
      <c r="AH141" s="48">
        <f t="shared" ca="1" si="53"/>
        <v>0</v>
      </c>
      <c r="AJ141" s="48">
        <f t="shared" ca="1" si="54"/>
        <v>0</v>
      </c>
      <c r="AK141" s="31">
        <f t="shared" ca="1" si="54"/>
        <v>0</v>
      </c>
      <c r="AL141" s="48">
        <f t="shared" ca="1" si="54"/>
        <v>0</v>
      </c>
      <c r="AN141" s="48">
        <f t="shared" ca="1" si="42"/>
        <v>0</v>
      </c>
    </row>
    <row r="142" spans="2:40" ht="13" x14ac:dyDescent="0.3">
      <c r="B142" s="18">
        <f t="shared" si="51"/>
        <v>87</v>
      </c>
      <c r="D142" s="35" t="s">
        <v>39</v>
      </c>
      <c r="F142" s="48">
        <f ca="1">Function!R142</f>
        <v>0</v>
      </c>
      <c r="H142" s="76"/>
      <c r="K142" s="70">
        <f>_xlfn.IFNA(MATCH(J142,'Stor Factors'!$B$13:$B$244,0),0)</f>
        <v>0</v>
      </c>
      <c r="L142" s="48">
        <f t="shared" ca="1" si="49"/>
        <v>0</v>
      </c>
      <c r="N142" s="18"/>
      <c r="O142" s="70">
        <f>_xlfn.IFNA(MATCH(N142,'Stor Factors'!$B$13:$B$244,0),0)</f>
        <v>0</v>
      </c>
      <c r="P142" s="20">
        <f ca="1">OFFSET('Stor Factors'!$B$13,$O142-1,P$14)*$L142+OFFSET('Stor Factors'!$B$13,$K142-1,P$14)*$H142</f>
        <v>0</v>
      </c>
      <c r="R142" s="20">
        <f ca="1">OFFSET('Stor Factors'!$B$13,$O142-1,R$14)*$L142+OFFSET('Stor Factors'!$B$13,$K142-1,R$14)*$H142</f>
        <v>0</v>
      </c>
      <c r="S142" s="20"/>
      <c r="T142" s="20">
        <f ca="1">OFFSET('Stor Factors'!$B$13,$O142-1,T$14)*$L142+OFFSET('Stor Factors'!$B$13,$K142-1,T$14)*$H142</f>
        <v>0</v>
      </c>
      <c r="U142" s="20"/>
      <c r="V142" s="20">
        <f ca="1">OFFSET('Stor Factors'!$B$13,$O142-1,V$14)*$L142+OFFSET('Stor Factors'!$B$13,$K142-1,V$14)*$H142</f>
        <v>0</v>
      </c>
      <c r="X142" s="9">
        <f t="shared" ca="1" si="50"/>
        <v>0</v>
      </c>
      <c r="Z142" s="25" t="str">
        <f t="shared" ca="1" si="44"/>
        <v/>
      </c>
      <c r="AB142" s="20"/>
      <c r="AC142" s="89">
        <f ca="1">Function!AH142</f>
        <v>0</v>
      </c>
      <c r="AD142" s="96">
        <f t="shared" ca="1" si="52"/>
        <v>0</v>
      </c>
      <c r="AF142" s="48">
        <f t="shared" ca="1" si="43"/>
        <v>0</v>
      </c>
      <c r="AH142" s="48">
        <f t="shared" ca="1" si="53"/>
        <v>0</v>
      </c>
      <c r="AJ142" s="48">
        <f t="shared" ca="1" si="54"/>
        <v>0</v>
      </c>
      <c r="AK142" s="31">
        <f t="shared" ca="1" si="54"/>
        <v>0</v>
      </c>
      <c r="AL142" s="48">
        <f t="shared" ca="1" si="54"/>
        <v>0</v>
      </c>
      <c r="AN142" s="48">
        <f t="shared" ca="1" si="42"/>
        <v>0</v>
      </c>
    </row>
    <row r="143" spans="2:40" ht="13" x14ac:dyDescent="0.3">
      <c r="B143" s="18">
        <f t="shared" si="51"/>
        <v>88</v>
      </c>
      <c r="D143" s="35" t="s">
        <v>125</v>
      </c>
      <c r="F143" s="48">
        <f ca="1">Function!R143</f>
        <v>0</v>
      </c>
      <c r="H143" s="76"/>
      <c r="K143" s="70">
        <f>_xlfn.IFNA(MATCH(J143,'Stor Factors'!$B$13:$B$244,0),0)</f>
        <v>0</v>
      </c>
      <c r="L143" s="48">
        <f t="shared" ca="1" si="49"/>
        <v>0</v>
      </c>
      <c r="N143" s="18"/>
      <c r="O143" s="70">
        <f>_xlfn.IFNA(MATCH(N143,'Stor Factors'!$B$13:$B$244,0),0)</f>
        <v>0</v>
      </c>
      <c r="P143" s="20">
        <f ca="1">OFFSET('Stor Factors'!$B$13,$O143-1,P$14)*$L143+OFFSET('Stor Factors'!$B$13,$K143-1,P$14)*$H143</f>
        <v>0</v>
      </c>
      <c r="R143" s="20">
        <f ca="1">OFFSET('Stor Factors'!$B$13,$O143-1,R$14)*$L143+OFFSET('Stor Factors'!$B$13,$K143-1,R$14)*$H143</f>
        <v>0</v>
      </c>
      <c r="S143" s="20"/>
      <c r="T143" s="20">
        <f ca="1">OFFSET('Stor Factors'!$B$13,$O143-1,T$14)*$L143+OFFSET('Stor Factors'!$B$13,$K143-1,T$14)*$H143</f>
        <v>0</v>
      </c>
      <c r="U143" s="20"/>
      <c r="V143" s="20">
        <f ca="1">OFFSET('Stor Factors'!$B$13,$O143-1,V$14)*$L143+OFFSET('Stor Factors'!$B$13,$K143-1,V$14)*$H143</f>
        <v>0</v>
      </c>
      <c r="X143" s="9">
        <f t="shared" ca="1" si="50"/>
        <v>0</v>
      </c>
      <c r="Z143" s="25" t="str">
        <f t="shared" ca="1" si="44"/>
        <v/>
      </c>
      <c r="AB143" s="20"/>
      <c r="AC143" s="89">
        <f ca="1">Function!AH143</f>
        <v>0</v>
      </c>
      <c r="AD143" s="96">
        <f t="shared" ca="1" si="52"/>
        <v>0</v>
      </c>
      <c r="AF143" s="48">
        <f t="shared" ca="1" si="43"/>
        <v>0</v>
      </c>
      <c r="AH143" s="48">
        <f t="shared" ca="1" si="53"/>
        <v>0</v>
      </c>
      <c r="AJ143" s="48">
        <f t="shared" ca="1" si="54"/>
        <v>0</v>
      </c>
      <c r="AK143" s="31">
        <f t="shared" ca="1" si="54"/>
        <v>0</v>
      </c>
      <c r="AL143" s="48">
        <f t="shared" ca="1" si="54"/>
        <v>0</v>
      </c>
      <c r="AN143" s="48">
        <f t="shared" ca="1" si="42"/>
        <v>0</v>
      </c>
    </row>
    <row r="144" spans="2:40" ht="13" x14ac:dyDescent="0.3">
      <c r="D144" s="1" t="s">
        <v>126</v>
      </c>
      <c r="K144" s="70"/>
      <c r="N144" s="18"/>
      <c r="Z144" s="25" t="str">
        <f t="shared" si="44"/>
        <v/>
      </c>
      <c r="AB144" s="20"/>
      <c r="AF144" s="48">
        <f t="shared" si="43"/>
        <v>0</v>
      </c>
      <c r="AH144" s="48">
        <f t="shared" si="53"/>
        <v>0</v>
      </c>
      <c r="AJ144" s="48">
        <f t="shared" si="54"/>
        <v>0</v>
      </c>
      <c r="AK144" s="31">
        <f t="shared" si="54"/>
        <v>0</v>
      </c>
      <c r="AL144" s="48">
        <f t="shared" si="54"/>
        <v>0</v>
      </c>
      <c r="AN144" s="48">
        <f t="shared" si="42"/>
        <v>0</v>
      </c>
    </row>
    <row r="145" spans="2:40" ht="13" x14ac:dyDescent="0.3">
      <c r="B145" s="18">
        <f>B143+1</f>
        <v>89</v>
      </c>
      <c r="D145" s="35" t="s">
        <v>127</v>
      </c>
      <c r="F145" s="48">
        <f ca="1">Function!R145</f>
        <v>7271.6222767735126</v>
      </c>
      <c r="H145" s="76"/>
      <c r="K145" s="70">
        <f>_xlfn.IFNA(MATCH(J145,'Stor Factors'!$B$13:$B$244,0),0)</f>
        <v>0</v>
      </c>
      <c r="L145" s="48">
        <f t="shared" ref="L145" ca="1" si="55">F145-H145</f>
        <v>7271.6222767735126</v>
      </c>
      <c r="N145" s="18" t="s">
        <v>212</v>
      </c>
      <c r="O145" s="70">
        <f>_xlfn.IFNA(MATCH(N145,'Stor Factors'!$B$13:$B$244,0),0)</f>
        <v>51</v>
      </c>
      <c r="P145" s="20">
        <f ca="1">OFFSET('Stor Factors'!$B$13,$O145-1,P$14)*$L145+OFFSET('Stor Factors'!$B$13,$K145-1,P$14)*$H145</f>
        <v>5527.431389630101</v>
      </c>
      <c r="R145" s="20">
        <f ca="1">OFFSET('Stor Factors'!$B$13,$O145-1,R$14)*$L145+OFFSET('Stor Factors'!$B$13,$K145-1,R$14)*$H145</f>
        <v>1607.711951663088</v>
      </c>
      <c r="S145" s="20"/>
      <c r="T145" s="20">
        <f ca="1">OFFSET('Stor Factors'!$B$13,$O145-1,T$14)*$L145+OFFSET('Stor Factors'!$B$13,$K145-1,T$14)*$H145</f>
        <v>136.47893548032394</v>
      </c>
      <c r="U145" s="20"/>
      <c r="V145" s="20">
        <f ca="1">OFFSET('Stor Factors'!$B$13,$O145-1,V$14)*$L145+OFFSET('Stor Factors'!$B$13,$K145-1,V$14)*$H145</f>
        <v>0</v>
      </c>
      <c r="X145" s="9">
        <f t="shared" ref="X145" ca="1" si="56">P145+R145+T145+V145</f>
        <v>7271.6222767735135</v>
      </c>
      <c r="Z145" s="25" t="str">
        <f t="shared" ca="1" si="44"/>
        <v/>
      </c>
      <c r="AB145" s="20"/>
      <c r="AC145" s="89">
        <f ca="1">Function!AH145</f>
        <v>3051.4045268930399</v>
      </c>
      <c r="AD145" s="96">
        <f t="shared" ref="AD145" ca="1" si="57">IFERROR(AC145/F145,0)</f>
        <v>0.41963188003309998</v>
      </c>
      <c r="AF145" s="48">
        <f t="shared" ca="1" si="43"/>
        <v>2319.4864257844497</v>
      </c>
      <c r="AH145" s="48">
        <f t="shared" ca="1" si="53"/>
        <v>674.64718882806596</v>
      </c>
      <c r="AJ145" s="48">
        <f t="shared" ca="1" si="54"/>
        <v>57.270912280524492</v>
      </c>
      <c r="AK145" s="31">
        <f t="shared" ca="1" si="54"/>
        <v>0</v>
      </c>
      <c r="AL145" s="48">
        <f t="shared" ca="1" si="54"/>
        <v>0</v>
      </c>
      <c r="AN145" s="48">
        <f t="shared" ca="1" si="42"/>
        <v>3051.4045268930404</v>
      </c>
    </row>
    <row r="146" spans="2:40" ht="13" x14ac:dyDescent="0.3">
      <c r="D146" s="1" t="s">
        <v>130</v>
      </c>
      <c r="N146" s="18"/>
      <c r="Z146" s="25" t="str">
        <f t="shared" si="44"/>
        <v/>
      </c>
      <c r="AB146" s="20"/>
      <c r="AF146" s="48">
        <f>$AD146*P146</f>
        <v>0</v>
      </c>
      <c r="AH146" s="48">
        <f t="shared" si="53"/>
        <v>0</v>
      </c>
      <c r="AJ146" s="48">
        <f t="shared" si="54"/>
        <v>0</v>
      </c>
      <c r="AK146" s="31">
        <f t="shared" si="54"/>
        <v>0</v>
      </c>
      <c r="AL146" s="48">
        <f t="shared" si="54"/>
        <v>0</v>
      </c>
      <c r="AN146" s="48">
        <f t="shared" si="42"/>
        <v>0</v>
      </c>
    </row>
    <row r="147" spans="2:40" ht="13" x14ac:dyDescent="0.3">
      <c r="B147" s="18">
        <f>B145+1</f>
        <v>90</v>
      </c>
      <c r="D147" s="35" t="s">
        <v>131</v>
      </c>
      <c r="F147" s="48">
        <f ca="1">Function!R147</f>
        <v>0</v>
      </c>
      <c r="H147" s="76"/>
      <c r="K147" s="70">
        <f>_xlfn.IFNA(MATCH(J147,'Stor Factors'!$B$13:$B$244,0),0)</f>
        <v>0</v>
      </c>
      <c r="L147" s="48">
        <f t="shared" ref="L147:L149" ca="1" si="58">F147-H147</f>
        <v>0</v>
      </c>
      <c r="N147" s="18"/>
      <c r="O147" s="70">
        <f>_xlfn.IFNA(MATCH(N147,'Stor Factors'!$B$13:$B$244,0),0)</f>
        <v>0</v>
      </c>
      <c r="P147" s="20">
        <f ca="1">OFFSET('Stor Factors'!$B$13,$O147-1,P$14)*$L147+OFFSET('Stor Factors'!$B$13,$K147-1,P$14)*$H147</f>
        <v>0</v>
      </c>
      <c r="R147" s="20">
        <f ca="1">OFFSET('Stor Factors'!$B$13,$O147-1,R$14)*$L147+OFFSET('Stor Factors'!$B$13,$K147-1,R$14)*$H147</f>
        <v>0</v>
      </c>
      <c r="S147" s="20"/>
      <c r="T147" s="20">
        <f ca="1">OFFSET('Stor Factors'!$B$13,$O147-1,T$14)*$L147+OFFSET('Stor Factors'!$B$13,$K147-1,T$14)*$H147</f>
        <v>0</v>
      </c>
      <c r="U147" s="20"/>
      <c r="V147" s="20">
        <f ca="1">OFFSET('Stor Factors'!$B$13,$O147-1,V$14)*$L147+OFFSET('Stor Factors'!$B$13,$K147-1,V$14)*$H147</f>
        <v>0</v>
      </c>
      <c r="X147" s="9">
        <f t="shared" ref="X147:X149" ca="1" si="59">P147+R147+T147+V147</f>
        <v>0</v>
      </c>
      <c r="Z147" s="25" t="str">
        <f t="shared" ca="1" si="44"/>
        <v/>
      </c>
      <c r="AB147" s="20"/>
      <c r="AC147" s="89">
        <f ca="1">Function!AH147</f>
        <v>0</v>
      </c>
      <c r="AD147" s="96">
        <f t="shared" ref="AD147:AD149" ca="1" si="60">IFERROR(AC147/F147,0)</f>
        <v>0</v>
      </c>
      <c r="AF147" s="48">
        <f t="shared" ref="AF147:AF160" ca="1" si="61">$AD147*P147</f>
        <v>0</v>
      </c>
      <c r="AH147" s="48">
        <f t="shared" ca="1" si="53"/>
        <v>0</v>
      </c>
      <c r="AJ147" s="48">
        <f t="shared" ca="1" si="54"/>
        <v>0</v>
      </c>
      <c r="AK147" s="31">
        <f t="shared" ca="1" si="54"/>
        <v>0</v>
      </c>
      <c r="AL147" s="48">
        <f t="shared" ca="1" si="54"/>
        <v>0</v>
      </c>
      <c r="AN147" s="48">
        <f t="shared" ca="1" si="42"/>
        <v>0</v>
      </c>
    </row>
    <row r="148" spans="2:40" ht="13" x14ac:dyDescent="0.3">
      <c r="B148" s="18">
        <f>B147+1</f>
        <v>91</v>
      </c>
      <c r="D148" s="35" t="s">
        <v>132</v>
      </c>
      <c r="F148" s="48">
        <f ca="1">Function!R148</f>
        <v>0</v>
      </c>
      <c r="H148" s="76"/>
      <c r="K148" s="70">
        <f>_xlfn.IFNA(MATCH(J148,'Stor Factors'!$B$13:$B$244,0),0)</f>
        <v>0</v>
      </c>
      <c r="L148" s="48">
        <f t="shared" ca="1" si="58"/>
        <v>0</v>
      </c>
      <c r="N148" s="18"/>
      <c r="O148" s="70">
        <f>_xlfn.IFNA(MATCH(N148,'Stor Factors'!$B$13:$B$244,0),0)</f>
        <v>0</v>
      </c>
      <c r="P148" s="20">
        <f ca="1">OFFSET('Stor Factors'!$B$13,$O148-1,P$14)*$L148+OFFSET('Stor Factors'!$B$13,$K148-1,P$14)*$H148</f>
        <v>0</v>
      </c>
      <c r="R148" s="20">
        <f ca="1">OFFSET('Stor Factors'!$B$13,$O148-1,R$14)*$L148+OFFSET('Stor Factors'!$B$13,$K148-1,R$14)*$H148</f>
        <v>0</v>
      </c>
      <c r="S148" s="20"/>
      <c r="T148" s="20">
        <f ca="1">OFFSET('Stor Factors'!$B$13,$O148-1,T$14)*$L148+OFFSET('Stor Factors'!$B$13,$K148-1,T$14)*$H148</f>
        <v>0</v>
      </c>
      <c r="U148" s="20"/>
      <c r="V148" s="20">
        <f ca="1">OFFSET('Stor Factors'!$B$13,$O148-1,V$14)*$L148+OFFSET('Stor Factors'!$B$13,$K148-1,V$14)*$H148</f>
        <v>0</v>
      </c>
      <c r="X148" s="9">
        <f t="shared" ca="1" si="59"/>
        <v>0</v>
      </c>
      <c r="Z148" s="25" t="str">
        <f t="shared" ca="1" si="44"/>
        <v/>
      </c>
      <c r="AB148" s="20"/>
      <c r="AC148" s="89">
        <f ca="1">Function!AH148</f>
        <v>0</v>
      </c>
      <c r="AD148" s="96">
        <f t="shared" ca="1" si="60"/>
        <v>0</v>
      </c>
      <c r="AF148" s="48">
        <f t="shared" ca="1" si="61"/>
        <v>0</v>
      </c>
      <c r="AH148" s="48">
        <f t="shared" ca="1" si="53"/>
        <v>0</v>
      </c>
      <c r="AJ148" s="48">
        <f t="shared" ca="1" si="54"/>
        <v>0</v>
      </c>
      <c r="AK148" s="31">
        <f t="shared" ca="1" si="54"/>
        <v>0</v>
      </c>
      <c r="AL148" s="48">
        <f t="shared" ca="1" si="54"/>
        <v>0</v>
      </c>
      <c r="AN148" s="48">
        <f t="shared" ca="1" si="42"/>
        <v>0</v>
      </c>
    </row>
    <row r="149" spans="2:40" ht="13" x14ac:dyDescent="0.3">
      <c r="B149" s="18">
        <f t="shared" ref="B149" si="62">B148+1</f>
        <v>92</v>
      </c>
      <c r="D149" s="35" t="s">
        <v>133</v>
      </c>
      <c r="F149" s="48">
        <f ca="1">Function!R149</f>
        <v>0</v>
      </c>
      <c r="H149" s="76"/>
      <c r="K149" s="70">
        <f>_xlfn.IFNA(MATCH(J149,'Stor Factors'!$B$13:$B$244,0),0)</f>
        <v>0</v>
      </c>
      <c r="L149" s="48">
        <f t="shared" ca="1" si="58"/>
        <v>0</v>
      </c>
      <c r="N149" s="18"/>
      <c r="O149" s="70">
        <f>_xlfn.IFNA(MATCH(N149,'Stor Factors'!$B$13:$B$244,0),0)</f>
        <v>0</v>
      </c>
      <c r="P149" s="20">
        <f ca="1">OFFSET('Stor Factors'!$B$13,$O149-1,P$14)*$L149+OFFSET('Stor Factors'!$B$13,$K149-1,P$14)*$H149</f>
        <v>0</v>
      </c>
      <c r="R149" s="20">
        <f ca="1">OFFSET('Stor Factors'!$B$13,$O149-1,R$14)*$L149+OFFSET('Stor Factors'!$B$13,$K149-1,R$14)*$H149</f>
        <v>0</v>
      </c>
      <c r="S149" s="20"/>
      <c r="T149" s="20">
        <f ca="1">OFFSET('Stor Factors'!$B$13,$O149-1,T$14)*$L149+OFFSET('Stor Factors'!$B$13,$K149-1,T$14)*$H149</f>
        <v>0</v>
      </c>
      <c r="U149" s="20"/>
      <c r="V149" s="20">
        <f ca="1">OFFSET('Stor Factors'!$B$13,$O149-1,V$14)*$L149+OFFSET('Stor Factors'!$B$13,$K149-1,V$14)*$H149</f>
        <v>0</v>
      </c>
      <c r="X149" s="9">
        <f t="shared" ca="1" si="59"/>
        <v>0</v>
      </c>
      <c r="Z149" s="25" t="str">
        <f t="shared" ca="1" si="44"/>
        <v/>
      </c>
      <c r="AB149" s="20"/>
      <c r="AC149" s="89">
        <f ca="1">Function!AH149</f>
        <v>0</v>
      </c>
      <c r="AD149" s="96">
        <f t="shared" ca="1" si="60"/>
        <v>0</v>
      </c>
      <c r="AF149" s="48">
        <f t="shared" ca="1" si="61"/>
        <v>0</v>
      </c>
      <c r="AH149" s="48">
        <f t="shared" ca="1" si="53"/>
        <v>0</v>
      </c>
      <c r="AJ149" s="48">
        <f t="shared" ca="1" si="54"/>
        <v>0</v>
      </c>
      <c r="AK149" s="31">
        <f t="shared" ca="1" si="54"/>
        <v>0</v>
      </c>
      <c r="AL149" s="48">
        <f t="shared" ca="1" si="54"/>
        <v>0</v>
      </c>
      <c r="AN149" s="48">
        <f t="shared" ca="1" si="42"/>
        <v>0</v>
      </c>
    </row>
    <row r="150" spans="2:40" ht="13" x14ac:dyDescent="0.3">
      <c r="D150" s="1" t="s">
        <v>134</v>
      </c>
      <c r="N150" s="18"/>
      <c r="Z150" s="25" t="str">
        <f t="shared" si="44"/>
        <v/>
      </c>
      <c r="AB150" s="20"/>
      <c r="AF150" s="48">
        <f t="shared" si="61"/>
        <v>0</v>
      </c>
      <c r="AH150" s="48">
        <f t="shared" si="53"/>
        <v>0</v>
      </c>
      <c r="AJ150" s="48">
        <f t="shared" si="54"/>
        <v>0</v>
      </c>
      <c r="AK150" s="31">
        <f t="shared" si="54"/>
        <v>0</v>
      </c>
      <c r="AL150" s="48">
        <f t="shared" si="54"/>
        <v>0</v>
      </c>
      <c r="AN150" s="48">
        <f t="shared" si="42"/>
        <v>0</v>
      </c>
    </row>
    <row r="151" spans="2:40" ht="13" x14ac:dyDescent="0.3">
      <c r="B151" s="18">
        <f>B149+1</f>
        <v>93</v>
      </c>
      <c r="D151" s="35" t="s">
        <v>111</v>
      </c>
      <c r="F151" s="48">
        <f ca="1">Function!R151</f>
        <v>0</v>
      </c>
      <c r="H151" s="76"/>
      <c r="K151" s="70">
        <f>_xlfn.IFNA(MATCH(J151,'Stor Factors'!$B$13:$B$244,0),0)</f>
        <v>0</v>
      </c>
      <c r="L151" s="48">
        <f t="shared" ref="L151:L160" ca="1" si="63">F151-H151</f>
        <v>0</v>
      </c>
      <c r="N151" s="18"/>
      <c r="O151" s="70">
        <f>_xlfn.IFNA(MATCH(N151,'Stor Factors'!$B$13:$B$244,0),0)</f>
        <v>0</v>
      </c>
      <c r="P151" s="20">
        <f ca="1">OFFSET('Stor Factors'!$B$13,$O151-1,P$14)*$L151+OFFSET('Stor Factors'!$B$13,$K151-1,P$14)*$H151</f>
        <v>0</v>
      </c>
      <c r="R151" s="20">
        <f ca="1">OFFSET('Stor Factors'!$B$13,$O151-1,R$14)*$L151+OFFSET('Stor Factors'!$B$13,$K151-1,R$14)*$H151</f>
        <v>0</v>
      </c>
      <c r="S151" s="20"/>
      <c r="T151" s="20">
        <f ca="1">OFFSET('Stor Factors'!$B$13,$O151-1,T$14)*$L151+OFFSET('Stor Factors'!$B$13,$K151-1,T$14)*$H151</f>
        <v>0</v>
      </c>
      <c r="U151" s="20"/>
      <c r="V151" s="20">
        <f ca="1">OFFSET('Stor Factors'!$B$13,$O151-1,V$14)*$L151+OFFSET('Stor Factors'!$B$13,$K151-1,V$14)*$H151</f>
        <v>0</v>
      </c>
      <c r="X151" s="9">
        <f t="shared" ref="X151:X157" ca="1" si="64">P151+R151+T151+V151</f>
        <v>0</v>
      </c>
      <c r="Z151" s="25" t="str">
        <f t="shared" ca="1" si="44"/>
        <v/>
      </c>
      <c r="AB151" s="20"/>
      <c r="AC151" s="89">
        <f ca="1">Function!AH151</f>
        <v>0</v>
      </c>
      <c r="AD151" s="96">
        <f t="shared" ref="AD151:AD157" ca="1" si="65">IFERROR(AC151/F151,0)</f>
        <v>0</v>
      </c>
      <c r="AF151" s="48">
        <f t="shared" ca="1" si="61"/>
        <v>0</v>
      </c>
      <c r="AH151" s="48">
        <f t="shared" ca="1" si="53"/>
        <v>0</v>
      </c>
      <c r="AJ151" s="48">
        <f t="shared" ca="1" si="54"/>
        <v>0</v>
      </c>
      <c r="AK151" s="31">
        <f t="shared" ca="1" si="54"/>
        <v>0</v>
      </c>
      <c r="AL151" s="48">
        <f t="shared" ca="1" si="54"/>
        <v>0</v>
      </c>
      <c r="AN151" s="48">
        <f t="shared" ca="1" si="42"/>
        <v>0</v>
      </c>
    </row>
    <row r="152" spans="2:40" ht="13" x14ac:dyDescent="0.3">
      <c r="B152" s="18">
        <f>B151+1</f>
        <v>94</v>
      </c>
      <c r="D152" s="35" t="s">
        <v>136</v>
      </c>
      <c r="F152" s="48">
        <f ca="1">Function!R152</f>
        <v>0</v>
      </c>
      <c r="H152" s="76"/>
      <c r="K152" s="70">
        <f>_xlfn.IFNA(MATCH(J152,'Stor Factors'!$B$13:$B$244,0),0)</f>
        <v>0</v>
      </c>
      <c r="L152" s="48">
        <f t="shared" ca="1" si="63"/>
        <v>0</v>
      </c>
      <c r="N152" s="18"/>
      <c r="O152" s="70">
        <f>_xlfn.IFNA(MATCH(N152,'Stor Factors'!$B$13:$B$244,0),0)</f>
        <v>0</v>
      </c>
      <c r="P152" s="20">
        <f ca="1">OFFSET('Stor Factors'!$B$13,$O152-1,P$14)*$L152+OFFSET('Stor Factors'!$B$13,$K152-1,P$14)*$H152</f>
        <v>0</v>
      </c>
      <c r="R152" s="20">
        <f ca="1">OFFSET('Stor Factors'!$B$13,$O152-1,R$14)*$L152+OFFSET('Stor Factors'!$B$13,$K152-1,R$14)*$H152</f>
        <v>0</v>
      </c>
      <c r="S152" s="20"/>
      <c r="T152" s="20">
        <f ca="1">OFFSET('Stor Factors'!$B$13,$O152-1,T$14)*$L152+OFFSET('Stor Factors'!$B$13,$K152-1,T$14)*$H152</f>
        <v>0</v>
      </c>
      <c r="U152" s="20"/>
      <c r="V152" s="20">
        <f ca="1">OFFSET('Stor Factors'!$B$13,$O152-1,V$14)*$L152+OFFSET('Stor Factors'!$B$13,$K152-1,V$14)*$H152</f>
        <v>0</v>
      </c>
      <c r="X152" s="9">
        <f t="shared" ca="1" si="64"/>
        <v>0</v>
      </c>
      <c r="Z152" s="25" t="str">
        <f t="shared" ca="1" si="44"/>
        <v/>
      </c>
      <c r="AB152" s="20"/>
      <c r="AC152" s="89">
        <f ca="1">Function!AH152</f>
        <v>0</v>
      </c>
      <c r="AD152" s="96">
        <f t="shared" ca="1" si="65"/>
        <v>0</v>
      </c>
      <c r="AF152" s="48">
        <f t="shared" ca="1" si="61"/>
        <v>0</v>
      </c>
      <c r="AH152" s="48">
        <f t="shared" ca="1" si="53"/>
        <v>0</v>
      </c>
      <c r="AJ152" s="48">
        <f t="shared" ca="1" si="54"/>
        <v>0</v>
      </c>
      <c r="AK152" s="31">
        <f t="shared" ca="1" si="54"/>
        <v>0</v>
      </c>
      <c r="AL152" s="48">
        <f t="shared" ca="1" si="54"/>
        <v>0</v>
      </c>
      <c r="AN152" s="48">
        <f t="shared" ca="1" si="42"/>
        <v>0</v>
      </c>
    </row>
    <row r="153" spans="2:40" ht="13" x14ac:dyDescent="0.3">
      <c r="B153" s="18">
        <f>B152+1</f>
        <v>95</v>
      </c>
      <c r="D153" s="35" t="s">
        <v>137</v>
      </c>
      <c r="F153" s="48">
        <f ca="1">Function!R153</f>
        <v>0</v>
      </c>
      <c r="H153" s="76"/>
      <c r="K153" s="70">
        <f>_xlfn.IFNA(MATCH(J153,'Stor Factors'!$B$13:$B$244,0),0)</f>
        <v>0</v>
      </c>
      <c r="L153" s="48">
        <f t="shared" ca="1" si="63"/>
        <v>0</v>
      </c>
      <c r="N153" s="18"/>
      <c r="O153" s="70">
        <f>_xlfn.IFNA(MATCH(N153,'Stor Factors'!$B$13:$B$244,0),0)</f>
        <v>0</v>
      </c>
      <c r="P153" s="20">
        <f ca="1">OFFSET('Stor Factors'!$B$13,$O153-1,P$14)*$L153+OFFSET('Stor Factors'!$B$13,$K153-1,P$14)*$H153</f>
        <v>0</v>
      </c>
      <c r="R153" s="20">
        <f ca="1">OFFSET('Stor Factors'!$B$13,$O153-1,R$14)*$L153+OFFSET('Stor Factors'!$B$13,$K153-1,R$14)*$H153</f>
        <v>0</v>
      </c>
      <c r="S153" s="20"/>
      <c r="T153" s="20">
        <f ca="1">OFFSET('Stor Factors'!$B$13,$O153-1,T$14)*$L153+OFFSET('Stor Factors'!$B$13,$K153-1,T$14)*$H153</f>
        <v>0</v>
      </c>
      <c r="U153" s="20"/>
      <c r="V153" s="20">
        <f ca="1">OFFSET('Stor Factors'!$B$13,$O153-1,V$14)*$L153+OFFSET('Stor Factors'!$B$13,$K153-1,V$14)*$H153</f>
        <v>0</v>
      </c>
      <c r="X153" s="9">
        <f t="shared" ca="1" si="64"/>
        <v>0</v>
      </c>
      <c r="Z153" s="25" t="str">
        <f t="shared" ca="1" si="44"/>
        <v/>
      </c>
      <c r="AB153" s="20"/>
      <c r="AC153" s="89">
        <f ca="1">Function!AH153</f>
        <v>0</v>
      </c>
      <c r="AD153" s="96">
        <f t="shared" ca="1" si="65"/>
        <v>0</v>
      </c>
      <c r="AF153" s="48">
        <f t="shared" ca="1" si="61"/>
        <v>0</v>
      </c>
      <c r="AH153" s="48">
        <f t="shared" ca="1" si="53"/>
        <v>0</v>
      </c>
      <c r="AJ153" s="48">
        <f t="shared" ca="1" si="54"/>
        <v>0</v>
      </c>
      <c r="AK153" s="31">
        <f t="shared" ca="1" si="54"/>
        <v>0</v>
      </c>
      <c r="AL153" s="48">
        <f t="shared" ca="1" si="54"/>
        <v>0</v>
      </c>
      <c r="AN153" s="48">
        <f t="shared" ca="1" si="42"/>
        <v>0</v>
      </c>
    </row>
    <row r="154" spans="2:40" ht="13" x14ac:dyDescent="0.3">
      <c r="B154" s="18">
        <f t="shared" ref="B154:B157" si="66">B153+1</f>
        <v>96</v>
      </c>
      <c r="D154" s="35" t="s">
        <v>138</v>
      </c>
      <c r="F154" s="48">
        <f ca="1">Function!R154</f>
        <v>0</v>
      </c>
      <c r="H154" s="76"/>
      <c r="K154" s="70">
        <f>_xlfn.IFNA(MATCH(J154,'Stor Factors'!$B$13:$B$244,0),0)</f>
        <v>0</v>
      </c>
      <c r="L154" s="48">
        <f t="shared" ca="1" si="63"/>
        <v>0</v>
      </c>
      <c r="N154" s="18"/>
      <c r="O154" s="70">
        <f>_xlfn.IFNA(MATCH(N154,'Stor Factors'!$B$13:$B$244,0),0)</f>
        <v>0</v>
      </c>
      <c r="P154" s="20">
        <f ca="1">OFFSET('Stor Factors'!$B$13,$O154-1,P$14)*$L154+OFFSET('Stor Factors'!$B$13,$K154-1,P$14)*$H154</f>
        <v>0</v>
      </c>
      <c r="R154" s="20">
        <f ca="1">OFFSET('Stor Factors'!$B$13,$O154-1,R$14)*$L154+OFFSET('Stor Factors'!$B$13,$K154-1,R$14)*$H154</f>
        <v>0</v>
      </c>
      <c r="S154" s="20"/>
      <c r="T154" s="20">
        <f ca="1">OFFSET('Stor Factors'!$B$13,$O154-1,T$14)*$L154+OFFSET('Stor Factors'!$B$13,$K154-1,T$14)*$H154</f>
        <v>0</v>
      </c>
      <c r="U154" s="20"/>
      <c r="V154" s="20">
        <f ca="1">OFFSET('Stor Factors'!$B$13,$O154-1,V$14)*$L154+OFFSET('Stor Factors'!$B$13,$K154-1,V$14)*$H154</f>
        <v>0</v>
      </c>
      <c r="X154" s="9">
        <f t="shared" ca="1" si="64"/>
        <v>0</v>
      </c>
      <c r="Z154" s="25" t="str">
        <f t="shared" ca="1" si="44"/>
        <v/>
      </c>
      <c r="AB154" s="20"/>
      <c r="AC154" s="89">
        <f ca="1">Function!AH154</f>
        <v>0</v>
      </c>
      <c r="AD154" s="96">
        <f t="shared" ca="1" si="65"/>
        <v>0</v>
      </c>
      <c r="AF154" s="48">
        <f t="shared" ca="1" si="61"/>
        <v>0</v>
      </c>
      <c r="AH154" s="48">
        <f t="shared" ca="1" si="53"/>
        <v>0</v>
      </c>
      <c r="AJ154" s="48">
        <f t="shared" ca="1" si="54"/>
        <v>0</v>
      </c>
      <c r="AK154" s="31">
        <f t="shared" ca="1" si="54"/>
        <v>0</v>
      </c>
      <c r="AL154" s="48">
        <f t="shared" ca="1" si="54"/>
        <v>0</v>
      </c>
      <c r="AN154" s="48">
        <f t="shared" ca="1" si="42"/>
        <v>0</v>
      </c>
    </row>
    <row r="155" spans="2:40" ht="13" x14ac:dyDescent="0.3">
      <c r="B155" s="18">
        <f t="shared" si="66"/>
        <v>97</v>
      </c>
      <c r="D155" s="35" t="s">
        <v>139</v>
      </c>
      <c r="F155" s="48">
        <f ca="1">Function!R155</f>
        <v>0</v>
      </c>
      <c r="H155" s="76"/>
      <c r="K155" s="70">
        <f>_xlfn.IFNA(MATCH(J155,'Stor Factors'!$B$13:$B$244,0),0)</f>
        <v>0</v>
      </c>
      <c r="L155" s="48">
        <f t="shared" ca="1" si="63"/>
        <v>0</v>
      </c>
      <c r="N155" s="18"/>
      <c r="O155" s="70">
        <f>_xlfn.IFNA(MATCH(N155,'Stor Factors'!$B$13:$B$244,0),0)</f>
        <v>0</v>
      </c>
      <c r="P155" s="20">
        <f ca="1">OFFSET('Stor Factors'!$B$13,$O155-1,P$14)*$L155+OFFSET('Stor Factors'!$B$13,$K155-1,P$14)*$H155</f>
        <v>0</v>
      </c>
      <c r="R155" s="20">
        <f ca="1">OFFSET('Stor Factors'!$B$13,$O155-1,R$14)*$L155+OFFSET('Stor Factors'!$B$13,$K155-1,R$14)*$H155</f>
        <v>0</v>
      </c>
      <c r="S155" s="20"/>
      <c r="T155" s="20">
        <f ca="1">OFFSET('Stor Factors'!$B$13,$O155-1,T$14)*$L155+OFFSET('Stor Factors'!$B$13,$K155-1,T$14)*$H155</f>
        <v>0</v>
      </c>
      <c r="U155" s="20"/>
      <c r="V155" s="20">
        <f ca="1">OFFSET('Stor Factors'!$B$13,$O155-1,V$14)*$L155+OFFSET('Stor Factors'!$B$13,$K155-1,V$14)*$H155</f>
        <v>0</v>
      </c>
      <c r="X155" s="9">
        <f t="shared" ca="1" si="64"/>
        <v>0</v>
      </c>
      <c r="Z155" s="25" t="str">
        <f t="shared" ca="1" si="44"/>
        <v/>
      </c>
      <c r="AB155" s="20"/>
      <c r="AC155" s="89">
        <f ca="1">Function!AH155</f>
        <v>0</v>
      </c>
      <c r="AD155" s="96">
        <f t="shared" ca="1" si="65"/>
        <v>0</v>
      </c>
      <c r="AF155" s="48">
        <f t="shared" ca="1" si="61"/>
        <v>0</v>
      </c>
      <c r="AH155" s="48">
        <f t="shared" ca="1" si="53"/>
        <v>0</v>
      </c>
      <c r="AJ155" s="48">
        <f t="shared" ca="1" si="54"/>
        <v>0</v>
      </c>
      <c r="AK155" s="31">
        <f t="shared" ca="1" si="54"/>
        <v>0</v>
      </c>
      <c r="AL155" s="48">
        <f t="shared" ca="1" si="54"/>
        <v>0</v>
      </c>
      <c r="AN155" s="48">
        <f t="shared" ca="1" si="42"/>
        <v>0</v>
      </c>
    </row>
    <row r="156" spans="2:40" ht="13" x14ac:dyDescent="0.3">
      <c r="B156" s="18">
        <f t="shared" si="66"/>
        <v>98</v>
      </c>
      <c r="D156" s="35" t="s">
        <v>140</v>
      </c>
      <c r="F156" s="48">
        <f ca="1">Function!R156</f>
        <v>0</v>
      </c>
      <c r="H156" s="76"/>
      <c r="K156" s="70">
        <f>_xlfn.IFNA(MATCH(J156,'Stor Factors'!$B$13:$B$244,0),0)</f>
        <v>0</v>
      </c>
      <c r="L156" s="48">
        <f t="shared" ca="1" si="63"/>
        <v>0</v>
      </c>
      <c r="N156" s="18"/>
      <c r="O156" s="70">
        <f>_xlfn.IFNA(MATCH(N156,'Stor Factors'!$B$13:$B$244,0),0)</f>
        <v>0</v>
      </c>
      <c r="P156" s="20">
        <f ca="1">OFFSET('Stor Factors'!$B$13,$O156-1,P$14)*$L156+OFFSET('Stor Factors'!$B$13,$K156-1,P$14)*$H156</f>
        <v>0</v>
      </c>
      <c r="R156" s="20">
        <f ca="1">OFFSET('Stor Factors'!$B$13,$O156-1,R$14)*$L156+OFFSET('Stor Factors'!$B$13,$K156-1,R$14)*$H156</f>
        <v>0</v>
      </c>
      <c r="S156" s="20"/>
      <c r="T156" s="20">
        <f ca="1">OFFSET('Stor Factors'!$B$13,$O156-1,T$14)*$L156+OFFSET('Stor Factors'!$B$13,$K156-1,T$14)*$H156</f>
        <v>0</v>
      </c>
      <c r="U156" s="20"/>
      <c r="V156" s="20">
        <f ca="1">OFFSET('Stor Factors'!$B$13,$O156-1,V$14)*$L156+OFFSET('Stor Factors'!$B$13,$K156-1,V$14)*$H156</f>
        <v>0</v>
      </c>
      <c r="X156" s="9">
        <f t="shared" ca="1" si="64"/>
        <v>0</v>
      </c>
      <c r="Z156" s="25" t="str">
        <f t="shared" ca="1" si="44"/>
        <v/>
      </c>
      <c r="AB156" s="20"/>
      <c r="AC156" s="89">
        <f ca="1">Function!AH156</f>
        <v>0</v>
      </c>
      <c r="AD156" s="96">
        <f t="shared" ca="1" si="65"/>
        <v>0</v>
      </c>
      <c r="AF156" s="48">
        <f t="shared" ca="1" si="61"/>
        <v>0</v>
      </c>
      <c r="AH156" s="48">
        <f t="shared" ca="1" si="53"/>
        <v>0</v>
      </c>
      <c r="AJ156" s="48">
        <f t="shared" ca="1" si="54"/>
        <v>0</v>
      </c>
      <c r="AK156" s="31">
        <f t="shared" ca="1" si="54"/>
        <v>0</v>
      </c>
      <c r="AL156" s="48">
        <f t="shared" ca="1" si="54"/>
        <v>0</v>
      </c>
      <c r="AN156" s="48">
        <f t="shared" ca="1" si="42"/>
        <v>0</v>
      </c>
    </row>
    <row r="157" spans="2:40" ht="13" x14ac:dyDescent="0.3">
      <c r="B157" s="18">
        <f t="shared" si="66"/>
        <v>99</v>
      </c>
      <c r="D157" s="35" t="s">
        <v>141</v>
      </c>
      <c r="F157" s="48">
        <f ca="1">Function!R157</f>
        <v>0</v>
      </c>
      <c r="H157" s="76"/>
      <c r="K157" s="70">
        <f>_xlfn.IFNA(MATCH(J157,'Stor Factors'!$B$13:$B$244,0),0)</f>
        <v>0</v>
      </c>
      <c r="L157" s="48">
        <f t="shared" ca="1" si="63"/>
        <v>0</v>
      </c>
      <c r="N157" s="18"/>
      <c r="O157" s="70">
        <f>_xlfn.IFNA(MATCH(N157,'Stor Factors'!$B$13:$B$244,0),0)</f>
        <v>0</v>
      </c>
      <c r="P157" s="20">
        <f ca="1">OFFSET('Stor Factors'!$B$13,$O157-1,P$14)*$L157+OFFSET('Stor Factors'!$B$13,$K157-1,P$14)*$H157</f>
        <v>0</v>
      </c>
      <c r="R157" s="20">
        <f ca="1">OFFSET('Stor Factors'!$B$13,$O157-1,R$14)*$L157+OFFSET('Stor Factors'!$B$13,$K157-1,R$14)*$H157</f>
        <v>0</v>
      </c>
      <c r="S157" s="20"/>
      <c r="T157" s="20">
        <f ca="1">OFFSET('Stor Factors'!$B$13,$O157-1,T$14)*$L157+OFFSET('Stor Factors'!$B$13,$K157-1,T$14)*$H157</f>
        <v>0</v>
      </c>
      <c r="U157" s="20"/>
      <c r="V157" s="20">
        <f ca="1">OFFSET('Stor Factors'!$B$13,$O157-1,V$14)*$L157+OFFSET('Stor Factors'!$B$13,$K157-1,V$14)*$H157</f>
        <v>0</v>
      </c>
      <c r="X157" s="9">
        <f t="shared" ca="1" si="64"/>
        <v>0</v>
      </c>
      <c r="Z157" s="25" t="str">
        <f t="shared" ca="1" si="44"/>
        <v/>
      </c>
      <c r="AB157" s="20"/>
      <c r="AC157" s="89">
        <f ca="1">Function!AH157</f>
        <v>0</v>
      </c>
      <c r="AD157" s="96">
        <f t="shared" ca="1" si="65"/>
        <v>0</v>
      </c>
      <c r="AF157" s="48">
        <f t="shared" ca="1" si="61"/>
        <v>0</v>
      </c>
      <c r="AH157" s="48">
        <f t="shared" ca="1" si="53"/>
        <v>0</v>
      </c>
      <c r="AJ157" s="48">
        <f t="shared" ca="1" si="54"/>
        <v>0</v>
      </c>
      <c r="AK157" s="31">
        <f t="shared" ca="1" si="54"/>
        <v>0</v>
      </c>
      <c r="AL157" s="48">
        <f t="shared" ca="1" si="54"/>
        <v>0</v>
      </c>
      <c r="AN157" s="48">
        <f t="shared" ca="1" si="42"/>
        <v>0</v>
      </c>
    </row>
    <row r="158" spans="2:40" ht="13" x14ac:dyDescent="0.3">
      <c r="D158" s="1" t="s">
        <v>143</v>
      </c>
      <c r="N158" s="18"/>
      <c r="P158" s="20"/>
      <c r="R158" s="20"/>
      <c r="S158" s="20"/>
      <c r="T158" s="20"/>
      <c r="U158" s="20"/>
      <c r="V158" s="20"/>
      <c r="X158" s="9"/>
      <c r="Z158" s="25" t="str">
        <f t="shared" si="44"/>
        <v/>
      </c>
      <c r="AB158" s="20"/>
      <c r="AF158" s="48">
        <f t="shared" si="61"/>
        <v>0</v>
      </c>
      <c r="AH158" s="48">
        <f t="shared" si="53"/>
        <v>0</v>
      </c>
      <c r="AJ158" s="48">
        <f t="shared" si="54"/>
        <v>0</v>
      </c>
      <c r="AK158" s="31">
        <f t="shared" si="54"/>
        <v>0</v>
      </c>
      <c r="AL158" s="48">
        <f t="shared" si="54"/>
        <v>0</v>
      </c>
      <c r="AN158" s="48">
        <f t="shared" si="42"/>
        <v>0</v>
      </c>
    </row>
    <row r="159" spans="2:40" ht="13" x14ac:dyDescent="0.3">
      <c r="B159" s="18">
        <f>B157+1</f>
        <v>100</v>
      </c>
      <c r="D159" s="35" t="s">
        <v>144</v>
      </c>
      <c r="F159" s="48">
        <f ca="1">Function!R159</f>
        <v>10406.168494020048</v>
      </c>
      <c r="H159" s="76"/>
      <c r="K159" s="70">
        <f>_xlfn.IFNA(MATCH(J159,'Stor Factors'!$B$13:$B$244,0),0)</f>
        <v>0</v>
      </c>
      <c r="L159" s="48">
        <f t="shared" ca="1" si="63"/>
        <v>10406.168494020048</v>
      </c>
      <c r="N159" s="18" t="s">
        <v>226</v>
      </c>
      <c r="O159" s="70">
        <f>_xlfn.IFNA(MATCH(N159,'Stor Factors'!$B$13:$B$244,0),0)</f>
        <v>48</v>
      </c>
      <c r="P159" s="20">
        <f ca="1">OFFSET('Stor Factors'!$B$13,$O159-1,P$14)*$L159+OFFSET('Stor Factors'!$B$13,$K159-1,P$14)*$H159</f>
        <v>7367.8795497630008</v>
      </c>
      <c r="R159" s="20">
        <f ca="1">OFFSET('Stor Factors'!$B$13,$O159-1,R$14)*$L159+OFFSET('Stor Factors'!$B$13,$K159-1,R$14)*$H159</f>
        <v>2800.5498046649577</v>
      </c>
      <c r="S159" s="20"/>
      <c r="T159" s="20">
        <f ca="1">OFFSET('Stor Factors'!$B$13,$O159-1,T$14)*$L159+OFFSET('Stor Factors'!$B$13,$K159-1,T$14)*$H159</f>
        <v>237.73913959209011</v>
      </c>
      <c r="U159" s="20"/>
      <c r="V159" s="20">
        <f ca="1">OFFSET('Stor Factors'!$B$13,$O159-1,V$14)*$L159+OFFSET('Stor Factors'!$B$13,$K159-1,V$14)*$H159</f>
        <v>0</v>
      </c>
      <c r="X159" s="9">
        <f t="shared" ref="X159:X160" ca="1" si="67">P159+R159+T159+V159</f>
        <v>10406.168494020048</v>
      </c>
      <c r="Z159" s="25" t="str">
        <f t="shared" ca="1" si="44"/>
        <v/>
      </c>
      <c r="AB159" s="20"/>
      <c r="AC159" s="89">
        <f>Function!AH159</f>
        <v>0</v>
      </c>
      <c r="AD159" s="96"/>
      <c r="AF159" s="48"/>
      <c r="AH159" s="48"/>
      <c r="AJ159" s="48"/>
      <c r="AL159" s="48"/>
      <c r="AN159" s="48"/>
    </row>
    <row r="160" spans="2:40" ht="13" x14ac:dyDescent="0.3">
      <c r="B160" s="18">
        <f>B159+1</f>
        <v>101</v>
      </c>
      <c r="D160" s="35" t="s">
        <v>147</v>
      </c>
      <c r="F160" s="48">
        <f ca="1">Function!R160</f>
        <v>13722.899779797006</v>
      </c>
      <c r="H160" s="37"/>
      <c r="K160" s="70">
        <f>_xlfn.IFNA(MATCH(J160,'Stor Factors'!$B$13:$B$244,0),0)</f>
        <v>0</v>
      </c>
      <c r="L160" s="48">
        <f t="shared" ca="1" si="63"/>
        <v>13722.899779797006</v>
      </c>
      <c r="N160" s="18" t="s">
        <v>227</v>
      </c>
      <c r="O160" s="70">
        <f>_xlfn.IFNA(MATCH(N160,'Stor Factors'!$B$13:$B$244,0),0)</f>
        <v>54</v>
      </c>
      <c r="P160" s="20">
        <f ca="1">OFFSET('Stor Factors'!$B$13,$O160-1,P$14)*$L160+OFFSET('Stor Factors'!$B$13,$K160-1,P$14)*$H160</f>
        <v>9545.8875453148648</v>
      </c>
      <c r="R160" s="20">
        <f ca="1">OFFSET('Stor Factors'!$B$13,$O160-1,R$14)*$L160+OFFSET('Stor Factors'!$B$13,$K160-1,R$14)*$H160</f>
        <v>3850.1706098340132</v>
      </c>
      <c r="S160" s="22"/>
      <c r="T160" s="20">
        <f ca="1">OFFSET('Stor Factors'!$B$13,$O160-1,T$14)*$L160+OFFSET('Stor Factors'!$B$13,$K160-1,T$14)*$H160</f>
        <v>326.84162464812761</v>
      </c>
      <c r="U160" s="22"/>
      <c r="V160" s="20">
        <f ca="1">OFFSET('Stor Factors'!$B$13,$O160-1,V$14)*$L160+OFFSET('Stor Factors'!$B$13,$K160-1,V$14)*$H160</f>
        <v>0</v>
      </c>
      <c r="X160" s="13">
        <f t="shared" ca="1" si="67"/>
        <v>13722.899779797006</v>
      </c>
      <c r="Z160" s="25" t="str">
        <f t="shared" ca="1" si="44"/>
        <v/>
      </c>
      <c r="AB160" s="20"/>
      <c r="AC160" s="89">
        <f>Function!AH160</f>
        <v>7866.4838935195812</v>
      </c>
      <c r="AD160" s="96">
        <f t="shared" ref="AD160" ca="1" si="68">IFERROR(AC160/F160,0)</f>
        <v>0.57323772815864327</v>
      </c>
      <c r="AF160" s="48">
        <f t="shared" ca="1" si="61"/>
        <v>5472.0628897341812</v>
      </c>
      <c r="AH160" s="48">
        <f t="shared" ca="1" si="53"/>
        <v>2207.063053404428</v>
      </c>
      <c r="AJ160" s="48">
        <f t="shared" ca="1" si="54"/>
        <v>187.35795038097268</v>
      </c>
      <c r="AK160" s="31">
        <f t="shared" ca="1" si="54"/>
        <v>0</v>
      </c>
      <c r="AL160" s="48">
        <f t="shared" ca="1" si="54"/>
        <v>0</v>
      </c>
      <c r="AN160" s="48">
        <f t="shared" ca="1" si="42"/>
        <v>7866.4838935195821</v>
      </c>
    </row>
    <row r="161" spans="2:40" ht="13" x14ac:dyDescent="0.3">
      <c r="N161" s="18"/>
      <c r="S161" s="20"/>
      <c r="U161" s="20"/>
      <c r="Z161" s="25" t="str">
        <f t="shared" si="44"/>
        <v/>
      </c>
      <c r="AB161" s="20"/>
    </row>
    <row r="162" spans="2:40" ht="13" x14ac:dyDescent="0.3">
      <c r="B162" s="18">
        <f>B160+1</f>
        <v>102</v>
      </c>
      <c r="D162" s="1" t="s">
        <v>150</v>
      </c>
      <c r="F162" s="78">
        <f ca="1">SUM(F116:F160)</f>
        <v>83789.27223971051</v>
      </c>
      <c r="H162" s="78">
        <f ca="1">SUM(H115:H160)</f>
        <v>2341.028111287892</v>
      </c>
      <c r="L162" s="78">
        <f ca="1">SUM(L116:L160)</f>
        <v>81448.244128422622</v>
      </c>
      <c r="P162" s="11">
        <f ca="1">SUM(P115:P160)</f>
        <v>49499.528677272399</v>
      </c>
      <c r="R162" s="11">
        <f ca="1">SUM(R115:R160)</f>
        <v>18810.678058975769</v>
      </c>
      <c r="S162" s="20"/>
      <c r="T162" s="11">
        <f ca="1">SUM(T115:T160)</f>
        <v>1343.4780311613576</v>
      </c>
      <c r="U162" s="20"/>
      <c r="V162" s="11">
        <f ca="1">SUM(V115:V160)</f>
        <v>14135.587472300971</v>
      </c>
      <c r="X162" s="11">
        <f ca="1">SUM(X115:X160)</f>
        <v>83789.27223971051</v>
      </c>
      <c r="Z162" s="25" t="str">
        <f ca="1">IF(ROUND(F162,4)=ROUND(X162,4), "", "check")</f>
        <v/>
      </c>
      <c r="AB162" s="20"/>
      <c r="AC162" s="90">
        <f ca="1">SUM(AC116:AC161)</f>
        <v>18114.010056501611</v>
      </c>
      <c r="AF162" s="90">
        <f ca="1">SUM(AF116:AF161)</f>
        <v>12825.262663793501</v>
      </c>
      <c r="AH162" s="90">
        <f ca="1">SUM(AH116:AH161)</f>
        <v>4874.9150424180061</v>
      </c>
      <c r="AJ162" s="90">
        <f ca="1">SUM(AJ116:AJ161)</f>
        <v>413.83235029010513</v>
      </c>
      <c r="AL162" s="90">
        <f ca="1">SUM(AL116:AL161)</f>
        <v>0</v>
      </c>
      <c r="AN162" s="90">
        <f ca="1">SUM(AN116:AN161)</f>
        <v>18114.010056501611</v>
      </c>
    </row>
    <row r="163" spans="2:40" ht="13" x14ac:dyDescent="0.3">
      <c r="S163" s="20"/>
      <c r="U163" s="20"/>
      <c r="Z163" s="25" t="str">
        <f t="shared" si="44"/>
        <v/>
      </c>
      <c r="AB163" s="20"/>
    </row>
    <row r="164" spans="2:40" ht="13" x14ac:dyDescent="0.3">
      <c r="B164" s="18">
        <f>B162+1</f>
        <v>103</v>
      </c>
      <c r="D164" s="1" t="s">
        <v>151</v>
      </c>
      <c r="F164" s="80">
        <f ca="1">F162+F104+F109+F108+F97</f>
        <v>193487.49708184868</v>
      </c>
      <c r="H164" s="80">
        <f ca="1">H162+H102+H109+H108+H97</f>
        <v>3486.8164338721635</v>
      </c>
      <c r="L164" s="80">
        <f ca="1">L162+L104+L109+L108+L97</f>
        <v>190000.68064797649</v>
      </c>
      <c r="P164" s="34">
        <f ca="1">P162+P104+P109+P108+P97</f>
        <v>106265.51371986589</v>
      </c>
      <c r="R164" s="34">
        <f ca="1">R162+R104+R109+R108+R97</f>
        <v>67317.433307812898</v>
      </c>
      <c r="S164" s="20"/>
      <c r="T164" s="34">
        <f ca="1">T162+T104+T109+T108+T97</f>
        <v>5768.9625818688937</v>
      </c>
      <c r="U164" s="20"/>
      <c r="V164" s="34">
        <f ca="1">V162+V104+V109+V108+V97</f>
        <v>14135.587472300971</v>
      </c>
      <c r="X164" s="34">
        <f ca="1">X162+X104+X109+X108+X97</f>
        <v>193487.49708184868</v>
      </c>
      <c r="Z164" s="25" t="str">
        <f t="shared" ca="1" si="44"/>
        <v/>
      </c>
      <c r="AB164" s="20"/>
      <c r="AF164" s="99"/>
      <c r="AH164" s="99"/>
      <c r="AJ164" s="99"/>
      <c r="AL164" s="99"/>
      <c r="AN164" s="99"/>
    </row>
    <row r="165" spans="2:40" ht="13" x14ac:dyDescent="0.3">
      <c r="F165" s="48"/>
      <c r="H165" s="48"/>
      <c r="L165" s="48"/>
      <c r="P165" s="21"/>
      <c r="R165" s="21"/>
      <c r="S165" s="20"/>
      <c r="T165" s="21"/>
      <c r="U165" s="20"/>
      <c r="V165" s="21"/>
      <c r="X165" s="21"/>
      <c r="Z165" s="25" t="str">
        <f t="shared" si="44"/>
        <v/>
      </c>
      <c r="AB165" s="20"/>
    </row>
    <row r="166" spans="2:40" ht="13" x14ac:dyDescent="0.3">
      <c r="F166" s="48"/>
      <c r="H166" s="48"/>
      <c r="L166" s="48"/>
      <c r="P166" s="8"/>
      <c r="S166" s="20"/>
      <c r="U166" s="20"/>
      <c r="Z166" s="25" t="str">
        <f t="shared" si="44"/>
        <v/>
      </c>
      <c r="AB166" s="20"/>
      <c r="AH166" s="99"/>
      <c r="AJ166" s="99"/>
      <c r="AL166" s="99"/>
      <c r="AN166" s="99"/>
    </row>
    <row r="167" spans="2:40" ht="13" x14ac:dyDescent="0.3">
      <c r="F167" s="48"/>
      <c r="H167" s="48"/>
      <c r="L167" s="48"/>
      <c r="S167" s="20"/>
      <c r="U167" s="20"/>
      <c r="Z167" s="25" t="str">
        <f t="shared" si="44"/>
        <v/>
      </c>
    </row>
    <row r="168" spans="2:40" ht="13" x14ac:dyDescent="0.3">
      <c r="D168" s="6" t="s">
        <v>152</v>
      </c>
      <c r="S168" s="20"/>
      <c r="U168" s="20"/>
      <c r="Z168" s="25" t="str">
        <f t="shared" si="44"/>
        <v/>
      </c>
    </row>
    <row r="169" spans="2:40" ht="13" x14ac:dyDescent="0.3">
      <c r="D169" s="6"/>
      <c r="F169" s="48"/>
      <c r="H169" s="76"/>
      <c r="K169" s="70"/>
      <c r="L169" s="48"/>
      <c r="O169" s="70"/>
      <c r="P169" s="20"/>
      <c r="R169" s="20"/>
      <c r="S169" s="20"/>
      <c r="T169" s="20"/>
      <c r="U169" s="20"/>
      <c r="V169" s="20"/>
      <c r="X169" s="9"/>
      <c r="Z169" s="25" t="str">
        <f t="shared" si="44"/>
        <v/>
      </c>
      <c r="AB169" s="20"/>
    </row>
    <row r="170" spans="2:40" ht="13" x14ac:dyDescent="0.3">
      <c r="B170" s="18">
        <f>B164+1</f>
        <v>104</v>
      </c>
      <c r="D170" s="1" t="s">
        <v>153</v>
      </c>
      <c r="F170" s="48">
        <f ca="1">Function!R170</f>
        <v>0</v>
      </c>
      <c r="H170" s="76"/>
      <c r="K170" s="70">
        <f>_xlfn.IFNA(MATCH(J170,'Stor Factors'!$B$13:$B$244,0),0)</f>
        <v>0</v>
      </c>
      <c r="L170" s="48">
        <f t="shared" ref="L170:L176" ca="1" si="69">F170-H170</f>
        <v>0</v>
      </c>
      <c r="O170" s="70">
        <f>_xlfn.IFNA(MATCH(N170,'Stor Factors'!$B$13:$B$244,0),0)</f>
        <v>0</v>
      </c>
      <c r="P170" s="20">
        <f ca="1">OFFSET('Stor Factors'!$B$13,$O170-1,P$14)*$L170+OFFSET('Stor Factors'!$B$13,$K170-1,P$14)*$H170</f>
        <v>0</v>
      </c>
      <c r="R170" s="20">
        <f ca="1">OFFSET('Stor Factors'!$B$13,$O170-1,R$14)*$L170+OFFSET('Stor Factors'!$B$13,$K170-1,R$14)*$H170</f>
        <v>0</v>
      </c>
      <c r="S170" s="20"/>
      <c r="T170" s="20">
        <f ca="1">OFFSET('Stor Factors'!$B$13,$O170-1,T$14)*$L170+OFFSET('Stor Factors'!$B$13,$K170-1,T$14)*$H170</f>
        <v>0</v>
      </c>
      <c r="U170" s="20"/>
      <c r="V170" s="20">
        <f ca="1">OFFSET('Stor Factors'!$B$13,$O170-1,V$14)*$L170+OFFSET('Stor Factors'!$B$13,$K170-1,V$14)*$H170</f>
        <v>0</v>
      </c>
      <c r="X170" s="9">
        <f t="shared" ref="X170:X176" ca="1" si="70">P170+R170+T170+V170</f>
        <v>0</v>
      </c>
      <c r="Z170" s="25" t="str">
        <f t="shared" ca="1" si="44"/>
        <v/>
      </c>
      <c r="AB170" s="20"/>
    </row>
    <row r="171" spans="2:40" ht="13" x14ac:dyDescent="0.3">
      <c r="B171" s="18">
        <f t="shared" ref="B171:B176" si="71">B170+1</f>
        <v>105</v>
      </c>
      <c r="D171" s="1" t="s">
        <v>154</v>
      </c>
      <c r="F171" s="48">
        <f ca="1">Function!R171</f>
        <v>0</v>
      </c>
      <c r="H171" s="76"/>
      <c r="J171" s="2"/>
      <c r="K171" s="70">
        <f>_xlfn.IFNA(MATCH(J171,'Stor Factors'!$B$13:$B$244,0),0)</f>
        <v>0</v>
      </c>
      <c r="L171" s="48">
        <f t="shared" ca="1" si="69"/>
        <v>0</v>
      </c>
      <c r="O171" s="70">
        <f>_xlfn.IFNA(MATCH(N171,'Stor Factors'!$B$13:$B$244,0),0)</f>
        <v>0</v>
      </c>
      <c r="P171" s="20">
        <f ca="1">OFFSET('Stor Factors'!$B$13,$O171-1,P$14)*$L171+OFFSET('Stor Factors'!$B$13,$K171-1,P$14)*$H171</f>
        <v>0</v>
      </c>
      <c r="R171" s="20">
        <f ca="1">OFFSET('Stor Factors'!$B$13,$O171-1,R$14)*$L171+OFFSET('Stor Factors'!$B$13,$K171-1,R$14)*$H171</f>
        <v>0</v>
      </c>
      <c r="S171" s="20"/>
      <c r="T171" s="20">
        <f ca="1">OFFSET('Stor Factors'!$B$13,$O171-1,T$14)*$L171+OFFSET('Stor Factors'!$B$13,$K171-1,T$14)*$H171</f>
        <v>0</v>
      </c>
      <c r="U171" s="20"/>
      <c r="V171" s="20">
        <f ca="1">OFFSET('Stor Factors'!$B$13,$O171-1,V$14)*$L171+OFFSET('Stor Factors'!$B$13,$K171-1,V$14)*$H171</f>
        <v>0</v>
      </c>
      <c r="X171" s="9">
        <f t="shared" ca="1" si="70"/>
        <v>0</v>
      </c>
      <c r="Z171" s="25" t="str">
        <f t="shared" ca="1" si="44"/>
        <v/>
      </c>
      <c r="AB171" s="20"/>
    </row>
    <row r="172" spans="2:40" ht="13" x14ac:dyDescent="0.3">
      <c r="B172" s="18">
        <f t="shared" si="71"/>
        <v>106</v>
      </c>
      <c r="D172" s="1" t="s">
        <v>155</v>
      </c>
      <c r="F172" s="48">
        <f ca="1">Function!R172</f>
        <v>0</v>
      </c>
      <c r="H172" s="76"/>
      <c r="J172" s="2"/>
      <c r="K172" s="70">
        <f>_xlfn.IFNA(MATCH(J172,'Stor Factors'!$B$13:$B$244,0),0)</f>
        <v>0</v>
      </c>
      <c r="L172" s="48">
        <f t="shared" ca="1" si="69"/>
        <v>0</v>
      </c>
      <c r="O172" s="70">
        <f>_xlfn.IFNA(MATCH(N172,'Stor Factors'!$B$13:$B$244,0),0)</f>
        <v>0</v>
      </c>
      <c r="P172" s="20">
        <f ca="1">OFFSET('Stor Factors'!$B$13,$O172-1,P$14)*$L172+OFFSET('Stor Factors'!$B$13,$K172-1,P$14)*$H172</f>
        <v>0</v>
      </c>
      <c r="R172" s="20">
        <f ca="1">OFFSET('Stor Factors'!$B$13,$O172-1,R$14)*$L172+OFFSET('Stor Factors'!$B$13,$K172-1,R$14)*$H172</f>
        <v>0</v>
      </c>
      <c r="S172" s="20"/>
      <c r="T172" s="20">
        <f ca="1">OFFSET('Stor Factors'!$B$13,$O172-1,T$14)*$L172+OFFSET('Stor Factors'!$B$13,$K172-1,T$14)*$H172</f>
        <v>0</v>
      </c>
      <c r="U172" s="20"/>
      <c r="V172" s="20">
        <f ca="1">OFFSET('Stor Factors'!$B$13,$O172-1,V$14)*$L172+OFFSET('Stor Factors'!$B$13,$K172-1,V$14)*$H172</f>
        <v>0</v>
      </c>
      <c r="X172" s="9">
        <f t="shared" ca="1" si="70"/>
        <v>0</v>
      </c>
      <c r="Z172" s="25" t="str">
        <f t="shared" ca="1" si="44"/>
        <v/>
      </c>
      <c r="AB172" s="20"/>
    </row>
    <row r="173" spans="2:40" ht="13" x14ac:dyDescent="0.3">
      <c r="B173" s="18">
        <f t="shared" si="71"/>
        <v>107</v>
      </c>
      <c r="D173" s="1" t="s">
        <v>156</v>
      </c>
      <c r="F173" s="48">
        <f ca="1">Function!R173</f>
        <v>0</v>
      </c>
      <c r="H173" s="76"/>
      <c r="J173" s="2"/>
      <c r="K173" s="70">
        <f>_xlfn.IFNA(MATCH(J173,'Stor Factors'!$B$13:$B$244,0),0)</f>
        <v>0</v>
      </c>
      <c r="L173" s="48">
        <f t="shared" ca="1" si="69"/>
        <v>0</v>
      </c>
      <c r="O173" s="70">
        <f>_xlfn.IFNA(MATCH(N173,'Stor Factors'!$B$13:$B$244,0),0)</f>
        <v>0</v>
      </c>
      <c r="P173" s="20">
        <f ca="1">OFFSET('Stor Factors'!$B$13,$O173-1,P$14)*$L173+OFFSET('Stor Factors'!$B$13,$K173-1,P$14)*$H173</f>
        <v>0</v>
      </c>
      <c r="R173" s="20">
        <f ca="1">OFFSET('Stor Factors'!$B$13,$O173-1,R$14)*$L173+OFFSET('Stor Factors'!$B$13,$K173-1,R$14)*$H173</f>
        <v>0</v>
      </c>
      <c r="S173" s="20"/>
      <c r="T173" s="20">
        <f ca="1">OFFSET('Stor Factors'!$B$13,$O173-1,T$14)*$L173+OFFSET('Stor Factors'!$B$13,$K173-1,T$14)*$H173</f>
        <v>0</v>
      </c>
      <c r="U173" s="20"/>
      <c r="V173" s="20">
        <f ca="1">OFFSET('Stor Factors'!$B$13,$O173-1,V$14)*$L173+OFFSET('Stor Factors'!$B$13,$K173-1,V$14)*$H173</f>
        <v>0</v>
      </c>
      <c r="X173" s="9">
        <f t="shared" ca="1" si="70"/>
        <v>0</v>
      </c>
      <c r="Z173" s="25" t="str">
        <f t="shared" ca="1" si="44"/>
        <v/>
      </c>
      <c r="AB173" s="20"/>
    </row>
    <row r="174" spans="2:40" ht="13" x14ac:dyDescent="0.3">
      <c r="B174" s="18">
        <f t="shared" si="71"/>
        <v>108</v>
      </c>
      <c r="D174" s="1" t="s">
        <v>157</v>
      </c>
      <c r="F174" s="48">
        <f ca="1">Function!R174</f>
        <v>0</v>
      </c>
      <c r="H174" s="76"/>
      <c r="J174" s="2"/>
      <c r="K174" s="70">
        <f>_xlfn.IFNA(MATCH(J174,'Stor Factors'!$B$13:$B$244,0),0)</f>
        <v>0</v>
      </c>
      <c r="L174" s="48">
        <f t="shared" ca="1" si="69"/>
        <v>0</v>
      </c>
      <c r="O174" s="70">
        <f>_xlfn.IFNA(MATCH(N174,'Stor Factors'!$B$13:$B$244,0),0)</f>
        <v>0</v>
      </c>
      <c r="P174" s="20">
        <f ca="1">OFFSET('Stor Factors'!$B$13,$O174-1,P$14)*$L174+OFFSET('Stor Factors'!$B$13,$K174-1,P$14)*$H174</f>
        <v>0</v>
      </c>
      <c r="R174" s="20">
        <f ca="1">OFFSET('Stor Factors'!$B$13,$O174-1,R$14)*$L174+OFFSET('Stor Factors'!$B$13,$K174-1,R$14)*$H174</f>
        <v>0</v>
      </c>
      <c r="S174" s="20"/>
      <c r="T174" s="20">
        <f ca="1">OFFSET('Stor Factors'!$B$13,$O174-1,T$14)*$L174+OFFSET('Stor Factors'!$B$13,$K174-1,T$14)*$H174</f>
        <v>0</v>
      </c>
      <c r="U174" s="20"/>
      <c r="V174" s="20">
        <f ca="1">OFFSET('Stor Factors'!$B$13,$O174-1,V$14)*$L174+OFFSET('Stor Factors'!$B$13,$K174-1,V$14)*$H174</f>
        <v>0</v>
      </c>
      <c r="X174" s="9">
        <f t="shared" ca="1" si="70"/>
        <v>0</v>
      </c>
      <c r="Z174" s="25" t="str">
        <f t="shared" ca="1" si="44"/>
        <v/>
      </c>
      <c r="AB174" s="20"/>
    </row>
    <row r="175" spans="2:40" ht="13" x14ac:dyDescent="0.3">
      <c r="B175" s="18">
        <f t="shared" si="71"/>
        <v>109</v>
      </c>
      <c r="D175" s="1" t="s">
        <v>158</v>
      </c>
      <c r="F175" s="48">
        <f ca="1">Function!R175</f>
        <v>0</v>
      </c>
      <c r="H175" s="76"/>
      <c r="J175" s="2"/>
      <c r="K175" s="70">
        <f>_xlfn.IFNA(MATCH(J175,'Stor Factors'!$B$13:$B$244,0),0)</f>
        <v>0</v>
      </c>
      <c r="L175" s="48">
        <f t="shared" ca="1" si="69"/>
        <v>0</v>
      </c>
      <c r="O175" s="70">
        <f>_xlfn.IFNA(MATCH(N175,'Stor Factors'!$B$13:$B$244,0),0)</f>
        <v>0</v>
      </c>
      <c r="P175" s="20">
        <f ca="1">OFFSET('Stor Factors'!$B$13,$O175-1,P$14)*$L175+OFFSET('Stor Factors'!$B$13,$K175-1,P$14)*$H175</f>
        <v>0</v>
      </c>
      <c r="R175" s="20">
        <f ca="1">OFFSET('Stor Factors'!$B$13,$O175-1,R$14)*$L175+OFFSET('Stor Factors'!$B$13,$K175-1,R$14)*$H175</f>
        <v>0</v>
      </c>
      <c r="S175" s="20"/>
      <c r="T175" s="20">
        <f ca="1">OFFSET('Stor Factors'!$B$13,$O175-1,T$14)*$L175+OFFSET('Stor Factors'!$B$13,$K175-1,T$14)*$H175</f>
        <v>0</v>
      </c>
      <c r="U175" s="20"/>
      <c r="V175" s="20">
        <f ca="1">OFFSET('Stor Factors'!$B$13,$O175-1,V$14)*$L175+OFFSET('Stor Factors'!$B$13,$K175-1,V$14)*$H175</f>
        <v>0</v>
      </c>
      <c r="X175" s="9">
        <f t="shared" ca="1" si="70"/>
        <v>0</v>
      </c>
      <c r="Z175" s="25" t="str">
        <f t="shared" ca="1" si="44"/>
        <v/>
      </c>
      <c r="AB175" s="20"/>
    </row>
    <row r="176" spans="2:40" ht="13" x14ac:dyDescent="0.3">
      <c r="B176" s="18">
        <f t="shared" si="71"/>
        <v>110</v>
      </c>
      <c r="D176" s="1" t="s">
        <v>159</v>
      </c>
      <c r="F176" s="48">
        <f ca="1">Function!R176</f>
        <v>0</v>
      </c>
      <c r="H176" s="76"/>
      <c r="J176" s="2"/>
      <c r="K176" s="70">
        <f>_xlfn.IFNA(MATCH(J176,'Stor Factors'!$B$13:$B$244,0),0)</f>
        <v>0</v>
      </c>
      <c r="L176" s="48">
        <f t="shared" ca="1" si="69"/>
        <v>0</v>
      </c>
      <c r="O176" s="70">
        <f>_xlfn.IFNA(MATCH(N176,'Stor Factors'!$B$13:$B$244,0),0)</f>
        <v>0</v>
      </c>
      <c r="P176" s="20">
        <f ca="1">OFFSET('Stor Factors'!$B$13,$O176-1,P$14)*$L176+OFFSET('Stor Factors'!$B$13,$K176-1,P$14)*$H176</f>
        <v>0</v>
      </c>
      <c r="R176" s="20">
        <f ca="1">OFFSET('Stor Factors'!$B$13,$O176-1,R$14)*$L176+OFFSET('Stor Factors'!$B$13,$K176-1,R$14)*$H176</f>
        <v>0</v>
      </c>
      <c r="S176" s="20"/>
      <c r="T176" s="20">
        <f ca="1">OFFSET('Stor Factors'!$B$13,$O176-1,T$14)*$L176+OFFSET('Stor Factors'!$B$13,$K176-1,T$14)*$H176</f>
        <v>0</v>
      </c>
      <c r="U176" s="20"/>
      <c r="V176" s="20">
        <f ca="1">OFFSET('Stor Factors'!$B$13,$O176-1,V$14)*$L176+OFFSET('Stor Factors'!$B$13,$K176-1,V$14)*$H176</f>
        <v>0</v>
      </c>
      <c r="X176" s="9">
        <f t="shared" ca="1" si="70"/>
        <v>0</v>
      </c>
      <c r="Z176" s="25" t="str">
        <f t="shared" ca="1" si="44"/>
        <v/>
      </c>
      <c r="AB176" s="20"/>
    </row>
    <row r="177" spans="2:28" ht="13" x14ac:dyDescent="0.3">
      <c r="S177" s="20"/>
      <c r="U177" s="20"/>
      <c r="Z177" s="25" t="str">
        <f t="shared" si="44"/>
        <v/>
      </c>
      <c r="AB177" s="20"/>
    </row>
    <row r="178" spans="2:28" ht="13" x14ac:dyDescent="0.3">
      <c r="B178" s="18">
        <f>B176+1</f>
        <v>111</v>
      </c>
      <c r="D178" s="1" t="s">
        <v>160</v>
      </c>
      <c r="F178" s="40">
        <f ca="1">SUM(F170:F176)</f>
        <v>0</v>
      </c>
      <c r="H178" s="40">
        <f>SUM(H170:H176)</f>
        <v>0</v>
      </c>
      <c r="J178" s="2"/>
      <c r="L178" s="40">
        <f ca="1">SUM(L170:L176)</f>
        <v>0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25" t="str">
        <f t="shared" ca="1" si="44"/>
        <v/>
      </c>
      <c r="AB178" s="20"/>
    </row>
    <row r="179" spans="2:28" ht="13" x14ac:dyDescent="0.3">
      <c r="S179" s="20"/>
      <c r="U179" s="20"/>
      <c r="Z179" s="25" t="str">
        <f t="shared" si="44"/>
        <v/>
      </c>
      <c r="AB179" s="20"/>
    </row>
    <row r="180" spans="2:28" ht="13" x14ac:dyDescent="0.3">
      <c r="B180" s="18">
        <f>B178+1</f>
        <v>112</v>
      </c>
      <c r="D180" s="1" t="s">
        <v>161</v>
      </c>
      <c r="F180" s="80">
        <f ca="1">F164-F178</f>
        <v>193487.49708184868</v>
      </c>
      <c r="H180" s="80">
        <f ca="1">H164-H178</f>
        <v>3486.8164338721635</v>
      </c>
      <c r="L180" s="80">
        <f ca="1">L164-L178</f>
        <v>190000.68064797649</v>
      </c>
      <c r="P180" s="34">
        <f ca="1">P164-P178</f>
        <v>106265.51371986589</v>
      </c>
      <c r="R180" s="34">
        <f ca="1">R164-R178</f>
        <v>67317.433307812898</v>
      </c>
      <c r="S180" s="20"/>
      <c r="T180" s="34">
        <f ca="1">T164-T178</f>
        <v>5768.9625818688937</v>
      </c>
      <c r="U180" s="20"/>
      <c r="V180" s="34">
        <f ca="1">V164-V178</f>
        <v>14135.587472300971</v>
      </c>
      <c r="X180" s="34">
        <f ca="1">X164-X178</f>
        <v>193487.49708184868</v>
      </c>
      <c r="Z180" s="25" t="str">
        <f t="shared" ca="1" si="44"/>
        <v/>
      </c>
      <c r="AB180" s="20"/>
    </row>
    <row r="181" spans="2:28" x14ac:dyDescent="0.25">
      <c r="D181" s="1" t="s">
        <v>228</v>
      </c>
      <c r="S181" s="20"/>
      <c r="U181" s="20"/>
      <c r="AB181" s="20"/>
    </row>
    <row r="182" spans="2:28" x14ac:dyDescent="0.25">
      <c r="D182" s="1" t="s">
        <v>185</v>
      </c>
      <c r="R182" s="9"/>
      <c r="AB182" s="20"/>
    </row>
    <row r="183" spans="2:28" x14ac:dyDescent="0.25">
      <c r="L183" s="48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sheetPr>
    <pageSetUpPr fitToPage="1"/>
  </sheetPr>
  <dimension ref="A6:AU78"/>
  <sheetViews>
    <sheetView topLeftCell="A43" zoomScale="80" zoomScaleNormal="80" workbookViewId="0">
      <selection activeCell="F65" sqref="F65:L65"/>
    </sheetView>
  </sheetViews>
  <sheetFormatPr defaultColWidth="9.1796875" defaultRowHeight="12.5" x14ac:dyDescent="0.25"/>
  <cols>
    <col min="1" max="1" width="6.453125" style="1" customWidth="1"/>
    <col min="2" max="2" width="30.7265625" style="1" customWidth="1"/>
    <col min="3" max="3" width="8.26953125" style="1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5" width="9.1796875" style="1"/>
    <col min="16" max="16" width="26.54296875" style="1" bestFit="1" customWidth="1"/>
    <col min="17" max="17" width="1.7265625" style="1" customWidth="1"/>
    <col min="18" max="18" width="11.1796875" style="1" customWidth="1"/>
    <col min="19" max="19" width="1.7265625" style="1" customWidth="1"/>
    <col min="20" max="20" width="11.1796875" style="1" customWidth="1"/>
    <col min="21" max="21" width="1.7265625" style="1" customWidth="1"/>
    <col min="22" max="22" width="11.1796875" style="1" customWidth="1"/>
    <col min="23" max="23" width="1.7265625" style="1" customWidth="1"/>
    <col min="24" max="24" width="11.1796875" style="1" customWidth="1"/>
    <col min="25" max="31" width="9.1796875" style="1" customWidth="1"/>
    <col min="32" max="34" width="9.1796875" style="1"/>
    <col min="35" max="36" width="9.1796875" style="1" customWidth="1"/>
    <col min="37" max="38" width="9.1796875" style="1"/>
    <col min="39" max="39" width="9.1796875" style="1" customWidth="1"/>
    <col min="40" max="16384" width="9.1796875" style="1"/>
  </cols>
  <sheetData>
    <row r="6" spans="1:47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6"/>
      <c r="N6" s="6"/>
      <c r="O6" s="6"/>
      <c r="P6" s="6"/>
    </row>
    <row r="7" spans="1:47" x14ac:dyDescent="0.25">
      <c r="B7" s="155" t="s">
        <v>229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6"/>
      <c r="N7" s="6"/>
      <c r="O7" s="6"/>
      <c r="P7" s="6"/>
    </row>
    <row r="9" spans="1:47" x14ac:dyDescent="0.25">
      <c r="A9" s="18" t="s">
        <v>6</v>
      </c>
      <c r="B9" s="18" t="s">
        <v>18</v>
      </c>
      <c r="F9" s="18"/>
      <c r="J9" s="18" t="s">
        <v>195</v>
      </c>
      <c r="L9" s="18" t="s">
        <v>18</v>
      </c>
    </row>
    <row r="10" spans="1:47" x14ac:dyDescent="0.25">
      <c r="A10" s="4" t="s">
        <v>11</v>
      </c>
      <c r="B10" s="4" t="s">
        <v>191</v>
      </c>
      <c r="C10" s="5"/>
      <c r="D10" s="4" t="s">
        <v>2</v>
      </c>
      <c r="F10" s="4" t="s">
        <v>196</v>
      </c>
      <c r="H10" s="16" t="s">
        <v>197</v>
      </c>
      <c r="J10" s="4" t="s">
        <v>198</v>
      </c>
      <c r="L10" s="4" t="s">
        <v>175</v>
      </c>
      <c r="AH10" s="18"/>
      <c r="AJ10" s="18"/>
      <c r="AO10" s="18"/>
      <c r="AS10" s="18"/>
      <c r="AU10" s="18"/>
    </row>
    <row r="11" spans="1:47" x14ac:dyDescent="0.25">
      <c r="A11" s="18"/>
      <c r="B11" s="18"/>
      <c r="D11" s="18" t="s">
        <v>22</v>
      </c>
      <c r="E11" s="18"/>
      <c r="F11" s="55" t="s">
        <v>23</v>
      </c>
      <c r="G11" s="18"/>
      <c r="H11" s="55" t="s">
        <v>24</v>
      </c>
      <c r="I11" s="18"/>
      <c r="J11" s="55" t="s">
        <v>165</v>
      </c>
      <c r="K11" s="18"/>
      <c r="L11" s="55" t="s">
        <v>26</v>
      </c>
      <c r="AH11" s="18"/>
      <c r="AJ11" s="18"/>
      <c r="AK11" s="18"/>
      <c r="AM11" s="18"/>
      <c r="AO11" s="18"/>
      <c r="AQ11" s="108"/>
      <c r="AS11" s="18"/>
      <c r="AU11" s="18"/>
    </row>
    <row r="12" spans="1:47" hidden="1" x14ac:dyDescent="0.25">
      <c r="AH12" s="18"/>
      <c r="AM12" s="18"/>
      <c r="AN12" s="18"/>
      <c r="AO12" s="55"/>
      <c r="AP12" s="18"/>
      <c r="AQ12" s="55"/>
      <c r="AR12" s="18"/>
      <c r="AS12" s="55"/>
      <c r="AT12" s="18"/>
      <c r="AU12" s="55"/>
    </row>
    <row r="13" spans="1:47" x14ac:dyDescent="0.25">
      <c r="B13" s="151"/>
      <c r="C13" s="2"/>
      <c r="AH13" s="18"/>
    </row>
    <row r="14" spans="1:47" x14ac:dyDescent="0.25">
      <c r="A14" s="18">
        <v>1</v>
      </c>
      <c r="B14" s="2"/>
      <c r="C14" s="2" t="s">
        <v>166</v>
      </c>
      <c r="D14" s="20">
        <f>SUM(F14:L14)</f>
        <v>30022.717863727081</v>
      </c>
      <c r="F14" s="20">
        <v>30022.717863727081</v>
      </c>
      <c r="G14" s="20"/>
      <c r="H14" s="20">
        <v>0</v>
      </c>
      <c r="I14" s="20"/>
      <c r="J14" s="20">
        <v>0</v>
      </c>
      <c r="K14" s="20"/>
      <c r="L14" s="20">
        <v>0</v>
      </c>
      <c r="AH14" s="18"/>
      <c r="AJ14" s="2"/>
      <c r="AK14" s="56"/>
      <c r="AM14" s="22"/>
      <c r="AO14" s="22"/>
      <c r="AP14" s="22"/>
      <c r="AQ14" s="22"/>
      <c r="AR14" s="22"/>
      <c r="AS14" s="22"/>
      <c r="AT14" s="22"/>
      <c r="AU14" s="22"/>
    </row>
    <row r="15" spans="1:47" x14ac:dyDescent="0.25">
      <c r="A15" s="18">
        <v>2</v>
      </c>
      <c r="B15" s="2" t="s">
        <v>207</v>
      </c>
      <c r="C15" s="2"/>
      <c r="D15" s="24">
        <f>SUM(F15:L15)</f>
        <v>1</v>
      </c>
      <c r="F15" s="24">
        <f>IFERROR(F14/$D14,0)</f>
        <v>1</v>
      </c>
      <c r="H15" s="24">
        <f>IFERROR(H14/$D14,0)</f>
        <v>0</v>
      </c>
      <c r="J15" s="24">
        <f>IFERROR(J14/$D14,0)</f>
        <v>0</v>
      </c>
      <c r="L15" s="24">
        <f>IFERROR(L14/$D14,0)</f>
        <v>0</v>
      </c>
      <c r="AH15" s="18"/>
      <c r="AJ15" s="2"/>
      <c r="AK15" s="56"/>
      <c r="AM15" s="61"/>
      <c r="AO15" s="61"/>
      <c r="AQ15" s="61"/>
      <c r="AS15" s="61"/>
      <c r="AU15" s="61"/>
    </row>
    <row r="16" spans="1:47" x14ac:dyDescent="0.25">
      <c r="A16" s="18"/>
      <c r="B16" s="2"/>
      <c r="C16" s="2"/>
      <c r="AH16" s="18"/>
      <c r="AJ16" s="31"/>
      <c r="AK16" s="31"/>
    </row>
    <row r="17" spans="1:47" x14ac:dyDescent="0.25">
      <c r="A17" s="18">
        <v>3</v>
      </c>
      <c r="B17" s="2"/>
      <c r="C17" s="2" t="s">
        <v>166</v>
      </c>
      <c r="D17" s="20">
        <f>SUM(F17:L17)</f>
        <v>-17354.751934163171</v>
      </c>
      <c r="F17" s="20">
        <v>-17354.751934163171</v>
      </c>
      <c r="G17" s="20"/>
      <c r="H17" s="20">
        <v>0</v>
      </c>
      <c r="I17" s="20"/>
      <c r="J17" s="20">
        <v>0</v>
      </c>
      <c r="K17" s="20"/>
      <c r="L17" s="20">
        <v>0</v>
      </c>
      <c r="AH17" s="18"/>
      <c r="AJ17" s="2"/>
      <c r="AK17" s="56"/>
      <c r="AM17" s="22"/>
      <c r="AO17" s="22"/>
      <c r="AP17" s="22"/>
      <c r="AQ17" s="22"/>
      <c r="AR17" s="22"/>
      <c r="AS17" s="22"/>
      <c r="AT17" s="22"/>
      <c r="AU17" s="22"/>
    </row>
    <row r="18" spans="1:47" x14ac:dyDescent="0.25">
      <c r="A18" s="18">
        <v>4</v>
      </c>
      <c r="B18" s="2" t="s">
        <v>211</v>
      </c>
      <c r="C18" s="2"/>
      <c r="D18" s="24">
        <f>SUM(F18:L18)</f>
        <v>1</v>
      </c>
      <c r="F18" s="24">
        <f>IFERROR(F17/$D17,0)</f>
        <v>1</v>
      </c>
      <c r="H18" s="24">
        <f>IFERROR(H17/$D17,0)</f>
        <v>0</v>
      </c>
      <c r="J18" s="24">
        <f>IFERROR(J17/$D17,0)</f>
        <v>0</v>
      </c>
      <c r="L18" s="24">
        <f>IFERROR(L17/$D17,0)</f>
        <v>0</v>
      </c>
      <c r="AH18" s="18"/>
      <c r="AJ18" s="2"/>
      <c r="AK18" s="56"/>
      <c r="AM18" s="61"/>
      <c r="AO18" s="61"/>
      <c r="AQ18" s="61"/>
      <c r="AS18" s="61"/>
      <c r="AU18" s="61"/>
    </row>
    <row r="19" spans="1:47" x14ac:dyDescent="0.25">
      <c r="A19" s="18"/>
      <c r="B19" s="2"/>
      <c r="C19" s="2"/>
      <c r="AH19" s="18"/>
      <c r="AJ19" s="31"/>
      <c r="AK19" s="31"/>
    </row>
    <row r="20" spans="1:47" x14ac:dyDescent="0.25">
      <c r="A20" s="18">
        <v>5</v>
      </c>
      <c r="B20" s="2"/>
      <c r="C20" s="2" t="s">
        <v>166</v>
      </c>
      <c r="D20" s="20">
        <f>SUM(F20:L20)</f>
        <v>7.3027000000000006</v>
      </c>
      <c r="F20" s="20">
        <v>7.3027000000000006</v>
      </c>
      <c r="G20" s="20"/>
      <c r="H20" s="20">
        <v>0</v>
      </c>
      <c r="I20" s="20"/>
      <c r="J20" s="20">
        <v>0</v>
      </c>
      <c r="K20" s="20"/>
      <c r="L20" s="20">
        <v>0</v>
      </c>
      <c r="AH20" s="18"/>
      <c r="AJ20" s="2"/>
      <c r="AK20" s="56"/>
      <c r="AM20" s="22"/>
      <c r="AO20" s="22"/>
      <c r="AP20" s="22"/>
      <c r="AQ20" s="22"/>
      <c r="AR20" s="22"/>
      <c r="AS20" s="22"/>
      <c r="AT20" s="22"/>
      <c r="AU20" s="22"/>
    </row>
    <row r="21" spans="1:47" x14ac:dyDescent="0.25">
      <c r="A21" s="18">
        <v>6</v>
      </c>
      <c r="B21" s="2" t="s">
        <v>203</v>
      </c>
      <c r="C21" s="2"/>
      <c r="D21" s="24">
        <f>SUM(F21:L21)</f>
        <v>1</v>
      </c>
      <c r="F21" s="24">
        <f>IFERROR(F20/$D20,0)</f>
        <v>1</v>
      </c>
      <c r="H21" s="24">
        <f>IFERROR(H20/$D20,0)</f>
        <v>0</v>
      </c>
      <c r="J21" s="24">
        <f>IFERROR(J20/$D20,0)</f>
        <v>0</v>
      </c>
      <c r="L21" s="24">
        <f>IFERROR(L20/$D20,0)</f>
        <v>0</v>
      </c>
      <c r="AH21" s="18"/>
      <c r="AJ21" s="2"/>
      <c r="AK21" s="56"/>
      <c r="AM21" s="61"/>
      <c r="AO21" s="61"/>
      <c r="AQ21" s="61"/>
      <c r="AS21" s="61"/>
      <c r="AU21" s="61"/>
    </row>
    <row r="22" spans="1:47" ht="14.5" x14ac:dyDescent="0.35">
      <c r="A22" s="18"/>
      <c r="B22" s="2"/>
      <c r="C22" s="2"/>
      <c r="AH22" s="18"/>
      <c r="AJ22" s="57"/>
      <c r="AK22" s="31"/>
      <c r="AM22"/>
    </row>
    <row r="23" spans="1:47" x14ac:dyDescent="0.25">
      <c r="A23" s="18">
        <v>7</v>
      </c>
      <c r="B23" s="2"/>
      <c r="C23" s="2" t="s">
        <v>167</v>
      </c>
      <c r="D23" s="20">
        <f ca="1">SUM(F23:L23)</f>
        <v>1640.1810497976596</v>
      </c>
      <c r="F23" s="20">
        <f ca="1">'Storage Class'!F124</f>
        <v>1640.1810497976596</v>
      </c>
      <c r="G23" s="20"/>
      <c r="H23" s="20">
        <v>0</v>
      </c>
      <c r="I23" s="20"/>
      <c r="J23" s="20">
        <v>0</v>
      </c>
      <c r="K23" s="20"/>
      <c r="L23" s="20">
        <v>0</v>
      </c>
      <c r="AH23" s="18"/>
      <c r="AJ23" s="2"/>
      <c r="AK23" s="56"/>
      <c r="AM23" s="22"/>
      <c r="AO23" s="22"/>
      <c r="AP23" s="22"/>
      <c r="AQ23" s="22"/>
      <c r="AR23" s="22"/>
      <c r="AS23" s="22"/>
      <c r="AT23" s="22"/>
      <c r="AU23" s="22"/>
    </row>
    <row r="24" spans="1:47" x14ac:dyDescent="0.25">
      <c r="A24" s="18">
        <v>8</v>
      </c>
      <c r="B24" s="2" t="s">
        <v>224</v>
      </c>
      <c r="C24" s="2"/>
      <c r="D24" s="24">
        <f ca="1">SUM(F24:L24)</f>
        <v>1</v>
      </c>
      <c r="F24" s="24">
        <f ca="1">IFERROR(F23/$D23,0)</f>
        <v>1</v>
      </c>
      <c r="H24" s="24">
        <f ca="1">IFERROR(H23/$D23,0)</f>
        <v>0</v>
      </c>
      <c r="J24" s="24">
        <f ca="1">IFERROR(J23/$D23,0)</f>
        <v>0</v>
      </c>
      <c r="L24" s="24">
        <f ca="1">IFERROR(L23/$D23,0)</f>
        <v>0</v>
      </c>
      <c r="AH24" s="18"/>
      <c r="AJ24" s="2"/>
      <c r="AK24" s="31"/>
      <c r="AM24" s="61"/>
      <c r="AO24" s="61"/>
      <c r="AQ24" s="61"/>
      <c r="AS24" s="61"/>
      <c r="AU24" s="61"/>
    </row>
    <row r="25" spans="1:47" x14ac:dyDescent="0.25">
      <c r="A25" s="18"/>
      <c r="B25" s="2"/>
      <c r="C25" s="2"/>
      <c r="AH25" s="18"/>
      <c r="AJ25" s="31"/>
      <c r="AK25" s="31"/>
    </row>
    <row r="26" spans="1:47" x14ac:dyDescent="0.25">
      <c r="A26" s="18">
        <v>9</v>
      </c>
      <c r="B26" s="2"/>
      <c r="C26" s="2" t="s">
        <v>166</v>
      </c>
      <c r="D26" s="20">
        <f>SUM(F26:L26)</f>
        <v>9113.3284516697677</v>
      </c>
      <c r="F26" s="20">
        <v>9113.3284516697677</v>
      </c>
      <c r="G26" s="20"/>
      <c r="H26" s="20">
        <v>0</v>
      </c>
      <c r="I26" s="20"/>
      <c r="J26" s="20">
        <v>0</v>
      </c>
      <c r="K26" s="20"/>
      <c r="L26" s="20">
        <v>0</v>
      </c>
      <c r="AH26" s="18"/>
      <c r="AJ26" s="2"/>
      <c r="AK26" s="56"/>
      <c r="AM26" s="22"/>
      <c r="AO26" s="22"/>
      <c r="AP26" s="22"/>
      <c r="AQ26" s="22"/>
      <c r="AR26" s="22"/>
      <c r="AS26" s="22"/>
      <c r="AT26" s="22"/>
      <c r="AU26" s="22"/>
    </row>
    <row r="27" spans="1:47" x14ac:dyDescent="0.25">
      <c r="A27" s="18">
        <v>10</v>
      </c>
      <c r="B27" s="2" t="s">
        <v>206</v>
      </c>
      <c r="C27" s="2"/>
      <c r="D27" s="24">
        <f>SUM(F27:L27)</f>
        <v>1</v>
      </c>
      <c r="F27" s="24">
        <f>IFERROR(F26/$D26,0)</f>
        <v>1</v>
      </c>
      <c r="H27" s="24">
        <f>IFERROR(H26/$D26,0)</f>
        <v>0</v>
      </c>
      <c r="J27" s="24">
        <f>IFERROR(J26/$D26,0)</f>
        <v>0</v>
      </c>
      <c r="L27" s="24">
        <f>IFERROR(L26/$D26,0)</f>
        <v>0</v>
      </c>
      <c r="AH27" s="18"/>
      <c r="AJ27" s="2"/>
      <c r="AK27" s="56"/>
      <c r="AM27" s="61"/>
      <c r="AO27" s="61"/>
      <c r="AQ27" s="61"/>
      <c r="AS27" s="61"/>
      <c r="AU27" s="61"/>
    </row>
    <row r="28" spans="1:47" x14ac:dyDescent="0.25">
      <c r="A28" s="18"/>
      <c r="B28" s="2"/>
      <c r="C28" s="2"/>
      <c r="AH28" s="18"/>
      <c r="AJ28" s="31"/>
      <c r="AK28" s="31"/>
    </row>
    <row r="29" spans="1:47" x14ac:dyDescent="0.25">
      <c r="A29" s="18">
        <v>11</v>
      </c>
      <c r="B29" s="2"/>
      <c r="C29" s="2" t="s">
        <v>166</v>
      </c>
      <c r="D29" s="20">
        <f>SUM(F29:L29)</f>
        <v>-2950.0008695332904</v>
      </c>
      <c r="F29" s="20">
        <v>-2950.0008695332904</v>
      </c>
      <c r="G29" s="20"/>
      <c r="H29" s="20">
        <v>0</v>
      </c>
      <c r="I29" s="20"/>
      <c r="J29" s="20">
        <v>0</v>
      </c>
      <c r="K29" s="20"/>
      <c r="L29" s="20">
        <v>0</v>
      </c>
      <c r="AH29" s="18"/>
      <c r="AJ29" s="2"/>
      <c r="AK29" s="56"/>
      <c r="AM29" s="22"/>
      <c r="AO29" s="22"/>
      <c r="AP29" s="22"/>
      <c r="AQ29" s="22"/>
      <c r="AR29" s="22"/>
      <c r="AS29" s="22"/>
      <c r="AT29" s="22"/>
      <c r="AU29" s="22"/>
    </row>
    <row r="30" spans="1:47" x14ac:dyDescent="0.25">
      <c r="A30" s="18">
        <v>12</v>
      </c>
      <c r="B30" s="2" t="s">
        <v>210</v>
      </c>
      <c r="C30" s="2"/>
      <c r="D30" s="24">
        <f>SUM(F30:L30)</f>
        <v>1</v>
      </c>
      <c r="F30" s="24">
        <f>IFERROR(F29/$D29,0)</f>
        <v>1</v>
      </c>
      <c r="H30" s="24">
        <f>IFERROR(H29/$D29,0)</f>
        <v>0</v>
      </c>
      <c r="J30" s="24">
        <f>IFERROR(J29/$D29,0)</f>
        <v>0</v>
      </c>
      <c r="L30" s="24">
        <f>IFERROR(L29/$D29,0)</f>
        <v>0</v>
      </c>
      <c r="AH30" s="18"/>
      <c r="AJ30" s="2"/>
      <c r="AK30" s="56"/>
      <c r="AM30" s="61"/>
      <c r="AO30" s="61"/>
      <c r="AQ30" s="61"/>
      <c r="AS30" s="61"/>
      <c r="AU30" s="61"/>
    </row>
    <row r="31" spans="1:47" x14ac:dyDescent="0.25">
      <c r="A31" s="18"/>
      <c r="B31" s="2"/>
      <c r="C31" s="2"/>
      <c r="AH31" s="18"/>
      <c r="AJ31" s="31"/>
      <c r="AK31" s="31"/>
    </row>
    <row r="32" spans="1:47" x14ac:dyDescent="0.25">
      <c r="A32" s="18">
        <v>13</v>
      </c>
      <c r="B32" s="2"/>
      <c r="C32" s="2" t="s">
        <v>166</v>
      </c>
      <c r="D32" s="20">
        <f>SUM(F32:L32)</f>
        <v>700.84706149023225</v>
      </c>
      <c r="F32" s="20">
        <v>0</v>
      </c>
      <c r="G32" s="20"/>
      <c r="H32" s="20">
        <v>0</v>
      </c>
      <c r="I32" s="20"/>
      <c r="J32" s="20">
        <v>0</v>
      </c>
      <c r="K32" s="20"/>
      <c r="L32" s="20">
        <v>700.84706149023225</v>
      </c>
      <c r="AH32" s="18"/>
      <c r="AJ32" s="2"/>
      <c r="AK32" s="56"/>
      <c r="AM32" s="22"/>
      <c r="AO32" s="22"/>
      <c r="AP32" s="22"/>
      <c r="AQ32" s="22"/>
      <c r="AR32" s="22"/>
      <c r="AS32" s="22"/>
      <c r="AT32" s="22"/>
      <c r="AU32" s="22"/>
    </row>
    <row r="33" spans="1:47" x14ac:dyDescent="0.25">
      <c r="A33" s="18">
        <v>14</v>
      </c>
      <c r="B33" s="2" t="s">
        <v>222</v>
      </c>
      <c r="C33" s="2"/>
      <c r="D33" s="24">
        <f>SUM(F33:L33)</f>
        <v>1</v>
      </c>
      <c r="F33" s="24">
        <f>IFERROR(F32/$D32,0)</f>
        <v>0</v>
      </c>
      <c r="H33" s="24">
        <f>IFERROR(H32/$D32,0)</f>
        <v>0</v>
      </c>
      <c r="J33" s="24">
        <f>IFERROR(J32/$D32,0)</f>
        <v>0</v>
      </c>
      <c r="L33" s="24">
        <f>IFERROR(L32/$D32,0)</f>
        <v>1</v>
      </c>
      <c r="AH33" s="18"/>
      <c r="AJ33" s="2"/>
      <c r="AK33" s="31"/>
      <c r="AM33" s="61"/>
      <c r="AO33" s="61"/>
      <c r="AQ33" s="61"/>
      <c r="AS33" s="61"/>
      <c r="AU33" s="61"/>
    </row>
    <row r="34" spans="1:47" x14ac:dyDescent="0.25">
      <c r="A34" s="18"/>
      <c r="B34" s="2"/>
      <c r="C34" s="2"/>
      <c r="AH34" s="18"/>
      <c r="AJ34" s="2"/>
      <c r="AK34" s="31"/>
      <c r="AM34" s="61"/>
      <c r="AO34" s="61"/>
      <c r="AQ34" s="61"/>
      <c r="AS34" s="61"/>
      <c r="AU34" s="61"/>
    </row>
    <row r="35" spans="1:47" x14ac:dyDescent="0.25">
      <c r="A35" s="18">
        <v>15</v>
      </c>
      <c r="B35" s="2"/>
      <c r="C35" s="2" t="s">
        <v>166</v>
      </c>
      <c r="D35" s="59">
        <f>SUM(F35:L35)</f>
        <v>100</v>
      </c>
      <c r="E35" s="14"/>
      <c r="F35" s="59">
        <v>50</v>
      </c>
      <c r="G35" s="59"/>
      <c r="H35" s="59">
        <v>46.087614707589566</v>
      </c>
      <c r="I35" s="59"/>
      <c r="J35" s="59">
        <v>3.9123852924104372</v>
      </c>
      <c r="K35" s="59"/>
      <c r="L35" s="59">
        <v>0</v>
      </c>
      <c r="AH35" s="18"/>
      <c r="AJ35" s="2"/>
      <c r="AK35" s="56"/>
      <c r="AM35" s="22"/>
      <c r="AN35" s="14"/>
      <c r="AO35" s="23"/>
      <c r="AP35" s="23"/>
      <c r="AQ35" s="23"/>
      <c r="AR35" s="23"/>
      <c r="AS35" s="23"/>
      <c r="AT35" s="23"/>
      <c r="AU35" s="23"/>
    </row>
    <row r="36" spans="1:47" x14ac:dyDescent="0.25">
      <c r="A36" s="18">
        <v>16</v>
      </c>
      <c r="B36" s="2" t="s">
        <v>205</v>
      </c>
      <c r="C36" s="2"/>
      <c r="D36" s="24">
        <f>SUM(F36:L36)</f>
        <v>1</v>
      </c>
      <c r="F36" s="24">
        <f>IFERROR(F35/$D35,0)</f>
        <v>0.5</v>
      </c>
      <c r="H36" s="24">
        <f>IFERROR(H35/$D35,0)</f>
        <v>0.46087614707589564</v>
      </c>
      <c r="J36" s="24">
        <f>IFERROR(J35/$D35,0)</f>
        <v>3.912385292410437E-2</v>
      </c>
      <c r="L36" s="24">
        <f>IFERROR(L35/$D35,0)</f>
        <v>0</v>
      </c>
      <c r="V36" s="39"/>
      <c r="W36" s="39"/>
      <c r="AH36" s="18"/>
      <c r="AJ36" s="2"/>
      <c r="AK36" s="56"/>
      <c r="AM36" s="61"/>
      <c r="AO36" s="61"/>
      <c r="AQ36" s="61"/>
      <c r="AS36" s="61"/>
      <c r="AU36" s="61"/>
    </row>
    <row r="37" spans="1:47" x14ac:dyDescent="0.25">
      <c r="A37" s="18"/>
      <c r="B37" s="2"/>
      <c r="C37" s="2"/>
      <c r="AH37" s="18"/>
      <c r="AJ37" s="31"/>
      <c r="AK37" s="31"/>
      <c r="AL37" s="63"/>
      <c r="AM37" s="63"/>
      <c r="AO37" s="61"/>
      <c r="AQ37" s="61"/>
      <c r="AS37" s="61"/>
      <c r="AU37" s="61"/>
    </row>
    <row r="38" spans="1:47" x14ac:dyDescent="0.25">
      <c r="A38" s="18">
        <v>17</v>
      </c>
      <c r="B38" s="2"/>
      <c r="C38" s="2" t="s">
        <v>167</v>
      </c>
      <c r="D38" s="20">
        <f>SUM(F38:L38)</f>
        <v>1</v>
      </c>
      <c r="E38" s="20"/>
      <c r="F38" s="20">
        <v>1</v>
      </c>
      <c r="G38" s="20"/>
      <c r="H38" s="20">
        <v>0</v>
      </c>
      <c r="I38" s="20"/>
      <c r="J38" s="20">
        <v>0</v>
      </c>
      <c r="K38" s="20"/>
      <c r="L38" s="20">
        <v>0</v>
      </c>
      <c r="AH38" s="18"/>
      <c r="AJ38" s="2"/>
      <c r="AK38" s="56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x14ac:dyDescent="0.25">
      <c r="A39" s="18">
        <v>18</v>
      </c>
      <c r="B39" s="2" t="s">
        <v>204</v>
      </c>
      <c r="C39" s="2"/>
      <c r="D39" s="24">
        <f>SUM(F39:L39)</f>
        <v>1</v>
      </c>
      <c r="F39" s="24">
        <f>IFERROR(F38/$D38,0)</f>
        <v>1</v>
      </c>
      <c r="H39" s="24">
        <f>IFERROR(H38/$D38,0)</f>
        <v>0</v>
      </c>
      <c r="J39" s="24">
        <f>IFERROR(J38/$D38,0)</f>
        <v>0</v>
      </c>
      <c r="L39" s="24">
        <f>IFERROR(L38/$D38,0)</f>
        <v>0</v>
      </c>
      <c r="AH39" s="18"/>
      <c r="AJ39" s="2"/>
      <c r="AK39" s="31"/>
      <c r="AM39" s="61"/>
      <c r="AO39" s="61"/>
      <c r="AQ39" s="61"/>
      <c r="AS39" s="61"/>
      <c r="AU39" s="61"/>
    </row>
    <row r="40" spans="1:47" x14ac:dyDescent="0.25">
      <c r="A40" s="18"/>
      <c r="B40" s="2"/>
      <c r="C40" s="2"/>
      <c r="AH40" s="18"/>
      <c r="AJ40" s="31"/>
      <c r="AK40" s="31"/>
    </row>
    <row r="41" spans="1:47" x14ac:dyDescent="0.25">
      <c r="A41" s="18">
        <v>19</v>
      </c>
      <c r="B41" s="2"/>
      <c r="C41" s="2" t="s">
        <v>166</v>
      </c>
      <c r="D41" s="20">
        <f>SUM(F41:L41)</f>
        <v>450894.64997650369</v>
      </c>
      <c r="F41" s="20">
        <v>0</v>
      </c>
      <c r="G41" s="20"/>
      <c r="H41" s="20">
        <v>411482.44165298209</v>
      </c>
      <c r="I41" s="20"/>
      <c r="J41" s="20">
        <v>39412.208323521612</v>
      </c>
      <c r="K41" s="20"/>
      <c r="L41" s="20">
        <v>0</v>
      </c>
      <c r="AH41" s="18"/>
      <c r="AJ41" s="2"/>
      <c r="AK41" s="56"/>
      <c r="AM41" s="22"/>
      <c r="AO41" s="22"/>
      <c r="AP41" s="22"/>
      <c r="AQ41" s="22"/>
      <c r="AR41" s="22"/>
      <c r="AS41" s="22"/>
      <c r="AT41" s="22"/>
      <c r="AU41" s="22"/>
    </row>
    <row r="42" spans="1:47" x14ac:dyDescent="0.25">
      <c r="A42" s="18">
        <v>20</v>
      </c>
      <c r="B42" s="2" t="s">
        <v>213</v>
      </c>
      <c r="C42" s="2"/>
      <c r="D42" s="24">
        <f>SUM(F42:L42)</f>
        <v>1</v>
      </c>
      <c r="F42" s="24">
        <f>IFERROR(F41/$D41,0)</f>
        <v>0</v>
      </c>
      <c r="H42" s="24">
        <f>IFERROR(H41/$D41,0)</f>
        <v>0.91259109345037603</v>
      </c>
      <c r="J42" s="24">
        <f>IFERROR(J41/$D41,0)</f>
        <v>8.7408906549623952E-2</v>
      </c>
      <c r="L42" s="24">
        <f>IFERROR(L41/$D41,0)</f>
        <v>0</v>
      </c>
      <c r="AH42" s="18"/>
      <c r="AJ42" s="2"/>
      <c r="AK42" s="56"/>
      <c r="AM42" s="61"/>
      <c r="AO42" s="61"/>
      <c r="AP42" s="22"/>
      <c r="AQ42" s="61"/>
      <c r="AR42" s="22"/>
      <c r="AS42" s="61"/>
      <c r="AU42" s="61"/>
    </row>
    <row r="43" spans="1:47" x14ac:dyDescent="0.25">
      <c r="A43" s="18"/>
      <c r="B43" s="2"/>
      <c r="C43" s="2"/>
      <c r="AH43" s="18"/>
      <c r="AJ43" s="2"/>
      <c r="AK43" s="31"/>
      <c r="AM43" s="22"/>
      <c r="AO43" s="22"/>
      <c r="AP43" s="22"/>
      <c r="AQ43" s="22"/>
      <c r="AR43" s="22"/>
      <c r="AS43" s="22"/>
      <c r="AU43" s="22"/>
    </row>
    <row r="44" spans="1:47" x14ac:dyDescent="0.25">
      <c r="A44" s="18">
        <v>21</v>
      </c>
      <c r="B44" s="2"/>
      <c r="C44" s="2" t="s">
        <v>167</v>
      </c>
      <c r="D44" s="20">
        <f ca="1">SUM(F44:L44)</f>
        <v>579806.55436048692</v>
      </c>
      <c r="F44" s="20">
        <f ca="1">'Storage Class'!P75-'Storage Class'!P74-'Storage Class'!P70</f>
        <v>449162.79816525371</v>
      </c>
      <c r="G44" s="20"/>
      <c r="H44" s="20">
        <f ca="1">'Storage Class'!R75-'Storage Class'!R74-'Storage Class'!R70</f>
        <v>130643.75619523317</v>
      </c>
      <c r="I44" s="20"/>
      <c r="J44" s="20">
        <v>0</v>
      </c>
      <c r="K44" s="20"/>
      <c r="L44" s="20">
        <v>0</v>
      </c>
      <c r="AH44" s="18"/>
      <c r="AJ44" s="2"/>
      <c r="AK44" s="56"/>
      <c r="AM44" s="22"/>
      <c r="AO44" s="22"/>
      <c r="AP44" s="22"/>
      <c r="AQ44" s="22"/>
      <c r="AR44" s="22"/>
      <c r="AS44" s="22"/>
      <c r="AT44" s="22"/>
      <c r="AU44" s="22"/>
    </row>
    <row r="45" spans="1:47" x14ac:dyDescent="0.25">
      <c r="A45" s="18">
        <v>22</v>
      </c>
      <c r="B45" s="2" t="s">
        <v>223</v>
      </c>
      <c r="C45" s="2"/>
      <c r="D45" s="24">
        <f ca="1">SUM(F45:L45)</f>
        <v>1</v>
      </c>
      <c r="F45" s="24">
        <f ca="1">IFERROR(F44/$D44,0)</f>
        <v>0.77467699319244465</v>
      </c>
      <c r="H45" s="24">
        <f ca="1">IFERROR(H44/$D44,0)</f>
        <v>0.22532300680755529</v>
      </c>
      <c r="J45" s="24">
        <f ca="1">IFERROR(J44/$D44,0)</f>
        <v>0</v>
      </c>
      <c r="L45" s="24">
        <f ca="1">IFERROR(L44/$D44,0)</f>
        <v>0</v>
      </c>
      <c r="AH45" s="18"/>
      <c r="AJ45" s="2"/>
      <c r="AK45" s="31"/>
      <c r="AM45" s="61"/>
      <c r="AO45" s="61"/>
      <c r="AQ45" s="61"/>
      <c r="AS45" s="61"/>
      <c r="AU45" s="61"/>
    </row>
    <row r="46" spans="1:47" x14ac:dyDescent="0.25">
      <c r="A46" s="18"/>
      <c r="B46" s="2"/>
      <c r="C46" s="2"/>
      <c r="AH46" s="18"/>
      <c r="AJ46" s="2"/>
      <c r="AK46" s="31"/>
      <c r="AM46" s="22"/>
      <c r="AO46" s="22"/>
      <c r="AP46" s="22"/>
      <c r="AQ46" s="22"/>
      <c r="AR46" s="22"/>
      <c r="AS46" s="22"/>
      <c r="AU46" s="22"/>
    </row>
    <row r="47" spans="1:47" x14ac:dyDescent="0.25">
      <c r="A47" s="18">
        <v>23</v>
      </c>
      <c r="B47" s="2"/>
      <c r="C47" s="2" t="s">
        <v>167</v>
      </c>
      <c r="D47" s="20">
        <f>SUM(F47:L47)</f>
        <v>100</v>
      </c>
      <c r="E47" s="59"/>
      <c r="F47" s="59">
        <v>0</v>
      </c>
      <c r="G47" s="59"/>
      <c r="H47" s="59">
        <f>H35/SUM($H$35,$J$35)*100</f>
        <v>92.175229415179132</v>
      </c>
      <c r="I47" s="59"/>
      <c r="J47" s="59">
        <f>J35/SUM($H$35,$J$35)*100</f>
        <v>7.8247705848208744</v>
      </c>
      <c r="K47" s="59"/>
      <c r="L47" s="59">
        <v>0</v>
      </c>
      <c r="AH47" s="18"/>
      <c r="AJ47" s="2"/>
      <c r="AK47" s="56"/>
      <c r="AM47" s="23"/>
      <c r="AN47" s="23"/>
      <c r="AO47" s="23"/>
      <c r="AP47" s="23"/>
      <c r="AQ47" s="23"/>
      <c r="AR47" s="23"/>
      <c r="AS47" s="23"/>
      <c r="AT47" s="23"/>
      <c r="AU47" s="23"/>
    </row>
    <row r="48" spans="1:47" x14ac:dyDescent="0.25">
      <c r="A48" s="18">
        <v>24</v>
      </c>
      <c r="B48" s="2" t="s">
        <v>208</v>
      </c>
      <c r="C48" s="2"/>
      <c r="D48" s="24">
        <f>SUM(F48:L48)</f>
        <v>1</v>
      </c>
      <c r="F48" s="24">
        <f>IFERROR(F47/$D47,0)</f>
        <v>0</v>
      </c>
      <c r="H48" s="24">
        <f>IFERROR(H47/$D47,0)</f>
        <v>0.92175229415179127</v>
      </c>
      <c r="J48" s="24">
        <f>IFERROR(J47/$D47,0)</f>
        <v>7.824770584820874E-2</v>
      </c>
      <c r="L48" s="24">
        <f>IFERROR(L47/$D47,0)</f>
        <v>0</v>
      </c>
      <c r="AH48" s="18"/>
      <c r="AJ48" s="2"/>
      <c r="AK48" s="31"/>
      <c r="AM48" s="61"/>
      <c r="AO48" s="61"/>
      <c r="AQ48" s="61"/>
      <c r="AS48" s="61"/>
      <c r="AU48" s="61"/>
    </row>
    <row r="49" spans="1:47" x14ac:dyDescent="0.25">
      <c r="A49" s="18"/>
      <c r="B49" s="2"/>
      <c r="C49" s="2"/>
      <c r="AH49" s="18"/>
      <c r="AJ49" s="31"/>
      <c r="AK49" s="31"/>
    </row>
    <row r="50" spans="1:47" x14ac:dyDescent="0.25">
      <c r="A50" s="18">
        <v>25</v>
      </c>
      <c r="B50" s="2"/>
      <c r="C50" s="2" t="s">
        <v>167</v>
      </c>
      <c r="D50" s="20">
        <f>SUM(F50:L50)</f>
        <v>1</v>
      </c>
      <c r="F50" s="20">
        <v>0</v>
      </c>
      <c r="G50" s="20"/>
      <c r="H50" s="20">
        <v>0</v>
      </c>
      <c r="I50" s="20"/>
      <c r="J50" s="20">
        <v>0</v>
      </c>
      <c r="K50" s="20"/>
      <c r="L50" s="20">
        <v>1</v>
      </c>
      <c r="AH50" s="18"/>
      <c r="AJ50" s="2"/>
      <c r="AK50" s="56"/>
      <c r="AM50" s="22"/>
      <c r="AO50" s="22"/>
      <c r="AP50" s="22"/>
      <c r="AQ50" s="22"/>
      <c r="AR50" s="22"/>
      <c r="AS50" s="22"/>
      <c r="AT50" s="22"/>
      <c r="AU50" s="22"/>
    </row>
    <row r="51" spans="1:47" x14ac:dyDescent="0.25">
      <c r="A51" s="18">
        <v>26</v>
      </c>
      <c r="B51" s="2" t="s">
        <v>221</v>
      </c>
      <c r="C51" s="2"/>
      <c r="D51" s="24">
        <f>SUM(F51:L51)</f>
        <v>1</v>
      </c>
      <c r="F51" s="24">
        <f>IFERROR(F50/$D50,0)</f>
        <v>0</v>
      </c>
      <c r="H51" s="24">
        <f>IFERROR(H50/$D50,0)</f>
        <v>0</v>
      </c>
      <c r="J51" s="24">
        <f>IFERROR(J50/$D50,0)</f>
        <v>0</v>
      </c>
      <c r="L51" s="24">
        <f>IFERROR(L50/$D50,0)</f>
        <v>1</v>
      </c>
      <c r="AH51" s="18"/>
      <c r="AJ51" s="2"/>
      <c r="AK51" s="31"/>
      <c r="AM51" s="61"/>
      <c r="AO51" s="61"/>
      <c r="AQ51" s="61"/>
      <c r="AS51" s="61"/>
      <c r="AU51" s="61"/>
    </row>
    <row r="52" spans="1:47" x14ac:dyDescent="0.25">
      <c r="A52" s="18"/>
      <c r="B52" s="2"/>
      <c r="C52" s="2"/>
      <c r="AH52" s="18"/>
      <c r="AJ52" s="31"/>
      <c r="AK52" s="31"/>
      <c r="AM52" s="61"/>
      <c r="AO52" s="61"/>
      <c r="AQ52" s="61"/>
      <c r="AS52" s="61"/>
      <c r="AU52" s="61"/>
    </row>
    <row r="53" spans="1:47" x14ac:dyDescent="0.25">
      <c r="A53" s="18">
        <v>27</v>
      </c>
      <c r="B53" s="2"/>
      <c r="C53" s="2" t="s">
        <v>167</v>
      </c>
      <c r="D53" s="20">
        <f ca="1">SUM(F53:L53)</f>
        <v>24853.346732706686</v>
      </c>
      <c r="E53" s="14"/>
      <c r="F53" s="20">
        <f ca="1">'Storage Class'!AF31</f>
        <v>18544.471545173586</v>
      </c>
      <c r="G53" s="20"/>
      <c r="H53" s="20">
        <f ca="1">'Storage Class'!AH31</f>
        <v>5815.2201776259462</v>
      </c>
      <c r="I53" s="20"/>
      <c r="J53" s="20">
        <f ca="1">'Storage Class'!AJ31</f>
        <v>493.65500990715265</v>
      </c>
      <c r="K53" s="20"/>
      <c r="L53" s="20">
        <f ca="1">'Storage Class'!AL31</f>
        <v>0</v>
      </c>
      <c r="AH53" s="18"/>
      <c r="AJ53" s="2"/>
      <c r="AK53" s="56"/>
      <c r="AM53" s="22"/>
      <c r="AN53" s="14"/>
      <c r="AO53" s="22"/>
      <c r="AP53" s="22"/>
      <c r="AQ53" s="22"/>
      <c r="AR53" s="22"/>
      <c r="AS53" s="22"/>
      <c r="AT53" s="22"/>
      <c r="AU53" s="22"/>
    </row>
    <row r="54" spans="1:47" x14ac:dyDescent="0.25">
      <c r="A54" s="18">
        <v>28</v>
      </c>
      <c r="B54" s="2" t="s">
        <v>218</v>
      </c>
      <c r="C54" s="2"/>
      <c r="D54" s="24">
        <f ca="1">SUM(F54:L54)</f>
        <v>0.99999999999999989</v>
      </c>
      <c r="F54" s="24">
        <f ca="1">IFERROR(F53/$D53,0)</f>
        <v>0.7461559098907713</v>
      </c>
      <c r="H54" s="24">
        <f ca="1">IFERROR(H53/$D53,0)</f>
        <v>0.23398137241505551</v>
      </c>
      <c r="J54" s="24">
        <f ca="1">IFERROR(J53/$D53,0)</f>
        <v>1.9862717694173113E-2</v>
      </c>
      <c r="L54" s="24">
        <f ca="1">IFERROR(L53/$D53,0)</f>
        <v>0</v>
      </c>
      <c r="AH54" s="18"/>
      <c r="AJ54" s="2"/>
      <c r="AK54" s="31"/>
      <c r="AM54" s="61"/>
      <c r="AO54" s="61"/>
      <c r="AQ54" s="61"/>
      <c r="AS54" s="61"/>
      <c r="AU54" s="61"/>
    </row>
    <row r="55" spans="1:47" x14ac:dyDescent="0.25">
      <c r="A55" s="18"/>
      <c r="B55" s="2"/>
      <c r="C55" s="2"/>
      <c r="AH55" s="18"/>
      <c r="AJ55" s="31"/>
      <c r="AK55" s="31"/>
    </row>
    <row r="56" spans="1:47" x14ac:dyDescent="0.25">
      <c r="A56" s="18">
        <v>29</v>
      </c>
      <c r="B56" s="2"/>
      <c r="C56" s="2" t="s">
        <v>167</v>
      </c>
      <c r="D56" s="59">
        <f ca="1">SUM(F56:L56)</f>
        <v>100</v>
      </c>
      <c r="E56" s="59"/>
      <c r="F56" s="59">
        <f ca="1">R66*100</f>
        <v>72.787734284862822</v>
      </c>
      <c r="G56" s="59"/>
      <c r="H56" s="59">
        <f ca="1">T66*100</f>
        <v>25.082968351995827</v>
      </c>
      <c r="I56" s="59"/>
      <c r="J56" s="59">
        <f ca="1">V66*100</f>
        <v>2.1292973631413492</v>
      </c>
      <c r="K56" s="59"/>
      <c r="L56" s="59">
        <f ca="1">X66*100</f>
        <v>0</v>
      </c>
      <c r="P56" s="74" t="s">
        <v>209</v>
      </c>
      <c r="AH56" s="18"/>
      <c r="AJ56" s="2"/>
      <c r="AK56" s="56"/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7" x14ac:dyDescent="0.25">
      <c r="A57" s="18">
        <v>30</v>
      </c>
      <c r="B57" s="2" t="s">
        <v>209</v>
      </c>
      <c r="C57" s="2"/>
      <c r="D57" s="24">
        <f ca="1">SUM(F57:L57)</f>
        <v>1</v>
      </c>
      <c r="F57" s="24">
        <f ca="1">IFERROR(F56/$D56,0)</f>
        <v>0.72787734284862826</v>
      </c>
      <c r="H57" s="24">
        <f ca="1">IFERROR(H56/$D56,0)</f>
        <v>0.25082968351995827</v>
      </c>
      <c r="J57" s="24">
        <f ca="1">IFERROR(J56/$D56,0)</f>
        <v>2.1292973631413491E-2</v>
      </c>
      <c r="L57" s="24">
        <f ca="1">IFERROR(L56/$D56,0)</f>
        <v>0</v>
      </c>
      <c r="R57" s="18"/>
      <c r="V57" s="18" t="s">
        <v>195</v>
      </c>
      <c r="X57" s="18" t="s">
        <v>18</v>
      </c>
      <c r="AH57" s="18"/>
      <c r="AJ57" s="2"/>
      <c r="AK57" s="31"/>
      <c r="AM57" s="61"/>
      <c r="AO57" s="61"/>
      <c r="AQ57" s="61"/>
      <c r="AS57" s="61"/>
      <c r="AU57" s="61"/>
    </row>
    <row r="58" spans="1:47" x14ac:dyDescent="0.25">
      <c r="A58" s="18"/>
      <c r="B58" s="2"/>
      <c r="C58" s="2"/>
      <c r="R58" s="4" t="s">
        <v>196</v>
      </c>
      <c r="T58" s="16" t="s">
        <v>197</v>
      </c>
      <c r="V58" s="4" t="s">
        <v>198</v>
      </c>
      <c r="X58" s="4" t="s">
        <v>175</v>
      </c>
      <c r="AH58" s="18"/>
      <c r="AJ58" s="31"/>
      <c r="AK58" s="31"/>
    </row>
    <row r="59" spans="1:47" x14ac:dyDescent="0.25">
      <c r="A59" s="18">
        <v>31</v>
      </c>
      <c r="B59" s="2"/>
      <c r="C59" s="2" t="s">
        <v>167</v>
      </c>
      <c r="D59" s="20">
        <f ca="1">SUM(F59:L59)</f>
        <v>18114.010056501611</v>
      </c>
      <c r="E59" s="14"/>
      <c r="F59" s="20">
        <f ca="1">'Storage Class'!AF162</f>
        <v>12825.262663793501</v>
      </c>
      <c r="G59" s="20">
        <f>'Storage Class'!AG162</f>
        <v>0</v>
      </c>
      <c r="H59" s="20">
        <f ca="1">'Storage Class'!AH162</f>
        <v>4874.9150424180061</v>
      </c>
      <c r="I59" s="20">
        <f>'Storage Class'!AI162</f>
        <v>0</v>
      </c>
      <c r="J59" s="20">
        <f ca="1">'Storage Class'!AJ162</f>
        <v>413.83235029010513</v>
      </c>
      <c r="K59" s="20">
        <f>'Storage Class'!AK162</f>
        <v>0</v>
      </c>
      <c r="L59" s="20">
        <f ca="1">'Storage Class'!AL162</f>
        <v>0</v>
      </c>
      <c r="AH59" s="18"/>
      <c r="AJ59" s="2"/>
      <c r="AK59" s="56"/>
      <c r="AM59" s="22"/>
      <c r="AN59" s="14"/>
      <c r="AO59" s="22"/>
      <c r="AP59" s="22"/>
      <c r="AQ59" s="22"/>
      <c r="AR59" s="22"/>
      <c r="AS59" s="22"/>
      <c r="AT59" s="22"/>
      <c r="AU59" s="22"/>
    </row>
    <row r="60" spans="1:47" x14ac:dyDescent="0.25">
      <c r="A60" s="18">
        <v>32</v>
      </c>
      <c r="B60" s="2" t="s">
        <v>226</v>
      </c>
      <c r="C60" s="2"/>
      <c r="D60" s="24">
        <f ca="1">SUM(F60:L60)</f>
        <v>1</v>
      </c>
      <c r="F60" s="24">
        <f ca="1">IFERROR(F59/$D59,0)</f>
        <v>0.70803000681730133</v>
      </c>
      <c r="H60" s="24">
        <f ca="1">IFERROR(H59/$D59,0)</f>
        <v>0.2691240110396354</v>
      </c>
      <c r="J60" s="24">
        <f ca="1">IFERROR(J59/$D59,0)</f>
        <v>2.2845982143063315E-2</v>
      </c>
      <c r="L60" s="24">
        <f ca="1">IFERROR(L59/$D59,0)</f>
        <v>0</v>
      </c>
      <c r="P60" s="1" t="s">
        <v>168</v>
      </c>
      <c r="R60" s="45">
        <f ca="1">F62</f>
        <v>449162.79816525371</v>
      </c>
      <c r="S60" s="20"/>
      <c r="T60" s="45">
        <f ca="1">H62</f>
        <v>130643.75619523317</v>
      </c>
      <c r="U60" s="20"/>
      <c r="V60" s="45">
        <f ca="1">J62</f>
        <v>11090.370233443955</v>
      </c>
      <c r="W60" s="20"/>
      <c r="X60" s="45">
        <f ca="1">L62</f>
        <v>0</v>
      </c>
      <c r="AH60" s="18"/>
      <c r="AJ60" s="2"/>
      <c r="AK60" s="31"/>
      <c r="AM60" s="61"/>
      <c r="AO60" s="61"/>
      <c r="AQ60" s="61"/>
      <c r="AS60" s="61"/>
      <c r="AU60" s="61"/>
    </row>
    <row r="61" spans="1:47" x14ac:dyDescent="0.25">
      <c r="A61" s="18"/>
      <c r="B61" s="2"/>
      <c r="C61" s="2"/>
      <c r="R61" s="24">
        <f ca="1">R60/SUM($R$60:$X$60)</f>
        <v>0.76013730901361865</v>
      </c>
      <c r="S61" s="24"/>
      <c r="T61" s="24">
        <f ca="1">T60/SUM($R$60:$X$60)</f>
        <v>0.22109398569811922</v>
      </c>
      <c r="U61" s="24"/>
      <c r="V61" s="24">
        <f ca="1">V60/SUM($R$60:$X$60)</f>
        <v>1.8768705288262157E-2</v>
      </c>
      <c r="W61" s="24"/>
      <c r="X61" s="24">
        <f ca="1">X60/SUM($R$60:$X$60)</f>
        <v>0</v>
      </c>
      <c r="AH61" s="18"/>
      <c r="AJ61" s="31"/>
      <c r="AK61" s="31"/>
    </row>
    <row r="62" spans="1:47" ht="14.5" x14ac:dyDescent="0.35">
      <c r="A62" s="18">
        <v>33</v>
      </c>
      <c r="B62" s="2"/>
      <c r="C62" s="2" t="s">
        <v>167</v>
      </c>
      <c r="D62" s="20">
        <f ca="1">SUM(F62:L62)</f>
        <v>590896.92459393083</v>
      </c>
      <c r="E62" s="14"/>
      <c r="F62" s="20">
        <f ca="1">'Storage Class'!P75-'Storage Class'!P74-'Storage Class'!P70</f>
        <v>449162.79816525371</v>
      </c>
      <c r="G62" s="20"/>
      <c r="H62" s="20">
        <f ca="1">'Storage Class'!R75-'Storage Class'!R74-'Storage Class'!R70</f>
        <v>130643.75619523317</v>
      </c>
      <c r="I62" s="20"/>
      <c r="J62" s="20">
        <f ca="1">'Storage Class'!T75-'Storage Class'!T74-'Storage Class'!T70</f>
        <v>11090.370233443955</v>
      </c>
      <c r="K62" s="20"/>
      <c r="L62" s="20">
        <f ca="1">'Storage Class'!V75-'Storage Class'!V74-'Storage Class'!V70</f>
        <v>0</v>
      </c>
      <c r="P62"/>
      <c r="Q62"/>
      <c r="R62"/>
      <c r="S62"/>
      <c r="T62"/>
      <c r="U62"/>
      <c r="V62"/>
      <c r="W62"/>
      <c r="X62"/>
      <c r="AH62" s="18"/>
      <c r="AJ62" s="2"/>
      <c r="AK62" s="56"/>
      <c r="AM62" s="22"/>
      <c r="AN62" s="14"/>
      <c r="AO62" s="22"/>
      <c r="AP62" s="22"/>
      <c r="AQ62" s="22"/>
      <c r="AR62" s="22"/>
      <c r="AS62" s="22"/>
      <c r="AT62" s="22"/>
      <c r="AU62" s="22"/>
    </row>
    <row r="63" spans="1:47" x14ac:dyDescent="0.25">
      <c r="A63" s="18">
        <v>34</v>
      </c>
      <c r="B63" s="2" t="s">
        <v>212</v>
      </c>
      <c r="C63" s="2"/>
      <c r="D63" s="24">
        <f ca="1">SUM(F63:L63)</f>
        <v>1</v>
      </c>
      <c r="F63" s="24">
        <f ca="1">IFERROR(F62/$D62,0)</f>
        <v>0.76013730901361865</v>
      </c>
      <c r="H63" s="24">
        <f ca="1">IFERROR(H62/$D62,0)</f>
        <v>0.22109398569811922</v>
      </c>
      <c r="J63" s="24">
        <f ca="1">IFERROR(J62/$D62,0)</f>
        <v>1.8768705288262157E-2</v>
      </c>
      <c r="L63" s="24">
        <f ca="1">IFERROR(L62/$D62,0)</f>
        <v>0</v>
      </c>
      <c r="P63" s="1" t="s">
        <v>149</v>
      </c>
      <c r="R63" s="45">
        <f ca="1">'Storage Class'!P162-SUM('Storage Class'!P116:P122)</f>
        <v>39238.240291071219</v>
      </c>
      <c r="S63" s="20"/>
      <c r="T63" s="45">
        <f ca="1">'Storage Class'!R162-SUM('Storage Class'!R116:R122)</f>
        <v>15826.073671319809</v>
      </c>
      <c r="U63" s="20"/>
      <c r="V63" s="45">
        <f ca="1">'Storage Class'!T162-SUM('Storage Class'!T116:T122)</f>
        <v>1343.4780311613576</v>
      </c>
      <c r="W63" s="20"/>
      <c r="X63" s="45">
        <f ca="1">'Storage Class'!V162-SUM('Storage Class'!V116:V122)</f>
        <v>0</v>
      </c>
      <c r="AH63" s="18"/>
      <c r="AJ63" s="2"/>
      <c r="AK63" s="31"/>
      <c r="AM63" s="61"/>
      <c r="AO63" s="61"/>
      <c r="AQ63" s="61"/>
      <c r="AS63" s="61"/>
      <c r="AU63" s="61"/>
    </row>
    <row r="64" spans="1:47" x14ac:dyDescent="0.25">
      <c r="A64" s="18"/>
      <c r="B64" s="2"/>
      <c r="C64" s="2"/>
      <c r="R64" s="24">
        <f ca="1">R63/SUM($R$63:$X$63)</f>
        <v>0.69561737668363788</v>
      </c>
      <c r="S64" s="24"/>
      <c r="T64" s="24">
        <f ca="1">T63/SUM($R$63:$X$63)</f>
        <v>0.28056538134179737</v>
      </c>
      <c r="U64" s="24"/>
      <c r="V64" s="24">
        <f ca="1">V63/SUM($R$63:$X$63)</f>
        <v>2.3817241974564828E-2</v>
      </c>
      <c r="W64" s="24"/>
      <c r="X64" s="24">
        <f ca="1">X63/SUM($R$63:$X$63)</f>
        <v>0</v>
      </c>
      <c r="AH64" s="18"/>
      <c r="AJ64" s="31"/>
      <c r="AK64" s="31"/>
    </row>
    <row r="65" spans="1:47" x14ac:dyDescent="0.25">
      <c r="A65" s="18">
        <v>35</v>
      </c>
      <c r="B65" s="2"/>
      <c r="C65" s="2" t="s">
        <v>167</v>
      </c>
      <c r="D65" s="20">
        <f>SUM(F65:L65)</f>
        <v>42684.892213755382</v>
      </c>
      <c r="E65" s="14"/>
      <c r="F65" s="20">
        <v>29692.352745756358</v>
      </c>
      <c r="G65" s="20"/>
      <c r="H65" s="20">
        <v>11975.903061485795</v>
      </c>
      <c r="I65" s="20"/>
      <c r="J65" s="20">
        <v>1016.63640651323</v>
      </c>
      <c r="K65" s="20"/>
      <c r="L65" s="20">
        <v>0</v>
      </c>
      <c r="AH65" s="18"/>
      <c r="AJ65" s="2"/>
      <c r="AK65" s="56"/>
      <c r="AM65" s="22"/>
      <c r="AN65" s="14"/>
      <c r="AO65" s="22"/>
      <c r="AP65" s="22"/>
      <c r="AQ65" s="22"/>
      <c r="AR65" s="22"/>
      <c r="AS65" s="22"/>
      <c r="AT65" s="22"/>
      <c r="AU65" s="22"/>
    </row>
    <row r="66" spans="1:47" ht="13" x14ac:dyDescent="0.3">
      <c r="A66" s="18">
        <v>36</v>
      </c>
      <c r="B66" s="2" t="s">
        <v>227</v>
      </c>
      <c r="C66" s="2"/>
      <c r="D66" s="24">
        <f>SUM(F66:L66)</f>
        <v>1</v>
      </c>
      <c r="F66" s="24">
        <f>IFERROR(F65/$D65,0)</f>
        <v>0.69561737668363788</v>
      </c>
      <c r="H66" s="24">
        <f>IFERROR(H65/$D65,0)</f>
        <v>0.28056538134179732</v>
      </c>
      <c r="J66" s="24">
        <f>IFERROR(J65/$D65,0)</f>
        <v>2.3817241974564824E-2</v>
      </c>
      <c r="L66" s="24">
        <f>IFERROR(L65/$D65,0)</f>
        <v>0</v>
      </c>
      <c r="P66" s="31" t="s">
        <v>230</v>
      </c>
      <c r="Q66" s="110"/>
      <c r="R66" s="103">
        <f ca="1">0.5*R61+0.5*R64</f>
        <v>0.72787734284862826</v>
      </c>
      <c r="S66" s="102"/>
      <c r="T66" s="103">
        <f ca="1">0.5*T61+0.5*T64</f>
        <v>0.25082968351995827</v>
      </c>
      <c r="U66" s="101"/>
      <c r="V66" s="103">
        <f ca="1">0.5*V61+0.5*V64</f>
        <v>2.1292973631413491E-2</v>
      </c>
      <c r="W66" s="101"/>
      <c r="X66" s="103">
        <f ca="1">0.5*X61+0.5*X64</f>
        <v>0</v>
      </c>
      <c r="AH66" s="18"/>
      <c r="AJ66" s="2"/>
      <c r="AK66" s="31"/>
      <c r="AM66" s="61"/>
      <c r="AO66" s="61"/>
      <c r="AQ66" s="61"/>
      <c r="AS66" s="61"/>
      <c r="AU66" s="61"/>
    </row>
    <row r="67" spans="1:47" x14ac:dyDescent="0.25">
      <c r="A67" s="18"/>
      <c r="B67" s="2"/>
      <c r="C67" s="2"/>
      <c r="AH67" s="18"/>
      <c r="AJ67" s="31"/>
      <c r="AK67" s="31"/>
    </row>
    <row r="68" spans="1:47" x14ac:dyDescent="0.25">
      <c r="A68" s="18">
        <v>37</v>
      </c>
      <c r="B68" s="2"/>
      <c r="C68" s="2" t="s">
        <v>166</v>
      </c>
      <c r="D68" s="20">
        <f>SUM(F68:L68)</f>
        <v>4084.6733599950671</v>
      </c>
      <c r="F68" s="20">
        <v>4023.6655469486204</v>
      </c>
      <c r="G68" s="20"/>
      <c r="H68" s="20">
        <v>56.234091636745781</v>
      </c>
      <c r="I68" s="20"/>
      <c r="J68" s="20">
        <v>4.7737214097008689</v>
      </c>
      <c r="K68" s="20"/>
      <c r="L68" s="20">
        <v>0</v>
      </c>
      <c r="AH68" s="18"/>
      <c r="AJ68" s="2"/>
      <c r="AK68" s="56"/>
      <c r="AM68" s="22"/>
      <c r="AO68" s="22"/>
      <c r="AP68" s="22"/>
      <c r="AQ68" s="22"/>
      <c r="AR68" s="22"/>
      <c r="AS68" s="22"/>
      <c r="AT68" s="22"/>
      <c r="AU68" s="22"/>
    </row>
    <row r="69" spans="1:47" x14ac:dyDescent="0.25">
      <c r="A69" s="18">
        <v>38</v>
      </c>
      <c r="B69" s="2" t="s">
        <v>220</v>
      </c>
      <c r="C69" s="2"/>
      <c r="D69" s="24">
        <f>SUM(F69:L69)</f>
        <v>0.99999999999999989</v>
      </c>
      <c r="F69" s="24">
        <f>IFERROR(F68/$D68,0)</f>
        <v>0.98506421256496246</v>
      </c>
      <c r="H69" s="24">
        <f>IFERROR(H68/$D68,0)</f>
        <v>1.3767096333209295E-2</v>
      </c>
      <c r="J69" s="24">
        <f>IFERROR(J68/$D68,0)</f>
        <v>1.1686911018281849E-3</v>
      </c>
      <c r="L69" s="24">
        <f>IFERROR(L68/$D68,0)</f>
        <v>0</v>
      </c>
      <c r="R69" s="9"/>
      <c r="T69" s="9"/>
      <c r="V69" s="9"/>
      <c r="X69" s="9"/>
      <c r="AH69" s="18"/>
      <c r="AJ69" s="2"/>
      <c r="AK69" s="56"/>
      <c r="AM69" s="61"/>
      <c r="AO69" s="61"/>
      <c r="AQ69" s="61"/>
      <c r="AS69" s="61"/>
      <c r="AU69" s="61"/>
    </row>
    <row r="70" spans="1:47" x14ac:dyDescent="0.25">
      <c r="A70" s="18"/>
      <c r="B70" s="2"/>
      <c r="C70" s="2"/>
      <c r="AH70" s="18"/>
      <c r="AJ70" s="2"/>
      <c r="AK70" s="31"/>
      <c r="AM70" s="22"/>
      <c r="AO70" s="22"/>
      <c r="AP70" s="22"/>
      <c r="AQ70" s="22"/>
      <c r="AR70" s="22"/>
      <c r="AS70" s="22"/>
      <c r="AU70" s="22"/>
    </row>
    <row r="71" spans="1:47" ht="13" x14ac:dyDescent="0.3">
      <c r="A71" s="18">
        <v>39</v>
      </c>
      <c r="B71" s="2"/>
      <c r="C71" s="2" t="s">
        <v>167</v>
      </c>
      <c r="D71" s="20">
        <f ca="1">SUM(F71:L71)</f>
        <v>1128725.1756033169</v>
      </c>
      <c r="F71" s="20">
        <f ca="1">'Storage Class'!P92</f>
        <v>462618.2301099631</v>
      </c>
      <c r="G71" s="20"/>
      <c r="H71" s="20">
        <f ca="1">'Storage Class'!R92</f>
        <v>609854.86877531186</v>
      </c>
      <c r="I71" s="20"/>
      <c r="J71" s="20">
        <f ca="1">'Storage Class'!T92</f>
        <v>56252.076718041862</v>
      </c>
      <c r="K71" s="20"/>
      <c r="L71" s="20">
        <f ca="1">'Storage Class'!V92</f>
        <v>0</v>
      </c>
      <c r="M71" s="51"/>
      <c r="AH71" s="18"/>
      <c r="AJ71" s="2"/>
      <c r="AK71" s="56"/>
      <c r="AM71" s="22"/>
      <c r="AO71" s="22"/>
      <c r="AP71" s="22"/>
      <c r="AQ71" s="22"/>
      <c r="AR71" s="22"/>
      <c r="AS71" s="22"/>
      <c r="AT71" s="22"/>
      <c r="AU71" s="22"/>
    </row>
    <row r="72" spans="1:47" x14ac:dyDescent="0.25">
      <c r="A72" s="18">
        <v>40</v>
      </c>
      <c r="B72" s="2" t="s">
        <v>219</v>
      </c>
      <c r="C72" s="2"/>
      <c r="D72" s="24">
        <f ca="1">SUM(F72:L72)</f>
        <v>0.99999999999999989</v>
      </c>
      <c r="F72" s="24">
        <f ca="1">IFERROR(F71/$D71,0)</f>
        <v>0.40985905170644238</v>
      </c>
      <c r="H72" s="24">
        <f ca="1">IFERROR(H71/$D71,0)</f>
        <v>0.54030412535924632</v>
      </c>
      <c r="J72" s="24">
        <f ca="1">IFERROR(J71/$D71,0)</f>
        <v>4.9836822934311242E-2</v>
      </c>
      <c r="L72" s="24">
        <f ca="1">IFERROR(L71/$D71,0)</f>
        <v>0</v>
      </c>
      <c r="AH72" s="18"/>
      <c r="AJ72" s="2"/>
      <c r="AK72" s="31"/>
      <c r="AM72" s="61"/>
      <c r="AO72" s="61"/>
      <c r="AQ72" s="61"/>
      <c r="AS72" s="61"/>
      <c r="AU72" s="61"/>
    </row>
    <row r="73" spans="1:47" x14ac:dyDescent="0.25">
      <c r="A73" s="18"/>
      <c r="B73" s="2"/>
      <c r="C73" s="2"/>
      <c r="AH73" s="18"/>
      <c r="AJ73" s="31"/>
      <c r="AK73" s="31"/>
    </row>
    <row r="74" spans="1:47" x14ac:dyDescent="0.25">
      <c r="A74" s="18">
        <v>41</v>
      </c>
      <c r="B74" s="2"/>
      <c r="C74" s="2" t="s">
        <v>167</v>
      </c>
      <c r="D74" s="20">
        <f ca="1">SUM(F74:L74)</f>
        <v>10889.315564516064</v>
      </c>
      <c r="E74" s="14"/>
      <c r="F74" s="20">
        <f ca="1">SUM('Storage Class'!P124,'Storage Class'!P126:P131)</f>
        <v>7314.2538809245907</v>
      </c>
      <c r="G74" s="20"/>
      <c r="H74" s="20">
        <f ca="1">SUM('Storage Class'!R124,'Storage Class'!R126:R131)</f>
        <v>3295.3213085846064</v>
      </c>
      <c r="I74" s="20"/>
      <c r="J74" s="20">
        <f ca="1">SUM('Storage Class'!T124,'Storage Class'!T126:T131)</f>
        <v>279.74037500686757</v>
      </c>
      <c r="K74" s="20"/>
      <c r="L74" s="20">
        <f ca="1">SUM('Storage Class'!V124,'Storage Class'!V126:V131)</f>
        <v>0</v>
      </c>
      <c r="AH74" s="18"/>
      <c r="AJ74" s="2"/>
      <c r="AK74" s="56"/>
      <c r="AM74" s="22"/>
      <c r="AN74" s="14"/>
      <c r="AO74" s="22"/>
      <c r="AP74" s="22"/>
      <c r="AQ74" s="22"/>
      <c r="AR74" s="22"/>
      <c r="AS74" s="22"/>
      <c r="AT74" s="22"/>
      <c r="AU74" s="22"/>
    </row>
    <row r="75" spans="1:47" x14ac:dyDescent="0.25">
      <c r="A75" s="18">
        <v>42</v>
      </c>
      <c r="B75" s="2" t="s">
        <v>225</v>
      </c>
      <c r="C75" s="2"/>
      <c r="D75" s="24">
        <f ca="1">SUM(F75:L75)</f>
        <v>0.99999999999999989</v>
      </c>
      <c r="F75" s="24">
        <f ca="1">IFERROR(F74/$D74,0)</f>
        <v>0.67169087327754795</v>
      </c>
      <c r="H75" s="24">
        <f ca="1">IFERROR(H74/$D74,0)</f>
        <v>0.30261969074739131</v>
      </c>
      <c r="J75" s="24">
        <f ca="1">IFERROR(J74/$D74,0)</f>
        <v>2.5689435975060716E-2</v>
      </c>
      <c r="L75" s="24">
        <f ca="1">IFERROR(L74/$D74,0)</f>
        <v>0</v>
      </c>
      <c r="AH75" s="18"/>
      <c r="AJ75" s="31"/>
      <c r="AK75" s="31"/>
      <c r="AM75" s="61"/>
      <c r="AO75" s="61"/>
      <c r="AQ75" s="61"/>
      <c r="AS75" s="61"/>
      <c r="AU75" s="61"/>
    </row>
    <row r="76" spans="1:47" x14ac:dyDescent="0.25">
      <c r="B76" s="18"/>
      <c r="C76" s="2"/>
      <c r="AH76" s="18"/>
      <c r="AJ76" s="31"/>
      <c r="AK76" s="31"/>
    </row>
    <row r="78" spans="1:47" x14ac:dyDescent="0.25">
      <c r="F78" s="9"/>
      <c r="H78" s="9"/>
      <c r="J78" s="9"/>
      <c r="L78" s="9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25">
    <cfRule type="cellIs" dxfId="27" priority="11" operator="equal">
      <formula>"check"</formula>
    </cfRule>
    <cfRule type="cellIs" dxfId="26" priority="12" operator="equal">
      <formula>"ok"</formula>
    </cfRule>
  </conditionalFormatting>
  <conditionalFormatting sqref="M128">
    <cfRule type="cellIs" dxfId="25" priority="9" operator="equal">
      <formula>"check"</formula>
    </cfRule>
    <cfRule type="cellIs" dxfId="24" priority="10" operator="equal">
      <formula>"ok"</formula>
    </cfRule>
  </conditionalFormatting>
  <conditionalFormatting sqref="M131">
    <cfRule type="cellIs" dxfId="23" priority="7" operator="equal">
      <formula>"check"</formula>
    </cfRule>
    <cfRule type="cellIs" dxfId="22" priority="8" operator="equal">
      <formula>"ok"</formula>
    </cfRule>
  </conditionalFormatting>
  <conditionalFormatting sqref="M134">
    <cfRule type="cellIs" dxfId="21" priority="5" operator="equal">
      <formula>"check"</formula>
    </cfRule>
    <cfRule type="cellIs" dxfId="20" priority="6" operator="equal">
      <formula>"ok"</formula>
    </cfRule>
  </conditionalFormatting>
  <conditionalFormatting sqref="M137">
    <cfRule type="cellIs" dxfId="19" priority="13" operator="equal">
      <formula>"check"</formula>
    </cfRule>
    <cfRule type="cellIs" dxfId="18" priority="14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6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  <pageSetUpPr fitToPage="1"/>
  </sheetPr>
  <dimension ref="B5:BD181"/>
  <sheetViews>
    <sheetView topLeftCell="A4" zoomScale="80" zoomScaleNormal="80" workbookViewId="0">
      <pane xSplit="4" ySplit="10" topLeftCell="T158" activePane="bottomRight" state="frozen"/>
      <selection pane="topRight" activeCell="D173" sqref="D173"/>
      <selection pane="bottomLeft" activeCell="D173" sqref="D173"/>
      <selection pane="bottomRight" activeCell="AN160" sqref="AN160"/>
    </sheetView>
  </sheetViews>
  <sheetFormatPr defaultColWidth="9.1796875" defaultRowHeight="12.5" x14ac:dyDescent="0.25"/>
  <cols>
    <col min="1" max="1" width="1.7265625" style="1" customWidth="1"/>
    <col min="2" max="2" width="5.54296875" style="18" bestFit="1" customWidth="1"/>
    <col min="3" max="3" width="1.7265625" style="1" customWidth="1"/>
    <col min="4" max="4" width="46" style="1" bestFit="1" customWidth="1"/>
    <col min="5" max="5" width="1.7265625" style="1" customWidth="1"/>
    <col min="6" max="6" width="19.7265625" style="31" customWidth="1"/>
    <col min="7" max="7" width="1.7265625" style="31" customWidth="1"/>
    <col min="8" max="8" width="13.1796875" style="31" customWidth="1"/>
    <col min="9" max="9" width="1.7265625" style="31" customWidth="1"/>
    <col min="10" max="10" width="19.26953125" style="31" customWidth="1"/>
    <col min="11" max="11" width="1.7265625" style="71" customWidth="1"/>
    <col min="12" max="12" width="13.26953125" style="31" customWidth="1"/>
    <col min="13" max="13" width="1.7265625" style="1" customWidth="1"/>
    <col min="14" max="14" width="27" style="1" bestFit="1" customWidth="1"/>
    <col min="15" max="15" width="1.7265625" style="71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customWidth="1"/>
    <col min="25" max="25" width="1.7265625" style="1" customWidth="1"/>
    <col min="26" max="26" width="15.453125" style="1" customWidth="1"/>
    <col min="27" max="27" width="1.7265625" style="1" customWidth="1"/>
    <col min="28" max="28" width="15.453125" style="1" customWidth="1"/>
    <col min="29" max="29" width="1.7265625" style="1" customWidth="1"/>
    <col min="30" max="30" width="15.453125" style="1" customWidth="1"/>
    <col min="31" max="31" width="1.7265625" style="1" customWidth="1"/>
    <col min="32" max="32" width="15.453125" style="1" hidden="1" customWidth="1"/>
    <col min="33" max="33" width="9.1796875" style="1"/>
    <col min="34" max="34" width="0" style="1" hidden="1" customWidth="1"/>
    <col min="35" max="35" width="9.1796875" style="1"/>
    <col min="36" max="36" width="9.1796875" style="31"/>
    <col min="37" max="37" width="11.54296875" style="31" customWidth="1"/>
    <col min="38" max="39" width="9.1796875" style="31"/>
    <col min="40" max="40" width="11.54296875" style="31" customWidth="1"/>
    <col min="41" max="41" width="2.1796875" style="31" customWidth="1"/>
    <col min="42" max="42" width="11.54296875" style="31" customWidth="1"/>
    <col min="43" max="43" width="2" style="31" customWidth="1"/>
    <col min="44" max="44" width="11.54296875" style="31" customWidth="1"/>
    <col min="45" max="45" width="2.1796875" style="31" customWidth="1"/>
    <col min="46" max="46" width="11.54296875" style="31" customWidth="1"/>
    <col min="47" max="47" width="2.1796875" style="31" customWidth="1"/>
    <col min="48" max="48" width="11.54296875" style="31" customWidth="1"/>
    <col min="49" max="49" width="2.1796875" style="31" customWidth="1"/>
    <col min="50" max="50" width="11.54296875" style="31" customWidth="1"/>
    <col min="51" max="51" width="2.1796875" style="31" customWidth="1"/>
    <col min="52" max="52" width="11.54296875" style="31" customWidth="1"/>
    <col min="53" max="53" width="2.1796875" style="31" customWidth="1"/>
    <col min="54" max="54" width="11.54296875" style="31" customWidth="1"/>
    <col min="55" max="55" width="2.1796875" style="31" customWidth="1"/>
    <col min="56" max="56" width="11.54296875" style="31" customWidth="1"/>
    <col min="57" max="16384" width="9.1796875" style="1"/>
  </cols>
  <sheetData>
    <row r="5" spans="2:56" ht="15" customHeight="1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2:56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</row>
    <row r="7" spans="2:56" ht="15" customHeight="1" x14ac:dyDescent="0.25">
      <c r="B7" s="155" t="s">
        <v>231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</row>
    <row r="10" spans="2:56" x14ac:dyDescent="0.25">
      <c r="H10" s="2" t="s">
        <v>2</v>
      </c>
      <c r="J10" s="2" t="s">
        <v>3</v>
      </c>
      <c r="L10" s="2" t="s">
        <v>4</v>
      </c>
      <c r="N10" s="18" t="s">
        <v>19</v>
      </c>
      <c r="P10" s="156" t="s">
        <v>232</v>
      </c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</row>
    <row r="11" spans="2:56" x14ac:dyDescent="0.25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171</v>
      </c>
      <c r="P11" s="18" t="s">
        <v>233</v>
      </c>
      <c r="Q11" s="18"/>
      <c r="R11" s="2" t="s">
        <v>234</v>
      </c>
      <c r="S11" s="3"/>
      <c r="T11" s="2" t="s">
        <v>235</v>
      </c>
      <c r="U11" s="3"/>
      <c r="V11" s="2" t="s">
        <v>233</v>
      </c>
      <c r="W11" s="3"/>
      <c r="X11" s="2"/>
      <c r="Y11" s="3"/>
      <c r="Z11" s="2"/>
      <c r="AA11" s="2"/>
      <c r="AB11" s="2"/>
      <c r="AC11" s="2"/>
      <c r="AD11" s="2" t="s">
        <v>19</v>
      </c>
      <c r="AF11" s="2"/>
    </row>
    <row r="12" spans="2:56" ht="13" x14ac:dyDescent="0.3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K12" s="71" t="s">
        <v>236</v>
      </c>
      <c r="L12" s="33" t="s">
        <v>174</v>
      </c>
      <c r="N12" s="4" t="s">
        <v>14</v>
      </c>
      <c r="O12" s="70" t="s">
        <v>236</v>
      </c>
      <c r="P12" s="4" t="s">
        <v>237</v>
      </c>
      <c r="Q12" s="18"/>
      <c r="R12" s="4" t="s">
        <v>237</v>
      </c>
      <c r="S12" s="18"/>
      <c r="T12" s="4" t="s">
        <v>237</v>
      </c>
      <c r="U12" s="18"/>
      <c r="V12" s="4" t="s">
        <v>235</v>
      </c>
      <c r="W12" s="18"/>
      <c r="X12" s="4" t="s">
        <v>238</v>
      </c>
      <c r="Y12" s="18"/>
      <c r="Z12" s="4" t="s">
        <v>239</v>
      </c>
      <c r="AA12" s="18"/>
      <c r="AB12" s="4" t="s">
        <v>240</v>
      </c>
      <c r="AC12" s="18"/>
      <c r="AD12" s="4" t="s">
        <v>175</v>
      </c>
      <c r="AF12" s="4" t="s">
        <v>2</v>
      </c>
      <c r="AH12" s="26" t="s">
        <v>21</v>
      </c>
      <c r="AJ12" s="94"/>
    </row>
    <row r="13" spans="2:56" x14ac:dyDescent="0.25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0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180</v>
      </c>
      <c r="Y13" s="18"/>
      <c r="Z13" s="18" t="s">
        <v>181</v>
      </c>
      <c r="AA13" s="18"/>
      <c r="AB13" s="18" t="s">
        <v>241</v>
      </c>
      <c r="AC13" s="18"/>
      <c r="AD13" s="18" t="s">
        <v>242</v>
      </c>
      <c r="AF13" s="18" t="s">
        <v>243</v>
      </c>
      <c r="AH13" s="27"/>
    </row>
    <row r="14" spans="2:56" s="71" customFormat="1" x14ac:dyDescent="0.25">
      <c r="B14" s="70"/>
      <c r="F14" s="31"/>
      <c r="G14" s="31"/>
      <c r="H14" s="31"/>
      <c r="I14" s="31"/>
      <c r="J14" s="31"/>
      <c r="L14" s="31"/>
      <c r="P14" s="71">
        <v>4</v>
      </c>
      <c r="R14" s="71">
        <v>6</v>
      </c>
      <c r="T14" s="71">
        <v>8</v>
      </c>
      <c r="V14" s="71">
        <v>10</v>
      </c>
      <c r="X14" s="71">
        <v>12</v>
      </c>
      <c r="Z14" s="71">
        <v>14</v>
      </c>
      <c r="AB14" s="71">
        <v>16</v>
      </c>
      <c r="AD14" s="71">
        <v>18</v>
      </c>
      <c r="AH14" s="72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</row>
    <row r="15" spans="2:56" ht="13" x14ac:dyDescent="0.3">
      <c r="D15" s="6"/>
      <c r="E15" s="6"/>
      <c r="F15" s="74"/>
      <c r="AH15" s="25"/>
      <c r="AK15" s="2" t="s">
        <v>199</v>
      </c>
      <c r="AN15" s="2" t="s">
        <v>233</v>
      </c>
      <c r="AO15" s="2"/>
      <c r="AP15" s="2" t="s">
        <v>234</v>
      </c>
      <c r="AQ15" s="2"/>
      <c r="AR15" s="2" t="s">
        <v>235</v>
      </c>
      <c r="AS15" s="2"/>
      <c r="AT15" s="2" t="s">
        <v>244</v>
      </c>
      <c r="AU15" s="2"/>
      <c r="AV15" s="2" t="s">
        <v>245</v>
      </c>
      <c r="AW15" s="2"/>
      <c r="AX15" s="2"/>
      <c r="AY15" s="2"/>
      <c r="AZ15" s="2"/>
      <c r="BA15" s="2"/>
      <c r="BB15" s="2" t="s">
        <v>19</v>
      </c>
      <c r="BD15" s="2"/>
    </row>
    <row r="16" spans="2:56" ht="13" x14ac:dyDescent="0.3">
      <c r="D16" s="6" t="s">
        <v>183</v>
      </c>
      <c r="E16" s="7"/>
      <c r="F16" s="75"/>
      <c r="AH16" s="27"/>
      <c r="AK16" s="33" t="s">
        <v>201</v>
      </c>
      <c r="AN16" s="33" t="s">
        <v>237</v>
      </c>
      <c r="AO16" s="2"/>
      <c r="AP16" s="33" t="s">
        <v>237</v>
      </c>
      <c r="AQ16" s="2"/>
      <c r="AR16" s="33" t="s">
        <v>237</v>
      </c>
      <c r="AS16" s="2"/>
      <c r="AT16" s="33" t="s">
        <v>235</v>
      </c>
      <c r="AU16" s="2"/>
      <c r="AV16" s="33" t="s">
        <v>238</v>
      </c>
      <c r="AW16" s="2"/>
      <c r="AX16" s="33" t="s">
        <v>239</v>
      </c>
      <c r="AY16" s="2"/>
      <c r="AZ16" s="33" t="s">
        <v>240</v>
      </c>
      <c r="BA16" s="2"/>
      <c r="BB16" s="33" t="s">
        <v>175</v>
      </c>
      <c r="BD16" s="33" t="s">
        <v>2</v>
      </c>
    </row>
    <row r="17" spans="2:56" ht="13" x14ac:dyDescent="0.3">
      <c r="AH17" s="25" t="str">
        <f t="shared" ref="AH17:AH30" si="0">IF(ROUND(F17,4)=ROUND(AF17,4), "", "check")</f>
        <v/>
      </c>
    </row>
    <row r="18" spans="2:56" ht="13" x14ac:dyDescent="0.3">
      <c r="B18" s="18">
        <v>1</v>
      </c>
      <c r="D18" s="1" t="s">
        <v>33</v>
      </c>
      <c r="F18" s="48">
        <f ca="1">Function!T18</f>
        <v>79166.942309318154</v>
      </c>
      <c r="H18" s="48"/>
      <c r="J18" s="2"/>
      <c r="K18" s="70">
        <f>_xlfn.IFNA(MATCH(J18,'Trans Factors'!$B$13:$B$450,0),0)</f>
        <v>0</v>
      </c>
      <c r="L18" s="48">
        <f ca="1">F18-H18</f>
        <v>79166.942309318154</v>
      </c>
      <c r="N18" s="18" t="s">
        <v>246</v>
      </c>
      <c r="O18" s="70">
        <f>_xlfn.IFNA(MATCH(N18,'Trans Factors'!$B$13:$B$450,0),0)</f>
        <v>29</v>
      </c>
      <c r="P18" s="20">
        <f ca="1">OFFSET('Trans Factors'!$B$13,$O18-1,P$14)*$L18+OFFSET('Trans Factors'!$B$13,$K18-1,P$14)*$H18</f>
        <v>3031.2129016562194</v>
      </c>
      <c r="R18" s="20">
        <f ca="1">OFFSET('Trans Factors'!$B$13,$O18-1,R$14)*$L18+OFFSET('Trans Factors'!$B$13,$K18-1,R$14)*$H18</f>
        <v>0</v>
      </c>
      <c r="S18" s="20"/>
      <c r="T18" s="20">
        <f ca="1">OFFSET('Trans Factors'!$B$13,$O18-1,T$14)*$L18+OFFSET('Trans Factors'!$B$13,$K18-1,T$14)*$H18</f>
        <v>31159.85507274729</v>
      </c>
      <c r="U18" s="20"/>
      <c r="V18" s="20">
        <f ca="1">OFFSET('Trans Factors'!$B$13,$O18-1,V$14)*$L18+OFFSET('Trans Factors'!$B$13,$K18-1,V$14)*$H18</f>
        <v>39457.139453762706</v>
      </c>
      <c r="X18" s="20">
        <f ca="1">OFFSET('Trans Factors'!$B$13,$O18-1,X$14)*$L18+OFFSET('Trans Factors'!$B$13,$K18-1,X$14)*$H18</f>
        <v>42.977502499999993</v>
      </c>
      <c r="Y18" s="9"/>
      <c r="Z18" s="20">
        <f ca="1">OFFSET('Trans Factors'!$B$13,$O18-1,Z$14)*$L18+OFFSET('Trans Factors'!$B$13,$K18-1,Z$14)*$H18</f>
        <v>5464.8697086519442</v>
      </c>
      <c r="AA18" s="20"/>
      <c r="AB18" s="20">
        <f ca="1">OFFSET('Trans Factors'!$B$13,$O18-1,AB$14)*$L18+OFFSET('Trans Factors'!$B$13,$K18-1,AB$14)*$H18</f>
        <v>10.887669999999998</v>
      </c>
      <c r="AC18" s="20"/>
      <c r="AD18" s="20">
        <f ca="1">OFFSET('Trans Factors'!$B$13,$O18-1,AD$14)*$L18+OFFSET('Trans Factors'!$B$13,$K18-1,AD$14)*$H18</f>
        <v>0</v>
      </c>
      <c r="AF18" s="20">
        <f ca="1">P18+R18+T18+V18+X18+Z18+AB18+AD18</f>
        <v>79166.942309318139</v>
      </c>
      <c r="AH18" s="25" t="str">
        <f t="shared" ca="1" si="0"/>
        <v/>
      </c>
      <c r="AK18" s="89">
        <v>0</v>
      </c>
      <c r="AN18" s="89">
        <f t="shared" ref="AN18:AN30" ca="1" si="1">IFERROR(P18/$AF18*$AK18,"")</f>
        <v>0</v>
      </c>
      <c r="AO18" s="92"/>
      <c r="AP18" s="89">
        <f t="shared" ref="AP18:AP30" ca="1" si="2">IFERROR(R18/$AF18*$AK18,"")</f>
        <v>0</v>
      </c>
      <c r="AQ18" s="92"/>
      <c r="AR18" s="89">
        <f t="shared" ref="AR18:AR30" ca="1" si="3">IFERROR(T18/$AF18*$AK18,"")</f>
        <v>0</v>
      </c>
      <c r="AS18" s="92"/>
      <c r="AT18" s="89">
        <f t="shared" ref="AT18:AT30" ca="1" si="4">IFERROR(V18/$AF18*$AK18,"")</f>
        <v>0</v>
      </c>
      <c r="AU18" s="92"/>
      <c r="AV18" s="89">
        <f t="shared" ref="AV18:AV30" ca="1" si="5">IFERROR(X18/$AF18*$AK18,"")</f>
        <v>0</v>
      </c>
      <c r="AW18" s="92"/>
      <c r="AX18" s="89">
        <f t="shared" ref="AX18:AX30" ca="1" si="6">IFERROR(Z18/$AF18*$AK18,"")</f>
        <v>0</v>
      </c>
      <c r="AY18" s="76"/>
      <c r="AZ18" s="89">
        <f t="shared" ref="AZ18:AZ30" ca="1" si="7">IFERROR(AB18/$AF18*$AK18,"")</f>
        <v>0</v>
      </c>
      <c r="BA18" s="92"/>
      <c r="BB18" s="89">
        <f t="shared" ref="BB18:BB30" ca="1" si="8">IFERROR(AD18/$AF18*$AK18,"")</f>
        <v>0</v>
      </c>
      <c r="BD18" s="95">
        <f ca="1">SUM(AN18:BB18)</f>
        <v>0</v>
      </c>
    </row>
    <row r="19" spans="2:56" ht="13" x14ac:dyDescent="0.3">
      <c r="B19" s="18">
        <f>B18+1</f>
        <v>2</v>
      </c>
      <c r="D19" s="1" t="s">
        <v>35</v>
      </c>
      <c r="F19" s="48">
        <f ca="1">Function!T19</f>
        <v>66946.67524576078</v>
      </c>
      <c r="H19" s="48"/>
      <c r="J19" s="2"/>
      <c r="K19" s="70">
        <f>_xlfn.IFNA(MATCH(J19,'Trans Factors'!$B$13:$B$450,0),0)</f>
        <v>0</v>
      </c>
      <c r="L19" s="48">
        <f t="shared" ref="L19:L30" ca="1" si="9">F19-H19</f>
        <v>66946.67524576078</v>
      </c>
      <c r="N19" s="18" t="s">
        <v>247</v>
      </c>
      <c r="O19" s="70">
        <f>_xlfn.IFNA(MATCH(N19,'Trans Factors'!$B$13:$B$450,0),0)</f>
        <v>32</v>
      </c>
      <c r="P19" s="20">
        <f ca="1">OFFSET('Trans Factors'!$B$13,$O19-1,P$14)*$L19+OFFSET('Trans Factors'!$B$13,$K19-1,P$14)*$H19</f>
        <v>0</v>
      </c>
      <c r="R19" s="20">
        <f ca="1">OFFSET('Trans Factors'!$B$13,$O19-1,R$14)*$L19+OFFSET('Trans Factors'!$B$13,$K19-1,R$14)*$H19</f>
        <v>0</v>
      </c>
      <c r="S19" s="20"/>
      <c r="T19" s="20">
        <f ca="1">OFFSET('Trans Factors'!$B$13,$O19-1,T$14)*$L19+OFFSET('Trans Factors'!$B$13,$K19-1,T$14)*$H19</f>
        <v>449.29173225577108</v>
      </c>
      <c r="U19" s="20"/>
      <c r="V19" s="20">
        <f ca="1">OFFSET('Trans Factors'!$B$13,$O19-1,V$14)*$L19+OFFSET('Trans Factors'!$B$13,$K19-1,V$14)*$H19</f>
        <v>36010.838755091449</v>
      </c>
      <c r="X19" s="20">
        <f ca="1">OFFSET('Trans Factors'!$B$13,$O19-1,X$14)*$L19+OFFSET('Trans Factors'!$B$13,$K19-1,X$14)*$H19</f>
        <v>19861.049590000006</v>
      </c>
      <c r="Y19" s="9"/>
      <c r="Z19" s="20">
        <f ca="1">OFFSET('Trans Factors'!$B$13,$O19-1,Z$14)*$L19+OFFSET('Trans Factors'!$B$13,$K19-1,Z$14)*$H19</f>
        <v>10100.296498413567</v>
      </c>
      <c r="AA19" s="20"/>
      <c r="AB19" s="20">
        <f ca="1">OFFSET('Trans Factors'!$B$13,$O19-1,AB$14)*$L19+OFFSET('Trans Factors'!$B$13,$K19-1,AB$14)*$H19</f>
        <v>525.19867000000011</v>
      </c>
      <c r="AC19" s="20"/>
      <c r="AD19" s="20">
        <f ca="1">OFFSET('Trans Factors'!$B$13,$O19-1,AD$14)*$L19+OFFSET('Trans Factors'!$B$13,$K19-1,AD$14)*$H19</f>
        <v>0</v>
      </c>
      <c r="AF19" s="20">
        <f t="shared" ref="AF19:AF30" ca="1" si="10">P19+R19+T19+V19+X19+Z19+AB19+AD19</f>
        <v>66946.67524576078</v>
      </c>
      <c r="AH19" s="25" t="str">
        <f t="shared" ca="1" si="0"/>
        <v/>
      </c>
      <c r="AK19" s="89">
        <v>1072.9007198544787</v>
      </c>
      <c r="AN19" s="89">
        <f t="shared" ca="1" si="1"/>
        <v>0</v>
      </c>
      <c r="AO19" s="92"/>
      <c r="AP19" s="89">
        <f t="shared" ca="1" si="2"/>
        <v>0</v>
      </c>
      <c r="AQ19" s="92"/>
      <c r="AR19" s="89">
        <f t="shared" ca="1" si="3"/>
        <v>7.2004385758112273</v>
      </c>
      <c r="AS19" s="92"/>
      <c r="AT19" s="89">
        <f t="shared" ca="1" si="4"/>
        <v>577.11685727586155</v>
      </c>
      <c r="AU19" s="92"/>
      <c r="AV19" s="89">
        <f t="shared" ca="1" si="5"/>
        <v>318.29712713815218</v>
      </c>
      <c r="AW19" s="92"/>
      <c r="AX19" s="89">
        <f t="shared" ca="1" si="6"/>
        <v>161.86935862177543</v>
      </c>
      <c r="AY19" s="76"/>
      <c r="AZ19" s="89">
        <f t="shared" ca="1" si="7"/>
        <v>8.4169382428785546</v>
      </c>
      <c r="BA19" s="92"/>
      <c r="BB19" s="89">
        <f t="shared" ca="1" si="8"/>
        <v>0</v>
      </c>
      <c r="BD19" s="95">
        <f t="shared" ref="BD19:BD30" ca="1" si="11">SUM(AN19:BB19)</f>
        <v>1072.9007198544789</v>
      </c>
    </row>
    <row r="20" spans="2:56" ht="13" x14ac:dyDescent="0.3">
      <c r="B20" s="18">
        <f t="shared" ref="B20:B31" si="12">B19+1</f>
        <v>3</v>
      </c>
      <c r="D20" s="1" t="s">
        <v>37</v>
      </c>
      <c r="F20" s="48">
        <f ca="1">Function!T20</f>
        <v>211517.76996137522</v>
      </c>
      <c r="H20" s="48"/>
      <c r="J20" s="2"/>
      <c r="K20" s="70">
        <f>_xlfn.IFNA(MATCH(J20,'Trans Factors'!$B$13:$B$450,0),0)</f>
        <v>0</v>
      </c>
      <c r="L20" s="48">
        <f t="shared" ca="1" si="9"/>
        <v>211517.76996137522</v>
      </c>
      <c r="N20" s="18" t="s">
        <v>248</v>
      </c>
      <c r="O20" s="70">
        <f>_xlfn.IFNA(MATCH(N20,'Trans Factors'!$B$13:$B$450,0),0)</f>
        <v>65</v>
      </c>
      <c r="P20" s="20">
        <f ca="1">OFFSET('Trans Factors'!$B$13,$O20-1,P$14)*$L20+OFFSET('Trans Factors'!$B$13,$K20-1,P$14)*$H20</f>
        <v>38917.497387146512</v>
      </c>
      <c r="R20" s="20">
        <f ca="1">OFFSET('Trans Factors'!$B$13,$O20-1,R$14)*$L20+OFFSET('Trans Factors'!$B$13,$K20-1,R$14)*$H20</f>
        <v>1921.1219134951616</v>
      </c>
      <c r="S20" s="20"/>
      <c r="T20" s="20">
        <f ca="1">OFFSET('Trans Factors'!$B$13,$O20-1,T$14)*$L20+OFFSET('Trans Factors'!$B$13,$K20-1,T$14)*$H20</f>
        <v>78518.226456491437</v>
      </c>
      <c r="U20" s="20"/>
      <c r="V20" s="20">
        <f ca="1">OFFSET('Trans Factors'!$B$13,$O20-1,V$14)*$L20+OFFSET('Trans Factors'!$B$13,$K20-1,V$14)*$H20</f>
        <v>87003.762408955983</v>
      </c>
      <c r="X20" s="20">
        <f ca="1">OFFSET('Trans Factors'!$B$13,$O20-1,X$14)*$L20+OFFSET('Trans Factors'!$B$13,$K20-1,X$14)*$H20</f>
        <v>0</v>
      </c>
      <c r="Y20" s="9"/>
      <c r="Z20" s="20">
        <f ca="1">OFFSET('Trans Factors'!$B$13,$O20-1,Z$14)*$L20+OFFSET('Trans Factors'!$B$13,$K20-1,Z$14)*$H20</f>
        <v>5126.9828179340566</v>
      </c>
      <c r="AA20" s="20"/>
      <c r="AB20" s="20">
        <f ca="1">OFFSET('Trans Factors'!$B$13,$O20-1,AB$14)*$L20+OFFSET('Trans Factors'!$B$13,$K20-1,AB$14)*$H20</f>
        <v>30.17897735203092</v>
      </c>
      <c r="AC20" s="20"/>
      <c r="AD20" s="20">
        <f ca="1">OFFSET('Trans Factors'!$B$13,$O20-1,AD$14)*$L20+OFFSET('Trans Factors'!$B$13,$K20-1,AD$14)*$H20</f>
        <v>0</v>
      </c>
      <c r="AF20" s="20">
        <f t="shared" ca="1" si="10"/>
        <v>211517.76996137522</v>
      </c>
      <c r="AH20" s="25" t="str">
        <f t="shared" ca="1" si="0"/>
        <v/>
      </c>
      <c r="AK20" s="89">
        <v>4666.9598691332048</v>
      </c>
      <c r="AN20" s="89">
        <f t="shared" ca="1" si="1"/>
        <v>858.68151194141046</v>
      </c>
      <c r="AO20" s="92"/>
      <c r="AP20" s="89">
        <f t="shared" ca="1" si="2"/>
        <v>42.387922658373029</v>
      </c>
      <c r="AQ20" s="92"/>
      <c r="AR20" s="89">
        <f t="shared" ca="1" si="3"/>
        <v>1732.4379504136871</v>
      </c>
      <c r="AS20" s="92"/>
      <c r="AT20" s="89">
        <f t="shared" ca="1" si="4"/>
        <v>1919.6640911084885</v>
      </c>
      <c r="AU20" s="92"/>
      <c r="AV20" s="89">
        <f t="shared" ca="1" si="5"/>
        <v>0</v>
      </c>
      <c r="AW20" s="92"/>
      <c r="AX20" s="89">
        <f t="shared" ca="1" si="6"/>
        <v>113.12251951882362</v>
      </c>
      <c r="AY20" s="76"/>
      <c r="AZ20" s="89">
        <f t="shared" ca="1" si="7"/>
        <v>0.66587349242159366</v>
      </c>
      <c r="BA20" s="92"/>
      <c r="BB20" s="89">
        <f t="shared" ca="1" si="8"/>
        <v>0</v>
      </c>
      <c r="BD20" s="95">
        <f t="shared" ca="1" si="11"/>
        <v>4666.9598691332039</v>
      </c>
    </row>
    <row r="21" spans="2:56" ht="13" x14ac:dyDescent="0.3">
      <c r="B21" s="18">
        <f t="shared" si="12"/>
        <v>4</v>
      </c>
      <c r="D21" s="1" t="s">
        <v>39</v>
      </c>
      <c r="F21" s="48">
        <f ca="1">Function!T21</f>
        <v>251233.18487320884</v>
      </c>
      <c r="H21" s="48"/>
      <c r="J21" s="2"/>
      <c r="K21" s="70">
        <f>_xlfn.IFNA(MATCH(J21,'Trans Factors'!$B$13:$B$450,0),0)</f>
        <v>0</v>
      </c>
      <c r="L21" s="48">
        <f t="shared" ca="1" si="9"/>
        <v>251233.18487320884</v>
      </c>
      <c r="N21" s="18" t="s">
        <v>249</v>
      </c>
      <c r="O21" s="70">
        <f>_xlfn.IFNA(MATCH(N21,'Trans Factors'!$B$13:$B$450,0),0)</f>
        <v>47</v>
      </c>
      <c r="P21" s="20">
        <f ca="1">OFFSET('Trans Factors'!$B$13,$O21-1,P$14)*$L21+OFFSET('Trans Factors'!$B$13,$K21-1,P$14)*$H21</f>
        <v>78959.90158724878</v>
      </c>
      <c r="R21" s="20">
        <f ca="1">OFFSET('Trans Factors'!$B$13,$O21-1,R$14)*$L21+OFFSET('Trans Factors'!$B$13,$K21-1,R$14)*$H21</f>
        <v>14671.957388417999</v>
      </c>
      <c r="S21" s="20"/>
      <c r="T21" s="20">
        <f ca="1">OFFSET('Trans Factors'!$B$13,$O21-1,T$14)*$L21+OFFSET('Trans Factors'!$B$13,$K21-1,T$14)*$H21</f>
        <v>59837.565322128161</v>
      </c>
      <c r="U21" s="20"/>
      <c r="V21" s="20">
        <f ca="1">OFFSET('Trans Factors'!$B$13,$O21-1,V$14)*$L21+OFFSET('Trans Factors'!$B$13,$K21-1,V$14)*$H21</f>
        <v>0</v>
      </c>
      <c r="X21" s="20">
        <f ca="1">OFFSET('Trans Factors'!$B$13,$O21-1,X$14)*$L21+OFFSET('Trans Factors'!$B$13,$K21-1,X$14)*$H21</f>
        <v>3464.1131800000003</v>
      </c>
      <c r="Y21" s="9"/>
      <c r="Z21" s="20">
        <f ca="1">OFFSET('Trans Factors'!$B$13,$O21-1,Z$14)*$L21+OFFSET('Trans Factors'!$B$13,$K21-1,Z$14)*$H21</f>
        <v>90929.806170290787</v>
      </c>
      <c r="AA21" s="20"/>
      <c r="AB21" s="20">
        <f ca="1">OFFSET('Trans Factors'!$B$13,$O21-1,AB$14)*$L21+OFFSET('Trans Factors'!$B$13,$K21-1,AB$14)*$H21</f>
        <v>3369.841225123128</v>
      </c>
      <c r="AC21" s="20"/>
      <c r="AD21" s="20">
        <f ca="1">OFFSET('Trans Factors'!$B$13,$O21-1,AD$14)*$L21+OFFSET('Trans Factors'!$B$13,$K21-1,AD$14)*$H21</f>
        <v>0</v>
      </c>
      <c r="AF21" s="20">
        <f t="shared" ca="1" si="10"/>
        <v>251233.18487320884</v>
      </c>
      <c r="AH21" s="25" t="str">
        <f t="shared" ca="1" si="0"/>
        <v/>
      </c>
      <c r="AK21" s="89">
        <v>6385.0722624694008</v>
      </c>
      <c r="AN21" s="89">
        <f t="shared" ca="1" si="1"/>
        <v>2006.759886145197</v>
      </c>
      <c r="AO21" s="92"/>
      <c r="AP21" s="89">
        <f t="shared" ca="1" si="2"/>
        <v>372.88667977599971</v>
      </c>
      <c r="AQ21" s="92"/>
      <c r="AR21" s="89">
        <f t="shared" ca="1" si="3"/>
        <v>1520.7671661084153</v>
      </c>
      <c r="AS21" s="92"/>
      <c r="AT21" s="89">
        <f t="shared" ca="1" si="4"/>
        <v>0</v>
      </c>
      <c r="AU21" s="92"/>
      <c r="AV21" s="89">
        <f t="shared" ca="1" si="5"/>
        <v>88.040172681946402</v>
      </c>
      <c r="AW21" s="92"/>
      <c r="AX21" s="89">
        <f t="shared" ca="1" si="6"/>
        <v>2310.974099630404</v>
      </c>
      <c r="AY21" s="76"/>
      <c r="AZ21" s="89">
        <f t="shared" ca="1" si="7"/>
        <v>85.644258127438547</v>
      </c>
      <c r="BA21" s="92"/>
      <c r="BB21" s="89">
        <f t="shared" ca="1" si="8"/>
        <v>0</v>
      </c>
      <c r="BD21" s="95">
        <f t="shared" ca="1" si="11"/>
        <v>6385.0722624694008</v>
      </c>
    </row>
    <row r="22" spans="2:56" ht="13" x14ac:dyDescent="0.3">
      <c r="B22" s="18">
        <f t="shared" si="12"/>
        <v>5</v>
      </c>
      <c r="D22" s="1" t="s">
        <v>41</v>
      </c>
      <c r="F22" s="48">
        <f ca="1">Function!T22</f>
        <v>1996976.7673333895</v>
      </c>
      <c r="H22" s="48"/>
      <c r="K22" s="70">
        <f>_xlfn.IFNA(MATCH(J22,'Trans Factors'!$B$13:$B$450,0),0)</f>
        <v>0</v>
      </c>
      <c r="L22" s="48">
        <f t="shared" ca="1" si="9"/>
        <v>1996976.7673333895</v>
      </c>
      <c r="N22" s="18" t="s">
        <v>250</v>
      </c>
      <c r="O22" s="70">
        <f>_xlfn.IFNA(MATCH(N22,'Trans Factors'!$B$13:$B$450,0),0)</f>
        <v>41</v>
      </c>
      <c r="P22" s="20">
        <f ca="1">OFFSET('Trans Factors'!$B$13,$O22-1,P$14)*$L22+OFFSET('Trans Factors'!$B$13,$K22-1,P$14)*$H22</f>
        <v>0</v>
      </c>
      <c r="R22" s="20">
        <f ca="1">OFFSET('Trans Factors'!$B$13,$O22-1,R$14)*$L22+OFFSET('Trans Factors'!$B$13,$K22-1,R$14)*$H22</f>
        <v>216.64224552037109</v>
      </c>
      <c r="S22" s="20"/>
      <c r="T22" s="20">
        <f ca="1">OFFSET('Trans Factors'!$B$13,$O22-1,T$14)*$L22+OFFSET('Trans Factors'!$B$13,$K22-1,T$14)*$H22</f>
        <v>8200.9113909883254</v>
      </c>
      <c r="U22" s="20"/>
      <c r="V22" s="20">
        <f ca="1">OFFSET('Trans Factors'!$B$13,$O22-1,V$14)*$L22+OFFSET('Trans Factors'!$B$13,$K22-1,V$14)*$H22</f>
        <v>1264493.696065499</v>
      </c>
      <c r="X22" s="20">
        <f ca="1">OFFSET('Trans Factors'!$B$13,$O22-1,X$14)*$L22+OFFSET('Trans Factors'!$B$13,$K22-1,X$14)*$H22</f>
        <v>320167.83708339947</v>
      </c>
      <c r="Y22" s="9"/>
      <c r="Z22" s="20">
        <f ca="1">OFFSET('Trans Factors'!$B$13,$O22-1,Z$14)*$L22+OFFSET('Trans Factors'!$B$13,$K22-1,Z$14)*$H22</f>
        <v>395781.57985811244</v>
      </c>
      <c r="AA22" s="20"/>
      <c r="AB22" s="20">
        <f ca="1">OFFSET('Trans Factors'!$B$13,$O22-1,AB$14)*$L22+OFFSET('Trans Factors'!$B$13,$K22-1,AB$14)*$H22</f>
        <v>8116.1006898699543</v>
      </c>
      <c r="AC22" s="20"/>
      <c r="AD22" s="20">
        <f ca="1">OFFSET('Trans Factors'!$B$13,$O22-1,AD$14)*$L22+OFFSET('Trans Factors'!$B$13,$K22-1,AD$14)*$H22</f>
        <v>0</v>
      </c>
      <c r="AF22" s="20">
        <f t="shared" ca="1" si="10"/>
        <v>1996976.7673333895</v>
      </c>
      <c r="AH22" s="25" t="str">
        <f t="shared" ca="1" si="0"/>
        <v/>
      </c>
      <c r="AK22" s="89">
        <v>28061.061939974679</v>
      </c>
      <c r="AN22" s="89">
        <f t="shared" ca="1" si="1"/>
        <v>0</v>
      </c>
      <c r="AO22" s="92"/>
      <c r="AP22" s="89">
        <f t="shared" ca="1" si="2"/>
        <v>3.0442074088223121</v>
      </c>
      <c r="AQ22" s="92"/>
      <c r="AR22" s="89">
        <f t="shared" ca="1" si="3"/>
        <v>115.23733589252538</v>
      </c>
      <c r="AS22" s="92"/>
      <c r="AT22" s="89">
        <f t="shared" ca="1" si="4"/>
        <v>17768.376932788669</v>
      </c>
      <c r="AU22" s="92"/>
      <c r="AV22" s="89">
        <f t="shared" ca="1" si="5"/>
        <v>4498.9254029138638</v>
      </c>
      <c r="AW22" s="92"/>
      <c r="AX22" s="89">
        <f t="shared" ca="1" si="6"/>
        <v>5561.4324657014931</v>
      </c>
      <c r="AY22" s="76"/>
      <c r="AZ22" s="89">
        <f t="shared" ca="1" si="7"/>
        <v>114.04559526930662</v>
      </c>
      <c r="BA22" s="92"/>
      <c r="BB22" s="89">
        <f t="shared" ca="1" si="8"/>
        <v>0</v>
      </c>
      <c r="BD22" s="95">
        <f t="shared" ca="1" si="11"/>
        <v>28061.061939974687</v>
      </c>
    </row>
    <row r="23" spans="2:56" ht="13" x14ac:dyDescent="0.3">
      <c r="B23" s="18">
        <f t="shared" si="12"/>
        <v>6</v>
      </c>
      <c r="D23" s="1" t="s">
        <v>43</v>
      </c>
      <c r="F23" s="48">
        <f ca="1">Function!T23</f>
        <v>1377669.911911838</v>
      </c>
      <c r="H23" s="48"/>
      <c r="K23" s="70">
        <f>_xlfn.IFNA(MATCH(J23,'Trans Factors'!$B$13:$B$450,0),0)</f>
        <v>0</v>
      </c>
      <c r="L23" s="48">
        <f t="shared" ca="1" si="9"/>
        <v>1377669.911911838</v>
      </c>
      <c r="N23" s="18" t="s">
        <v>251</v>
      </c>
      <c r="O23" s="70">
        <f>_xlfn.IFNA(MATCH(N23,'Trans Factors'!$B$13:$B$450,0),0)</f>
        <v>14</v>
      </c>
      <c r="P23" s="20">
        <f ca="1">OFFSET('Trans Factors'!$B$13,$O23-1,P$14)*$L23+OFFSET('Trans Factors'!$B$13,$K23-1,P$14)*$H23</f>
        <v>0</v>
      </c>
      <c r="R23" s="20">
        <f ca="1">OFFSET('Trans Factors'!$B$13,$O23-1,R$14)*$L23+OFFSET('Trans Factors'!$B$13,$K23-1,R$14)*$H23</f>
        <v>0</v>
      </c>
      <c r="S23" s="20"/>
      <c r="T23" s="20">
        <f ca="1">OFFSET('Trans Factors'!$B$13,$O23-1,T$14)*$L23+OFFSET('Trans Factors'!$B$13,$K23-1,T$14)*$H23</f>
        <v>312327.75774717639</v>
      </c>
      <c r="U23" s="20"/>
      <c r="V23" s="20">
        <f ca="1">OFFSET('Trans Factors'!$B$13,$O23-1,V$14)*$L23+OFFSET('Trans Factors'!$B$13,$K23-1,V$14)*$H23</f>
        <v>1051161.3967942924</v>
      </c>
      <c r="X23" s="20">
        <f ca="1">OFFSET('Trans Factors'!$B$13,$O23-1,X$14)*$L23+OFFSET('Trans Factors'!$B$13,$K23-1,X$14)*$H23</f>
        <v>0</v>
      </c>
      <c r="Y23" s="9"/>
      <c r="Z23" s="20">
        <f ca="1">OFFSET('Trans Factors'!$B$13,$O23-1,Z$14)*$L23+OFFSET('Trans Factors'!$B$13,$K23-1,Z$14)*$H23</f>
        <v>14180.757370368965</v>
      </c>
      <c r="AA23" s="20"/>
      <c r="AB23" s="20">
        <f ca="1">OFFSET('Trans Factors'!$B$13,$O23-1,AB$14)*$L23+OFFSET('Trans Factors'!$B$13,$K23-1,AB$14)*$H23</f>
        <v>0</v>
      </c>
      <c r="AC23" s="20"/>
      <c r="AD23" s="20">
        <f ca="1">OFFSET('Trans Factors'!$B$13,$O23-1,AD$14)*$L23+OFFSET('Trans Factors'!$B$13,$K23-1,AD$14)*$H23</f>
        <v>0</v>
      </c>
      <c r="AF23" s="20">
        <f t="shared" ca="1" si="10"/>
        <v>1377669.9119118378</v>
      </c>
      <c r="AH23" s="25" t="str">
        <f t="shared" ca="1" si="0"/>
        <v/>
      </c>
      <c r="AK23" s="89">
        <v>42235.146781124742</v>
      </c>
      <c r="AN23" s="89">
        <f t="shared" ca="1" si="1"/>
        <v>0</v>
      </c>
      <c r="AO23" s="92"/>
      <c r="AP23" s="89">
        <f t="shared" ca="1" si="2"/>
        <v>0</v>
      </c>
      <c r="AQ23" s="92"/>
      <c r="AR23" s="89">
        <f t="shared" ca="1" si="3"/>
        <v>9575.0139987928542</v>
      </c>
      <c r="AS23" s="92"/>
      <c r="AT23" s="89">
        <f t="shared" ca="1" si="4"/>
        <v>32225.394124089798</v>
      </c>
      <c r="AU23" s="92"/>
      <c r="AV23" s="89">
        <f t="shared" ca="1" si="5"/>
        <v>0</v>
      </c>
      <c r="AW23" s="92"/>
      <c r="AX23" s="89">
        <f t="shared" ca="1" si="6"/>
        <v>434.73865824208929</v>
      </c>
      <c r="AY23" s="76"/>
      <c r="AZ23" s="89">
        <f t="shared" ca="1" si="7"/>
        <v>0</v>
      </c>
      <c r="BA23" s="92"/>
      <c r="BB23" s="89">
        <f t="shared" ca="1" si="8"/>
        <v>0</v>
      </c>
      <c r="BD23" s="95">
        <f t="shared" ca="1" si="11"/>
        <v>42235.146781124742</v>
      </c>
    </row>
    <row r="24" spans="2:56" ht="13" x14ac:dyDescent="0.3">
      <c r="B24" s="18">
        <f t="shared" si="12"/>
        <v>7</v>
      </c>
      <c r="D24" s="1" t="s">
        <v>45</v>
      </c>
      <c r="F24" s="48">
        <f ca="1">Function!T24</f>
        <v>0</v>
      </c>
      <c r="H24" s="48"/>
      <c r="K24" s="70">
        <f>_xlfn.IFNA(MATCH(J24,'Trans Factors'!$B$13:$B$450,0),0)</f>
        <v>0</v>
      </c>
      <c r="L24" s="48">
        <f t="shared" ca="1" si="9"/>
        <v>0</v>
      </c>
      <c r="N24" s="18"/>
      <c r="O24" s="70">
        <f>_xlfn.IFNA(MATCH(N24,'Trans Factors'!$B$13:$B$450,0),0)</f>
        <v>0</v>
      </c>
      <c r="P24" s="20">
        <f ca="1">OFFSET('Trans Factors'!$B$13,$O24-1,P$14)*$L24+OFFSET('Trans Factors'!$B$13,$K24-1,P$14)*$H24</f>
        <v>0</v>
      </c>
      <c r="R24" s="20">
        <f ca="1">OFFSET('Trans Factors'!$B$13,$O24-1,R$14)*$L24+OFFSET('Trans Factors'!$B$13,$K24-1,R$14)*$H24</f>
        <v>0</v>
      </c>
      <c r="S24" s="20"/>
      <c r="T24" s="20">
        <f ca="1">OFFSET('Trans Factors'!$B$13,$O24-1,T$14)*$L24+OFFSET('Trans Factors'!$B$13,$K24-1,T$14)*$H24</f>
        <v>0</v>
      </c>
      <c r="U24" s="20"/>
      <c r="V24" s="20">
        <f ca="1">OFFSET('Trans Factors'!$B$13,$O24-1,V$14)*$L24+OFFSET('Trans Factors'!$B$13,$K24-1,V$14)*$H24</f>
        <v>0</v>
      </c>
      <c r="X24" s="20">
        <f ca="1">OFFSET('Trans Factors'!$B$13,$O24-1,X$14)*$L24+OFFSET('Trans Factors'!$B$13,$K24-1,X$14)*$H24</f>
        <v>0</v>
      </c>
      <c r="Y24" s="9"/>
      <c r="Z24" s="20">
        <f ca="1">OFFSET('Trans Factors'!$B$13,$O24-1,Z$14)*$L24+OFFSET('Trans Factors'!$B$13,$K24-1,Z$14)*$H24</f>
        <v>0</v>
      </c>
      <c r="AA24" s="20"/>
      <c r="AB24" s="20">
        <f ca="1">OFFSET('Trans Factors'!$B$13,$O24-1,AB$14)*$L24+OFFSET('Trans Factors'!$B$13,$K24-1,AB$14)*$H24</f>
        <v>0</v>
      </c>
      <c r="AC24" s="20"/>
      <c r="AD24" s="20">
        <f ca="1">OFFSET('Trans Factors'!$B$13,$O24-1,AD$14)*$L24+OFFSET('Trans Factors'!$B$13,$K24-1,AD$14)*$H24</f>
        <v>0</v>
      </c>
      <c r="AF24" s="20">
        <f t="shared" ca="1" si="10"/>
        <v>0</v>
      </c>
      <c r="AH24" s="25" t="str">
        <f t="shared" ca="1" si="0"/>
        <v/>
      </c>
      <c r="AK24" s="89">
        <v>0</v>
      </c>
      <c r="AN24" s="89" t="str">
        <f t="shared" ca="1" si="1"/>
        <v/>
      </c>
      <c r="AP24" s="89" t="str">
        <f t="shared" ca="1" si="2"/>
        <v/>
      </c>
      <c r="AQ24" s="92"/>
      <c r="AR24" s="89" t="str">
        <f t="shared" ca="1" si="3"/>
        <v/>
      </c>
      <c r="AS24" s="92"/>
      <c r="AT24" s="89" t="str">
        <f t="shared" ca="1" si="4"/>
        <v/>
      </c>
      <c r="AU24" s="92"/>
      <c r="AV24" s="89" t="str">
        <f t="shared" ca="1" si="5"/>
        <v/>
      </c>
      <c r="AW24" s="92"/>
      <c r="AX24" s="89" t="str">
        <f t="shared" ca="1" si="6"/>
        <v/>
      </c>
      <c r="AY24" s="76"/>
      <c r="AZ24" s="89" t="str">
        <f t="shared" ca="1" si="7"/>
        <v/>
      </c>
      <c r="BA24" s="92"/>
      <c r="BB24" s="89" t="str">
        <f t="shared" ca="1" si="8"/>
        <v/>
      </c>
      <c r="BD24" s="95">
        <f t="shared" ca="1" si="11"/>
        <v>0</v>
      </c>
    </row>
    <row r="25" spans="2:56" ht="13" x14ac:dyDescent="0.3">
      <c r="B25" s="18">
        <f t="shared" si="12"/>
        <v>8</v>
      </c>
      <c r="D25" s="1" t="s">
        <v>47</v>
      </c>
      <c r="F25" s="48">
        <f ca="1">Function!T25</f>
        <v>0</v>
      </c>
      <c r="H25" s="48"/>
      <c r="K25" s="70">
        <f>_xlfn.IFNA(MATCH(J25,'Trans Factors'!$B$13:$B$450,0),0)</f>
        <v>0</v>
      </c>
      <c r="L25" s="48">
        <f t="shared" ca="1" si="9"/>
        <v>0</v>
      </c>
      <c r="N25" s="18"/>
      <c r="O25" s="70">
        <f>_xlfn.IFNA(MATCH(N25,'Trans Factors'!$B$13:$B$450,0),0)</f>
        <v>0</v>
      </c>
      <c r="P25" s="20">
        <f ca="1">OFFSET('Trans Factors'!$B$13,$O25-1,P$14)*$L25+OFFSET('Trans Factors'!$B$13,$K25-1,P$14)*$H25</f>
        <v>0</v>
      </c>
      <c r="R25" s="20">
        <f ca="1">OFFSET('Trans Factors'!$B$13,$O25-1,R$14)*$L25+OFFSET('Trans Factors'!$B$13,$K25-1,R$14)*$H25</f>
        <v>0</v>
      </c>
      <c r="S25" s="20"/>
      <c r="T25" s="20">
        <f ca="1">OFFSET('Trans Factors'!$B$13,$O25-1,T$14)*$L25+OFFSET('Trans Factors'!$B$13,$K25-1,T$14)*$H25</f>
        <v>0</v>
      </c>
      <c r="U25" s="20"/>
      <c r="V25" s="20">
        <f ca="1">OFFSET('Trans Factors'!$B$13,$O25-1,V$14)*$L25+OFFSET('Trans Factors'!$B$13,$K25-1,V$14)*$H25</f>
        <v>0</v>
      </c>
      <c r="X25" s="20">
        <f ca="1">OFFSET('Trans Factors'!$B$13,$O25-1,X$14)*$L25+OFFSET('Trans Factors'!$B$13,$K25-1,X$14)*$H25</f>
        <v>0</v>
      </c>
      <c r="Y25" s="9"/>
      <c r="Z25" s="20">
        <f ca="1">OFFSET('Trans Factors'!$B$13,$O25-1,Z$14)*$L25+OFFSET('Trans Factors'!$B$13,$K25-1,Z$14)*$H25</f>
        <v>0</v>
      </c>
      <c r="AA25" s="20"/>
      <c r="AB25" s="20">
        <f ca="1">OFFSET('Trans Factors'!$B$13,$O25-1,AB$14)*$L25+OFFSET('Trans Factors'!$B$13,$K25-1,AB$14)*$H25</f>
        <v>0</v>
      </c>
      <c r="AC25" s="20"/>
      <c r="AD25" s="20">
        <f ca="1">OFFSET('Trans Factors'!$B$13,$O25-1,AD$14)*$L25+OFFSET('Trans Factors'!$B$13,$K25-1,AD$14)*$H25</f>
        <v>0</v>
      </c>
      <c r="AF25" s="20">
        <f t="shared" ca="1" si="10"/>
        <v>0</v>
      </c>
      <c r="AH25" s="25" t="str">
        <f t="shared" ca="1" si="0"/>
        <v/>
      </c>
      <c r="AK25" s="89">
        <v>0</v>
      </c>
      <c r="AN25" s="89" t="str">
        <f t="shared" ca="1" si="1"/>
        <v/>
      </c>
      <c r="AP25" s="89" t="str">
        <f t="shared" ca="1" si="2"/>
        <v/>
      </c>
      <c r="AQ25" s="92"/>
      <c r="AR25" s="89" t="str">
        <f t="shared" ca="1" si="3"/>
        <v/>
      </c>
      <c r="AS25" s="92"/>
      <c r="AT25" s="89" t="str">
        <f t="shared" ca="1" si="4"/>
        <v/>
      </c>
      <c r="AU25" s="92"/>
      <c r="AV25" s="89" t="str">
        <f t="shared" ca="1" si="5"/>
        <v/>
      </c>
      <c r="AW25" s="92"/>
      <c r="AX25" s="89" t="str">
        <f t="shared" ca="1" si="6"/>
        <v/>
      </c>
      <c r="AY25" s="76"/>
      <c r="AZ25" s="89" t="str">
        <f t="shared" ca="1" si="7"/>
        <v/>
      </c>
      <c r="BA25" s="92"/>
      <c r="BB25" s="89" t="str">
        <f t="shared" ca="1" si="8"/>
        <v/>
      </c>
      <c r="BD25" s="95">
        <f t="shared" ca="1" si="11"/>
        <v>0</v>
      </c>
    </row>
    <row r="26" spans="2:56" ht="13" x14ac:dyDescent="0.3">
      <c r="B26" s="18">
        <f t="shared" si="12"/>
        <v>9</v>
      </c>
      <c r="D26" s="1" t="s">
        <v>48</v>
      </c>
      <c r="F26" s="48">
        <f ca="1">Function!T26</f>
        <v>0</v>
      </c>
      <c r="H26" s="48"/>
      <c r="K26" s="70">
        <f>_xlfn.IFNA(MATCH(J26,'Trans Factors'!$B$13:$B$450,0),0)</f>
        <v>0</v>
      </c>
      <c r="L26" s="48">
        <f t="shared" ca="1" si="9"/>
        <v>0</v>
      </c>
      <c r="N26" s="18"/>
      <c r="O26" s="70">
        <f>_xlfn.IFNA(MATCH(N26,'Trans Factors'!$B$13:$B$450,0),0)</f>
        <v>0</v>
      </c>
      <c r="P26" s="20">
        <f ca="1">OFFSET('Trans Factors'!$B$13,$O26-1,P$14)*$L26+OFFSET('Trans Factors'!$B$13,$K26-1,P$14)*$H26</f>
        <v>0</v>
      </c>
      <c r="R26" s="20">
        <f ca="1">OFFSET('Trans Factors'!$B$13,$O26-1,R$14)*$L26+OFFSET('Trans Factors'!$B$13,$K26-1,R$14)*$H26</f>
        <v>0</v>
      </c>
      <c r="S26" s="20"/>
      <c r="T26" s="20">
        <f ca="1">OFFSET('Trans Factors'!$B$13,$O26-1,T$14)*$L26+OFFSET('Trans Factors'!$B$13,$K26-1,T$14)*$H26</f>
        <v>0</v>
      </c>
      <c r="U26" s="20"/>
      <c r="V26" s="20">
        <f ca="1">OFFSET('Trans Factors'!$B$13,$O26-1,V$14)*$L26+OFFSET('Trans Factors'!$B$13,$K26-1,V$14)*$H26</f>
        <v>0</v>
      </c>
      <c r="X26" s="20">
        <f ca="1">OFFSET('Trans Factors'!$B$13,$O26-1,X$14)*$L26+OFFSET('Trans Factors'!$B$13,$K26-1,X$14)*$H26</f>
        <v>0</v>
      </c>
      <c r="Y26" s="9"/>
      <c r="Z26" s="20">
        <f ca="1">OFFSET('Trans Factors'!$B$13,$O26-1,Z$14)*$L26+OFFSET('Trans Factors'!$B$13,$K26-1,Z$14)*$H26</f>
        <v>0</v>
      </c>
      <c r="AA26" s="20"/>
      <c r="AB26" s="20">
        <f ca="1">OFFSET('Trans Factors'!$B$13,$O26-1,AB$14)*$L26+OFFSET('Trans Factors'!$B$13,$K26-1,AB$14)*$H26</f>
        <v>0</v>
      </c>
      <c r="AC26" s="20"/>
      <c r="AD26" s="20">
        <f ca="1">OFFSET('Trans Factors'!$B$13,$O26-1,AD$14)*$L26+OFFSET('Trans Factors'!$B$13,$K26-1,AD$14)*$H26</f>
        <v>0</v>
      </c>
      <c r="AF26" s="20">
        <f t="shared" ca="1" si="10"/>
        <v>0</v>
      </c>
      <c r="AH26" s="25" t="str">
        <f t="shared" ca="1" si="0"/>
        <v/>
      </c>
      <c r="AK26" s="89">
        <v>0</v>
      </c>
      <c r="AN26" s="89" t="str">
        <f t="shared" ca="1" si="1"/>
        <v/>
      </c>
      <c r="AP26" s="89" t="str">
        <f t="shared" ca="1" si="2"/>
        <v/>
      </c>
      <c r="AQ26" s="92"/>
      <c r="AR26" s="89" t="str">
        <f t="shared" ca="1" si="3"/>
        <v/>
      </c>
      <c r="AS26" s="92"/>
      <c r="AT26" s="89" t="str">
        <f t="shared" ca="1" si="4"/>
        <v/>
      </c>
      <c r="AU26" s="92"/>
      <c r="AV26" s="89" t="str">
        <f t="shared" ca="1" si="5"/>
        <v/>
      </c>
      <c r="AW26" s="92"/>
      <c r="AX26" s="89" t="str">
        <f t="shared" ca="1" si="6"/>
        <v/>
      </c>
      <c r="AY26" s="76"/>
      <c r="AZ26" s="89" t="str">
        <f t="shared" ca="1" si="7"/>
        <v/>
      </c>
      <c r="BA26" s="92"/>
      <c r="BB26" s="89" t="str">
        <f t="shared" ca="1" si="8"/>
        <v/>
      </c>
      <c r="BD26" s="95">
        <f t="shared" ca="1" si="11"/>
        <v>0</v>
      </c>
    </row>
    <row r="27" spans="2:56" ht="13" x14ac:dyDescent="0.3">
      <c r="B27" s="18">
        <f t="shared" si="12"/>
        <v>10</v>
      </c>
      <c r="D27" s="1" t="s">
        <v>49</v>
      </c>
      <c r="F27" s="48">
        <f ca="1">Function!T27</f>
        <v>0</v>
      </c>
      <c r="H27" s="48"/>
      <c r="K27" s="70">
        <f>_xlfn.IFNA(MATCH(J27,'Trans Factors'!$B$13:$B$450,0),0)</f>
        <v>0</v>
      </c>
      <c r="L27" s="48">
        <f t="shared" ca="1" si="9"/>
        <v>0</v>
      </c>
      <c r="N27" s="18"/>
      <c r="O27" s="70">
        <f>_xlfn.IFNA(MATCH(N27,'Trans Factors'!$B$13:$B$450,0),0)</f>
        <v>0</v>
      </c>
      <c r="P27" s="20">
        <f ca="1">OFFSET('Trans Factors'!$B$13,$O27-1,P$14)*$L27+OFFSET('Trans Factors'!$B$13,$K27-1,P$14)*$H27</f>
        <v>0</v>
      </c>
      <c r="R27" s="20">
        <f ca="1">OFFSET('Trans Factors'!$B$13,$O27-1,R$14)*$L27+OFFSET('Trans Factors'!$B$13,$K27-1,R$14)*$H27</f>
        <v>0</v>
      </c>
      <c r="S27" s="20"/>
      <c r="T27" s="20">
        <f ca="1">OFFSET('Trans Factors'!$B$13,$O27-1,T$14)*$L27+OFFSET('Trans Factors'!$B$13,$K27-1,T$14)*$H27</f>
        <v>0</v>
      </c>
      <c r="U27" s="20"/>
      <c r="V27" s="20">
        <f ca="1">OFFSET('Trans Factors'!$B$13,$O27-1,V$14)*$L27+OFFSET('Trans Factors'!$B$13,$K27-1,V$14)*$H27</f>
        <v>0</v>
      </c>
      <c r="X27" s="20">
        <f ca="1">OFFSET('Trans Factors'!$B$13,$O27-1,X$14)*$L27+OFFSET('Trans Factors'!$B$13,$K27-1,X$14)*$H27</f>
        <v>0</v>
      </c>
      <c r="Y27" s="9"/>
      <c r="Z27" s="20">
        <f ca="1">OFFSET('Trans Factors'!$B$13,$O27-1,Z$14)*$L27+OFFSET('Trans Factors'!$B$13,$K27-1,Z$14)*$H27</f>
        <v>0</v>
      </c>
      <c r="AA27" s="20"/>
      <c r="AB27" s="20">
        <f ca="1">OFFSET('Trans Factors'!$B$13,$O27-1,AB$14)*$L27+OFFSET('Trans Factors'!$B$13,$K27-1,AB$14)*$H27</f>
        <v>0</v>
      </c>
      <c r="AC27" s="20"/>
      <c r="AD27" s="20">
        <f ca="1">OFFSET('Trans Factors'!$B$13,$O27-1,AD$14)*$L27+OFFSET('Trans Factors'!$B$13,$K27-1,AD$14)*$H27</f>
        <v>0</v>
      </c>
      <c r="AF27" s="20">
        <f t="shared" ca="1" si="10"/>
        <v>0</v>
      </c>
      <c r="AH27" s="25" t="str">
        <f t="shared" ca="1" si="0"/>
        <v/>
      </c>
      <c r="AK27" s="89">
        <v>0</v>
      </c>
      <c r="AN27" s="89" t="str">
        <f t="shared" ca="1" si="1"/>
        <v/>
      </c>
      <c r="AP27" s="89" t="str">
        <f t="shared" ca="1" si="2"/>
        <v/>
      </c>
      <c r="AQ27" s="92"/>
      <c r="AR27" s="89" t="str">
        <f t="shared" ca="1" si="3"/>
        <v/>
      </c>
      <c r="AS27" s="92"/>
      <c r="AT27" s="89" t="str">
        <f t="shared" ca="1" si="4"/>
        <v/>
      </c>
      <c r="AU27" s="92"/>
      <c r="AV27" s="89" t="str">
        <f t="shared" ca="1" si="5"/>
        <v/>
      </c>
      <c r="AW27" s="92"/>
      <c r="AX27" s="89" t="str">
        <f t="shared" ca="1" si="6"/>
        <v/>
      </c>
      <c r="AY27" s="76"/>
      <c r="AZ27" s="89" t="str">
        <f t="shared" ca="1" si="7"/>
        <v/>
      </c>
      <c r="BA27" s="92"/>
      <c r="BB27" s="89" t="str">
        <f t="shared" ca="1" si="8"/>
        <v/>
      </c>
      <c r="BD27" s="95">
        <f t="shared" ca="1" si="11"/>
        <v>0</v>
      </c>
    </row>
    <row r="28" spans="2:56" ht="13" x14ac:dyDescent="0.3">
      <c r="B28" s="18">
        <f t="shared" si="12"/>
        <v>11</v>
      </c>
      <c r="D28" s="1" t="s">
        <v>51</v>
      </c>
      <c r="F28" s="48">
        <f ca="1">Function!T28</f>
        <v>0</v>
      </c>
      <c r="H28" s="48"/>
      <c r="K28" s="70">
        <f>_xlfn.IFNA(MATCH(J28,'Trans Factors'!$B$13:$B$450,0),0)</f>
        <v>0</v>
      </c>
      <c r="L28" s="48">
        <f t="shared" ca="1" si="9"/>
        <v>0</v>
      </c>
      <c r="N28" s="18"/>
      <c r="O28" s="70">
        <f>_xlfn.IFNA(MATCH(N28,'Trans Factors'!$B$13:$B$450,0),0)</f>
        <v>0</v>
      </c>
      <c r="P28" s="20">
        <f ca="1">OFFSET('Trans Factors'!$B$13,$O28-1,P$14)*$L28+OFFSET('Trans Factors'!$B$13,$K28-1,P$14)*$H28</f>
        <v>0</v>
      </c>
      <c r="R28" s="20">
        <f ca="1">OFFSET('Trans Factors'!$B$13,$O28-1,R$14)*$L28+OFFSET('Trans Factors'!$B$13,$K28-1,R$14)*$H28</f>
        <v>0</v>
      </c>
      <c r="S28" s="20"/>
      <c r="T28" s="20">
        <f ca="1">OFFSET('Trans Factors'!$B$13,$O28-1,T$14)*$L28+OFFSET('Trans Factors'!$B$13,$K28-1,T$14)*$H28</f>
        <v>0</v>
      </c>
      <c r="U28" s="20"/>
      <c r="V28" s="20">
        <f ca="1">OFFSET('Trans Factors'!$B$13,$O28-1,V$14)*$L28+OFFSET('Trans Factors'!$B$13,$K28-1,V$14)*$H28</f>
        <v>0</v>
      </c>
      <c r="X28" s="20">
        <f ca="1">OFFSET('Trans Factors'!$B$13,$O28-1,X$14)*$L28+OFFSET('Trans Factors'!$B$13,$K28-1,X$14)*$H28</f>
        <v>0</v>
      </c>
      <c r="Y28" s="9"/>
      <c r="Z28" s="20">
        <f ca="1">OFFSET('Trans Factors'!$B$13,$O28-1,Z$14)*$L28+OFFSET('Trans Factors'!$B$13,$K28-1,Z$14)*$H28</f>
        <v>0</v>
      </c>
      <c r="AA28" s="20"/>
      <c r="AB28" s="20">
        <f ca="1">OFFSET('Trans Factors'!$B$13,$O28-1,AB$14)*$L28+OFFSET('Trans Factors'!$B$13,$K28-1,AB$14)*$H28</f>
        <v>0</v>
      </c>
      <c r="AC28" s="20"/>
      <c r="AD28" s="20">
        <f ca="1">OFFSET('Trans Factors'!$B$13,$O28-1,AD$14)*$L28+OFFSET('Trans Factors'!$B$13,$K28-1,AD$14)*$H28</f>
        <v>0</v>
      </c>
      <c r="AF28" s="20">
        <f t="shared" ca="1" si="10"/>
        <v>0</v>
      </c>
      <c r="AH28" s="25" t="str">
        <f t="shared" ca="1" si="0"/>
        <v/>
      </c>
      <c r="AK28" s="89">
        <v>0</v>
      </c>
      <c r="AN28" s="89" t="str">
        <f t="shared" ca="1" si="1"/>
        <v/>
      </c>
      <c r="AP28" s="89" t="str">
        <f t="shared" ca="1" si="2"/>
        <v/>
      </c>
      <c r="AQ28" s="92"/>
      <c r="AR28" s="89" t="str">
        <f t="shared" ca="1" si="3"/>
        <v/>
      </c>
      <c r="AS28" s="92"/>
      <c r="AT28" s="89" t="str">
        <f t="shared" ca="1" si="4"/>
        <v/>
      </c>
      <c r="AU28" s="92"/>
      <c r="AV28" s="89" t="str">
        <f t="shared" ca="1" si="5"/>
        <v/>
      </c>
      <c r="AW28" s="92"/>
      <c r="AX28" s="89" t="str">
        <f t="shared" ca="1" si="6"/>
        <v/>
      </c>
      <c r="AY28" s="76"/>
      <c r="AZ28" s="89" t="str">
        <f t="shared" ca="1" si="7"/>
        <v/>
      </c>
      <c r="BA28" s="92"/>
      <c r="BB28" s="89" t="str">
        <f t="shared" ca="1" si="8"/>
        <v/>
      </c>
      <c r="BD28" s="95">
        <f t="shared" ca="1" si="11"/>
        <v>0</v>
      </c>
    </row>
    <row r="29" spans="2:56" ht="13" x14ac:dyDescent="0.3">
      <c r="B29" s="18">
        <f>B28+1</f>
        <v>12</v>
      </c>
      <c r="D29" s="1" t="s">
        <v>52</v>
      </c>
      <c r="F29" s="48">
        <f ca="1">Function!T29</f>
        <v>0</v>
      </c>
      <c r="H29" s="48"/>
      <c r="K29" s="70">
        <f>_xlfn.IFNA(MATCH(J29,'Trans Factors'!$B$13:$B$450,0),0)</f>
        <v>0</v>
      </c>
      <c r="L29" s="48">
        <f t="shared" ca="1" si="9"/>
        <v>0</v>
      </c>
      <c r="N29" s="18"/>
      <c r="O29" s="70">
        <f>_xlfn.IFNA(MATCH(N29,'Trans Factors'!$B$13:$B$450,0),0)</f>
        <v>0</v>
      </c>
      <c r="P29" s="20">
        <f ca="1">OFFSET('Trans Factors'!$B$13,$O29-1,P$14)*$L29+OFFSET('Trans Factors'!$B$13,$K29-1,P$14)*$H29</f>
        <v>0</v>
      </c>
      <c r="R29" s="20">
        <f ca="1">OFFSET('Trans Factors'!$B$13,$O29-1,R$14)*$L29+OFFSET('Trans Factors'!$B$13,$K29-1,R$14)*$H29</f>
        <v>0</v>
      </c>
      <c r="S29" s="20"/>
      <c r="T29" s="20">
        <f ca="1">OFFSET('Trans Factors'!$B$13,$O29-1,T$14)*$L29+OFFSET('Trans Factors'!$B$13,$K29-1,T$14)*$H29</f>
        <v>0</v>
      </c>
      <c r="U29" s="20"/>
      <c r="V29" s="20">
        <f ca="1">OFFSET('Trans Factors'!$B$13,$O29-1,V$14)*$L29+OFFSET('Trans Factors'!$B$13,$K29-1,V$14)*$H29</f>
        <v>0</v>
      </c>
      <c r="X29" s="20">
        <f ca="1">OFFSET('Trans Factors'!$B$13,$O29-1,X$14)*$L29+OFFSET('Trans Factors'!$B$13,$K29-1,X$14)*$H29</f>
        <v>0</v>
      </c>
      <c r="Y29" s="9"/>
      <c r="Z29" s="20">
        <f ca="1">OFFSET('Trans Factors'!$B$13,$O29-1,Z$14)*$L29+OFFSET('Trans Factors'!$B$13,$K29-1,Z$14)*$H29</f>
        <v>0</v>
      </c>
      <c r="AA29" s="20"/>
      <c r="AB29" s="20">
        <f ca="1">OFFSET('Trans Factors'!$B$13,$O29-1,AB$14)*$L29+OFFSET('Trans Factors'!$B$13,$K29-1,AB$14)*$H29</f>
        <v>0</v>
      </c>
      <c r="AC29" s="20"/>
      <c r="AD29" s="20">
        <f ca="1">OFFSET('Trans Factors'!$B$13,$O29-1,AD$14)*$L29+OFFSET('Trans Factors'!$B$13,$K29-1,AD$14)*$H29</f>
        <v>0</v>
      </c>
      <c r="AF29" s="20">
        <f t="shared" ca="1" si="10"/>
        <v>0</v>
      </c>
      <c r="AH29" s="25" t="str">
        <f t="shared" ca="1" si="0"/>
        <v/>
      </c>
      <c r="AK29" s="89">
        <v>0</v>
      </c>
      <c r="AN29" s="89" t="str">
        <f t="shared" ca="1" si="1"/>
        <v/>
      </c>
      <c r="AP29" s="89" t="str">
        <f t="shared" ca="1" si="2"/>
        <v/>
      </c>
      <c r="AQ29" s="92"/>
      <c r="AR29" s="89" t="str">
        <f t="shared" ca="1" si="3"/>
        <v/>
      </c>
      <c r="AS29" s="92"/>
      <c r="AT29" s="89" t="str">
        <f t="shared" ca="1" si="4"/>
        <v/>
      </c>
      <c r="AU29" s="92"/>
      <c r="AV29" s="89" t="str">
        <f t="shared" ca="1" si="5"/>
        <v/>
      </c>
      <c r="AW29" s="92"/>
      <c r="AX29" s="89" t="str">
        <f t="shared" ca="1" si="6"/>
        <v/>
      </c>
      <c r="AY29" s="76"/>
      <c r="AZ29" s="89" t="str">
        <f t="shared" ca="1" si="7"/>
        <v/>
      </c>
      <c r="BA29" s="92"/>
      <c r="BB29" s="89" t="str">
        <f t="shared" ca="1" si="8"/>
        <v/>
      </c>
      <c r="BD29" s="95">
        <f t="shared" ca="1" si="11"/>
        <v>0</v>
      </c>
    </row>
    <row r="30" spans="2:56" ht="13" x14ac:dyDescent="0.3">
      <c r="B30" s="18">
        <f>B29+1</f>
        <v>13</v>
      </c>
      <c r="D30" s="1" t="s">
        <v>53</v>
      </c>
      <c r="F30" s="48">
        <f ca="1">Function!T30</f>
        <v>4318.2255996879157</v>
      </c>
      <c r="H30" s="48"/>
      <c r="K30" s="70">
        <f>_xlfn.IFNA(MATCH(J30,'Trans Factors'!$B$13:$B$450,0),0)</f>
        <v>0</v>
      </c>
      <c r="L30" s="48">
        <f t="shared" ca="1" si="9"/>
        <v>4318.2255996879157</v>
      </c>
      <c r="N30" s="18" t="s">
        <v>252</v>
      </c>
      <c r="O30" s="70">
        <f>_xlfn.IFNA(MATCH(N30,'Trans Factors'!$B$13:$B$450,0),0)</f>
        <v>38</v>
      </c>
      <c r="P30" s="20">
        <f ca="1">OFFSET('Trans Factors'!$B$13,$O30-1,P$14)*$L30+OFFSET('Trans Factors'!$B$13,$K30-1,P$14)*$H30</f>
        <v>0</v>
      </c>
      <c r="R30" s="20">
        <f ca="1">OFFSET('Trans Factors'!$B$13,$O30-1,R$14)*$L30+OFFSET('Trans Factors'!$B$13,$K30-1,R$14)*$H30</f>
        <v>0</v>
      </c>
      <c r="S30" s="20"/>
      <c r="T30" s="20">
        <f ca="1">OFFSET('Trans Factors'!$B$13,$O30-1,T$14)*$L30+OFFSET('Trans Factors'!$B$13,$K30-1,T$14)*$H30</f>
        <v>39.163422261415214</v>
      </c>
      <c r="U30" s="20"/>
      <c r="V30" s="20">
        <f ca="1">OFFSET('Trans Factors'!$B$13,$O30-1,V$14)*$L30+OFFSET('Trans Factors'!$B$13,$K30-1,V$14)*$H30</f>
        <v>3560.0134120638827</v>
      </c>
      <c r="X30" s="20">
        <f ca="1">OFFSET('Trans Factors'!$B$13,$O30-1,X$14)*$L30+OFFSET('Trans Factors'!$B$13,$K30-1,X$14)*$H30</f>
        <v>136.1762187887613</v>
      </c>
      <c r="Y30" s="9"/>
      <c r="Z30" s="20">
        <f ca="1">OFFSET('Trans Factors'!$B$13,$O30-1,Z$14)*$L30+OFFSET('Trans Factors'!$B$13,$K30-1,Z$14)*$H30</f>
        <v>555.78729039072221</v>
      </c>
      <c r="AA30" s="20"/>
      <c r="AB30" s="20">
        <f ca="1">OFFSET('Trans Factors'!$B$13,$O30-1,AB$14)*$L30+OFFSET('Trans Factors'!$B$13,$K30-1,AB$14)*$H30</f>
        <v>27.085256183134071</v>
      </c>
      <c r="AC30" s="20"/>
      <c r="AD30" s="20">
        <f ca="1">OFFSET('Trans Factors'!$B$13,$O30-1,AD$14)*$L30+OFFSET('Trans Factors'!$B$13,$K30-1,AD$14)*$H30</f>
        <v>0</v>
      </c>
      <c r="AF30" s="20">
        <f t="shared" ca="1" si="10"/>
        <v>4318.2255996879157</v>
      </c>
      <c r="AH30" s="25" t="str">
        <f t="shared" ca="1" si="0"/>
        <v/>
      </c>
      <c r="AK30" s="89">
        <v>0</v>
      </c>
      <c r="AN30" s="89">
        <f t="shared" ca="1" si="1"/>
        <v>0</v>
      </c>
      <c r="AP30" s="89">
        <f t="shared" ca="1" si="2"/>
        <v>0</v>
      </c>
      <c r="AQ30" s="92"/>
      <c r="AR30" s="89">
        <f t="shared" ca="1" si="3"/>
        <v>0</v>
      </c>
      <c r="AS30" s="92"/>
      <c r="AT30" s="89">
        <f t="shared" ca="1" si="4"/>
        <v>0</v>
      </c>
      <c r="AU30" s="92"/>
      <c r="AV30" s="89">
        <f t="shared" ca="1" si="5"/>
        <v>0</v>
      </c>
      <c r="AW30" s="92"/>
      <c r="AX30" s="89">
        <f t="shared" ca="1" si="6"/>
        <v>0</v>
      </c>
      <c r="AY30" s="76"/>
      <c r="AZ30" s="89">
        <f t="shared" ca="1" si="7"/>
        <v>0</v>
      </c>
      <c r="BA30" s="92"/>
      <c r="BB30" s="89">
        <f t="shared" ca="1" si="8"/>
        <v>0</v>
      </c>
      <c r="BD30" s="95">
        <f t="shared" ca="1" si="11"/>
        <v>0</v>
      </c>
    </row>
    <row r="31" spans="2:56" ht="13" x14ac:dyDescent="0.3">
      <c r="B31" s="18">
        <f t="shared" si="12"/>
        <v>14</v>
      </c>
      <c r="D31" s="1" t="s">
        <v>55</v>
      </c>
      <c r="F31" s="40">
        <f ca="1">SUM(F18:F30)</f>
        <v>3987829.4772345782</v>
      </c>
      <c r="H31" s="40">
        <f>SUM(H18:H30)</f>
        <v>0</v>
      </c>
      <c r="L31" s="40">
        <f ca="1">SUM(L18:L30)</f>
        <v>3987829.4772345782</v>
      </c>
      <c r="O31" s="70"/>
      <c r="P31" s="28">
        <f ca="1">SUM(P18:P30)</f>
        <v>120908.61187605151</v>
      </c>
      <c r="Q31" s="23"/>
      <c r="R31" s="28">
        <f ca="1">SUM(R18:R30)</f>
        <v>16809.721547433532</v>
      </c>
      <c r="S31" s="22"/>
      <c r="T31" s="28">
        <f ca="1">SUM(T18:T30)</f>
        <v>490532.77114404883</v>
      </c>
      <c r="U31" s="22"/>
      <c r="V31" s="28">
        <f ca="1">SUM(V18:V30)</f>
        <v>2481686.8468896654</v>
      </c>
      <c r="W31" s="18"/>
      <c r="X31" s="28">
        <f ca="1">SUM(X18:X30)</f>
        <v>343672.15357468824</v>
      </c>
      <c r="Y31" s="13"/>
      <c r="Z31" s="28">
        <f ca="1">SUM(Z18:Z30)</f>
        <v>522140.07971416245</v>
      </c>
      <c r="AA31" s="22"/>
      <c r="AB31" s="28">
        <f ca="1">SUM(AB18:AB30)</f>
        <v>12079.292488528248</v>
      </c>
      <c r="AC31" s="22"/>
      <c r="AD31" s="28">
        <f ca="1">SUM(AD18:AD30)</f>
        <v>0</v>
      </c>
      <c r="AF31" s="28">
        <f ca="1">SUM(AF18:AF30)</f>
        <v>3987829.4772345782</v>
      </c>
      <c r="AH31" s="25" t="str">
        <f ca="1">IF(ROUND(F31,4)=ROUND(AF31,4), "", "check")</f>
        <v/>
      </c>
      <c r="AK31" s="78">
        <f>SUM(AK18:AK29)</f>
        <v>82421.141572556502</v>
      </c>
      <c r="AN31" s="78">
        <f t="shared" ref="AN31:BD31" ca="1" si="13">SUM(AN18:AN29)</f>
        <v>2865.4413980866075</v>
      </c>
      <c r="AO31" s="78">
        <f t="shared" si="13"/>
        <v>0</v>
      </c>
      <c r="AP31" s="78">
        <f t="shared" ca="1" si="13"/>
        <v>418.31880984319508</v>
      </c>
      <c r="AQ31" s="78">
        <f t="shared" si="13"/>
        <v>0</v>
      </c>
      <c r="AR31" s="78">
        <f t="shared" ca="1" si="13"/>
        <v>12950.656889783293</v>
      </c>
      <c r="AS31" s="78">
        <f t="shared" si="13"/>
        <v>0</v>
      </c>
      <c r="AT31" s="78">
        <f t="shared" ca="1" si="13"/>
        <v>52490.55200526282</v>
      </c>
      <c r="AU31" s="78">
        <f t="shared" si="13"/>
        <v>0</v>
      </c>
      <c r="AV31" s="78">
        <f t="shared" ca="1" si="13"/>
        <v>4905.2627027339622</v>
      </c>
      <c r="AW31" s="78">
        <f t="shared" si="13"/>
        <v>0</v>
      </c>
      <c r="AX31" s="78">
        <f t="shared" ca="1" si="13"/>
        <v>8582.1371017145848</v>
      </c>
      <c r="AY31" s="78"/>
      <c r="AZ31" s="78">
        <f t="shared" ref="AZ31" ca="1" si="14">SUM(AZ18:AZ29)</f>
        <v>208.77266513204529</v>
      </c>
      <c r="BA31" s="78">
        <f t="shared" si="13"/>
        <v>0</v>
      </c>
      <c r="BB31" s="78">
        <f t="shared" ca="1" si="13"/>
        <v>0</v>
      </c>
      <c r="BC31" s="78">
        <f t="shared" si="13"/>
        <v>0</v>
      </c>
      <c r="BD31" s="78">
        <f t="shared" ca="1" si="13"/>
        <v>82421.141572556517</v>
      </c>
    </row>
    <row r="32" spans="2:56" ht="13" x14ac:dyDescent="0.3">
      <c r="O32" s="70"/>
      <c r="W32" s="18"/>
      <c r="AH32" s="25" t="str">
        <f t="shared" ref="AH32:AH37" si="15">IF(ROUND(F32,4)=ROUND(AF32,4), "", "check")</f>
        <v/>
      </c>
    </row>
    <row r="33" spans="2:56" ht="13" x14ac:dyDescent="0.3">
      <c r="B33" s="18">
        <f>B31+1</f>
        <v>15</v>
      </c>
      <c r="D33" s="1" t="s">
        <v>56</v>
      </c>
      <c r="F33" s="48">
        <f ca="1">Function!T33</f>
        <v>101710.50916156213</v>
      </c>
      <c r="H33" s="48"/>
      <c r="K33" s="70">
        <f>_xlfn.IFNA(MATCH(J33,'Trans Factors'!$B$13:$B$450,0),0)</f>
        <v>0</v>
      </c>
      <c r="L33" s="48">
        <f t="shared" ref="L33" ca="1" si="16">F33-H33</f>
        <v>101710.50916156213</v>
      </c>
      <c r="N33" s="18" t="s">
        <v>253</v>
      </c>
      <c r="O33" s="70">
        <f>_xlfn.IFNA(MATCH(N33,'Trans Factors'!$B$13:$B$450,0),0)</f>
        <v>23</v>
      </c>
      <c r="P33" s="20">
        <f ca="1">OFFSET('Trans Factors'!$B$13,$O33-1,P$14)*$L33+OFFSET('Trans Factors'!$B$13,$K33-1,P$14)*$H33</f>
        <v>3590.9482084043043</v>
      </c>
      <c r="R33" s="20">
        <f ca="1">OFFSET('Trans Factors'!$B$13,$O33-1,R$14)*$L33+OFFSET('Trans Factors'!$B$13,$K33-1,R$14)*$H33</f>
        <v>516.63997298820777</v>
      </c>
      <c r="S33" s="20"/>
      <c r="T33" s="20">
        <f ca="1">OFFSET('Trans Factors'!$B$13,$O33-1,T$14)*$L33+OFFSET('Trans Factors'!$B$13,$K33-1,T$14)*$H33</f>
        <v>13457.456974555596</v>
      </c>
      <c r="U33" s="20"/>
      <c r="V33" s="20">
        <f ca="1">OFFSET('Trans Factors'!$B$13,$O33-1,V$14)*$L33+OFFSET('Trans Factors'!$B$13,$K33-1,V$14)*$H33</f>
        <v>59333.303889413801</v>
      </c>
      <c r="X33" s="20">
        <f ca="1">OFFSET('Trans Factors'!$B$13,$O33-1,X$14)*$L33+OFFSET('Trans Factors'!$B$13,$K33-1,X$14)*$H33</f>
        <v>8873.615916390394</v>
      </c>
      <c r="Y33" s="9"/>
      <c r="Z33" s="20">
        <f ca="1">OFFSET('Trans Factors'!$B$13,$O33-1,Z$14)*$L33+OFFSET('Trans Factors'!$B$13,$K33-1,Z$14)*$H33</f>
        <v>15750.866046208703</v>
      </c>
      <c r="AA33" s="20"/>
      <c r="AB33" s="20">
        <f ca="1">OFFSET('Trans Factors'!$B$13,$O33-1,AB$14)*$L33+OFFSET('Trans Factors'!$B$13,$K33-1,AB$14)*$H33</f>
        <v>187.6781536011149</v>
      </c>
      <c r="AC33" s="20"/>
      <c r="AD33" s="20">
        <f ca="1">OFFSET('Trans Factors'!$B$13,$O33-1,AD$14)*$L33+OFFSET('Trans Factors'!$B$13,$K33-1,AD$14)*$H33</f>
        <v>0</v>
      </c>
      <c r="AE33" s="9"/>
      <c r="AF33" s="20">
        <f ca="1">P33+R33+T33+V33+X33+Z33+AB33+AD33</f>
        <v>101710.50916156212</v>
      </c>
      <c r="AH33" s="25" t="str">
        <f t="shared" ca="1" si="15"/>
        <v/>
      </c>
    </row>
    <row r="34" spans="2:56" ht="13" x14ac:dyDescent="0.3">
      <c r="W34" s="18"/>
      <c r="AH34" s="25" t="str">
        <f t="shared" si="15"/>
        <v/>
      </c>
    </row>
    <row r="35" spans="2:56" ht="13" x14ac:dyDescent="0.3">
      <c r="B35" s="18">
        <f>B33+1</f>
        <v>16</v>
      </c>
      <c r="D35" s="1" t="s">
        <v>58</v>
      </c>
      <c r="F35" s="40">
        <f ca="1">F31+F33</f>
        <v>4089539.9863961404</v>
      </c>
      <c r="H35" s="40">
        <f>H31+H33</f>
        <v>0</v>
      </c>
      <c r="L35" s="40">
        <f ca="1">L31+L33</f>
        <v>4089539.9863961404</v>
      </c>
      <c r="P35" s="10">
        <f ca="1">P31+P33</f>
        <v>124499.56008445581</v>
      </c>
      <c r="Q35" s="14"/>
      <c r="R35" s="10">
        <f ca="1">R31+R33</f>
        <v>17326.361520421739</v>
      </c>
      <c r="S35" s="8"/>
      <c r="T35" s="10">
        <f ca="1">T31+T33</f>
        <v>503990.22811860446</v>
      </c>
      <c r="U35" s="8"/>
      <c r="V35" s="10">
        <f ca="1">V31+V33</f>
        <v>2541020.1507790792</v>
      </c>
      <c r="W35" s="18"/>
      <c r="X35" s="10">
        <f ca="1">X31+X33</f>
        <v>352545.76949107862</v>
      </c>
      <c r="Y35" s="8"/>
      <c r="Z35" s="10">
        <f ca="1">Z31+Z33</f>
        <v>537890.94576037116</v>
      </c>
      <c r="AA35" s="8"/>
      <c r="AB35" s="10">
        <f ca="1">AB31+AB33</f>
        <v>12266.970642129363</v>
      </c>
      <c r="AC35" s="8"/>
      <c r="AD35" s="10">
        <f ca="1">AD31+AD33</f>
        <v>0</v>
      </c>
      <c r="AF35" s="10">
        <f ca="1">AF31+AF33</f>
        <v>4089539.9863961404</v>
      </c>
      <c r="AH35" s="25" t="str">
        <f t="shared" ca="1" si="15"/>
        <v/>
      </c>
    </row>
    <row r="36" spans="2:56" ht="13" x14ac:dyDescent="0.3">
      <c r="D36" s="6"/>
      <c r="F36" s="74"/>
      <c r="H36" s="74"/>
      <c r="L36" s="74"/>
      <c r="W36" s="18"/>
      <c r="AH36" s="25" t="str">
        <f t="shared" si="15"/>
        <v/>
      </c>
    </row>
    <row r="37" spans="2:56" ht="13" x14ac:dyDescent="0.3">
      <c r="E37" s="6"/>
      <c r="W37" s="18"/>
      <c r="AH37" s="25" t="str">
        <f t="shared" si="15"/>
        <v/>
      </c>
    </row>
    <row r="38" spans="2:56" ht="13" x14ac:dyDescent="0.3">
      <c r="D38" s="6" t="s">
        <v>59</v>
      </c>
      <c r="E38" s="7"/>
      <c r="F38" s="75"/>
      <c r="AH38" s="27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D38" s="2"/>
    </row>
    <row r="39" spans="2:56" ht="13" x14ac:dyDescent="0.3">
      <c r="AH39" s="25" t="str">
        <f t="shared" ref="AH39:AH52" si="17">IF(ROUND(F39,4)=ROUND(AF39,4), "", "check")</f>
        <v/>
      </c>
    </row>
    <row r="40" spans="2:56" ht="13" x14ac:dyDescent="0.3">
      <c r="B40" s="18">
        <f>B35+1</f>
        <v>17</v>
      </c>
      <c r="D40" s="1" t="s">
        <v>33</v>
      </c>
      <c r="F40" s="48">
        <f ca="1">Function!T40</f>
        <v>0</v>
      </c>
      <c r="H40" s="48"/>
      <c r="J40" s="2"/>
      <c r="K40" s="70">
        <f>_xlfn.IFNA(MATCH(J40,'Trans Factors'!$B$13:$B$450,0),0)</f>
        <v>0</v>
      </c>
      <c r="L40" s="48">
        <f ca="1">F40-H40</f>
        <v>0</v>
      </c>
      <c r="N40" s="18"/>
      <c r="O40" s="70">
        <f>_xlfn.IFNA(MATCH(N40,'Trans Factors'!$B$13:$B$450,0),0)</f>
        <v>0</v>
      </c>
      <c r="P40" s="20">
        <f ca="1">OFFSET('Trans Factors'!$B$13,$O40-1,P$14)*$L40+OFFSET('Trans Factors'!$B$13,$K40-1,P$14)*$H40</f>
        <v>0</v>
      </c>
      <c r="R40" s="20">
        <f ca="1">OFFSET('Trans Factors'!$B$13,$O40-1,R$14)*$L40+OFFSET('Trans Factors'!$B$13,$K40-1,R$14)*$H40</f>
        <v>0</v>
      </c>
      <c r="S40" s="20"/>
      <c r="T40" s="20">
        <f ca="1">OFFSET('Trans Factors'!$B$13,$O40-1,T$14)*$L40+OFFSET('Trans Factors'!$B$13,$K40-1,T$14)*$H40</f>
        <v>0</v>
      </c>
      <c r="U40" s="20"/>
      <c r="V40" s="20">
        <f ca="1">OFFSET('Trans Factors'!$B$13,$O40-1,V$14)*$L40+OFFSET('Trans Factors'!$B$13,$K40-1,V$14)*$H40</f>
        <v>0</v>
      </c>
      <c r="X40" s="20">
        <f ca="1">OFFSET('Trans Factors'!$B$13,$O40-1,X$14)*$L40+OFFSET('Trans Factors'!$B$13,$K40-1,X$14)*$H40</f>
        <v>0</v>
      </c>
      <c r="Y40" s="9"/>
      <c r="Z40" s="20">
        <f ca="1">OFFSET('Trans Factors'!$B$13,$O40-1,Z$14)*$L40+OFFSET('Trans Factors'!$B$13,$K40-1,Z$14)*$H40</f>
        <v>0</v>
      </c>
      <c r="AA40" s="20"/>
      <c r="AB40" s="20">
        <f ca="1">OFFSET('Trans Factors'!$B$13,$O40-1,AB$14)*$L40+OFFSET('Trans Factors'!$B$13,$K40-1,AB$14)*$H40</f>
        <v>0</v>
      </c>
      <c r="AC40" s="20"/>
      <c r="AD40" s="20">
        <f ca="1">OFFSET('Trans Factors'!$B$13,$O40-1,AD$14)*$L40+OFFSET('Trans Factors'!$B$13,$K40-1,AD$14)*$H40</f>
        <v>0</v>
      </c>
      <c r="AF40" s="20">
        <f ca="1">P40+R40+T40+V40+X40+Z40+AB40+AD40</f>
        <v>0</v>
      </c>
      <c r="AH40" s="25" t="str">
        <f t="shared" ca="1" si="17"/>
        <v/>
      </c>
      <c r="AK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D40" s="48"/>
    </row>
    <row r="41" spans="2:56" ht="13" x14ac:dyDescent="0.3">
      <c r="B41" s="18">
        <f>B40+1</f>
        <v>18</v>
      </c>
      <c r="D41" s="1" t="s">
        <v>35</v>
      </c>
      <c r="F41" s="48">
        <f ca="1">Function!T41</f>
        <v>-17684.967853226444</v>
      </c>
      <c r="H41" s="48"/>
      <c r="J41" s="2"/>
      <c r="K41" s="70">
        <f>_xlfn.IFNA(MATCH(J41,'Trans Factors'!$B$13:$B$450,0),0)</f>
        <v>0</v>
      </c>
      <c r="L41" s="48">
        <f t="shared" ref="L41:L52" ca="1" si="18">F41-H41</f>
        <v>-17684.967853226444</v>
      </c>
      <c r="N41" s="18" t="s">
        <v>254</v>
      </c>
      <c r="O41" s="70">
        <f>_xlfn.IFNA(MATCH(N41,'Trans Factors'!$B$13:$B$450,0),0)</f>
        <v>35</v>
      </c>
      <c r="P41" s="20">
        <f ca="1">OFFSET('Trans Factors'!$B$13,$O41-1,P$14)*$L41+OFFSET('Trans Factors'!$B$13,$K41-1,P$14)*$H41</f>
        <v>0</v>
      </c>
      <c r="R41" s="20">
        <f ca="1">OFFSET('Trans Factors'!$B$13,$O41-1,R$14)*$L41+OFFSET('Trans Factors'!$B$13,$K41-1,R$14)*$H41</f>
        <v>0</v>
      </c>
      <c r="S41" s="20"/>
      <c r="T41" s="20">
        <f ca="1">OFFSET('Trans Factors'!$B$13,$O41-1,T$14)*$L41+OFFSET('Trans Factors'!$B$13,$K41-1,T$14)*$H41</f>
        <v>-81.470851186358061</v>
      </c>
      <c r="U41" s="20"/>
      <c r="V41" s="20">
        <f ca="1">OFFSET('Trans Factors'!$B$13,$O41-1,V$14)*$L41+OFFSET('Trans Factors'!$B$13,$K41-1,V$14)*$H41</f>
        <v>-14093.643890261523</v>
      </c>
      <c r="X41" s="20">
        <f ca="1">OFFSET('Trans Factors'!$B$13,$O41-1,X$14)*$L41+OFFSET('Trans Factors'!$B$13,$K41-1,X$14)*$H41</f>
        <v>-1728.3808892002776</v>
      </c>
      <c r="Y41" s="9"/>
      <c r="Z41" s="20">
        <f ca="1">OFFSET('Trans Factors'!$B$13,$O41-1,Z$14)*$L41+OFFSET('Trans Factors'!$B$13,$K41-1,Z$14)*$H41</f>
        <v>-1576.4852531721504</v>
      </c>
      <c r="AA41" s="20"/>
      <c r="AB41" s="20">
        <f ca="1">OFFSET('Trans Factors'!$B$13,$O41-1,AB$14)*$L41+OFFSET('Trans Factors'!$B$13,$K41-1,AB$14)*$H41</f>
        <v>-204.98696940613601</v>
      </c>
      <c r="AC41" s="20"/>
      <c r="AD41" s="20">
        <f ca="1">OFFSET('Trans Factors'!$B$13,$O41-1,AD$14)*$L41+OFFSET('Trans Factors'!$B$13,$K41-1,AD$14)*$H41</f>
        <v>0</v>
      </c>
      <c r="AF41" s="20">
        <f t="shared" ref="AF41:AF52" ca="1" si="19">P41+R41+T41+V41+X41+Z41+AB41+AD41</f>
        <v>-17684.967853226444</v>
      </c>
      <c r="AH41" s="25" t="str">
        <f t="shared" ca="1" si="17"/>
        <v/>
      </c>
      <c r="AK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D41" s="48"/>
    </row>
    <row r="42" spans="2:56" ht="13" x14ac:dyDescent="0.3">
      <c r="B42" s="18">
        <f t="shared" ref="B42:B53" si="20">B41+1</f>
        <v>19</v>
      </c>
      <c r="D42" s="1" t="s">
        <v>37</v>
      </c>
      <c r="F42" s="48">
        <f ca="1">Function!T42</f>
        <v>-77738.765516644649</v>
      </c>
      <c r="H42" s="48"/>
      <c r="J42" s="2"/>
      <c r="K42" s="70">
        <f>_xlfn.IFNA(MATCH(J42,'Trans Factors'!$B$13:$B$450,0),0)</f>
        <v>0</v>
      </c>
      <c r="L42" s="48">
        <f t="shared" ca="1" si="18"/>
        <v>-77738.765516644649</v>
      </c>
      <c r="N42" s="18" t="s">
        <v>255</v>
      </c>
      <c r="O42" s="70">
        <f>_xlfn.IFNA(MATCH(N42,'Trans Factors'!$B$13:$B$450,0),0)</f>
        <v>68</v>
      </c>
      <c r="P42" s="20">
        <f ca="1">OFFSET('Trans Factors'!$B$13,$O42-1,P$14)*$L42+OFFSET('Trans Factors'!$B$13,$K42-1,P$14)*$H42</f>
        <v>-23485.914549559013</v>
      </c>
      <c r="R42" s="20">
        <f ca="1">OFFSET('Trans Factors'!$B$13,$O42-1,R$14)*$L42+OFFSET('Trans Factors'!$B$13,$K42-1,R$14)*$H42</f>
        <v>-1066.4351039073858</v>
      </c>
      <c r="S42" s="20"/>
      <c r="T42" s="20">
        <f ca="1">OFFSET('Trans Factors'!$B$13,$O42-1,T$14)*$L42+OFFSET('Trans Factors'!$B$13,$K42-1,T$14)*$H42</f>
        <v>-24764.875005545608</v>
      </c>
      <c r="U42" s="20"/>
      <c r="V42" s="20">
        <f ca="1">OFFSET('Trans Factors'!$B$13,$O42-1,V$14)*$L42+OFFSET('Trans Factors'!$B$13,$K42-1,V$14)*$H42</f>
        <v>-25533.312542571392</v>
      </c>
      <c r="X42" s="20">
        <f ca="1">OFFSET('Trans Factors'!$B$13,$O42-1,X$14)*$L42+OFFSET('Trans Factors'!$B$13,$K42-1,X$14)*$H42</f>
        <v>0</v>
      </c>
      <c r="Y42" s="9"/>
      <c r="Z42" s="20">
        <f ca="1">OFFSET('Trans Factors'!$B$13,$O42-1,Z$14)*$L42+OFFSET('Trans Factors'!$B$13,$K42-1,Z$14)*$H42</f>
        <v>-2865.5350819372147</v>
      </c>
      <c r="AA42" s="20"/>
      <c r="AB42" s="20">
        <f ca="1">OFFSET('Trans Factors'!$B$13,$O42-1,AB$14)*$L42+OFFSET('Trans Factors'!$B$13,$K42-1,AB$14)*$H42</f>
        <v>-22.693233124041946</v>
      </c>
      <c r="AC42" s="20"/>
      <c r="AD42" s="20">
        <f ca="1">OFFSET('Trans Factors'!$B$13,$O42-1,AD$14)*$L42+OFFSET('Trans Factors'!$B$13,$K42-1,AD$14)*$H42</f>
        <v>0</v>
      </c>
      <c r="AF42" s="20">
        <f t="shared" ca="1" si="19"/>
        <v>-77738.765516644649</v>
      </c>
      <c r="AH42" s="25" t="str">
        <f t="shared" ca="1" si="17"/>
        <v/>
      </c>
      <c r="AK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D42" s="48"/>
    </row>
    <row r="43" spans="2:56" ht="13" x14ac:dyDescent="0.3">
      <c r="B43" s="18">
        <f t="shared" si="20"/>
        <v>20</v>
      </c>
      <c r="D43" s="1" t="s">
        <v>39</v>
      </c>
      <c r="F43" s="48">
        <f ca="1">Function!T43</f>
        <v>-91934.117047230378</v>
      </c>
      <c r="H43" s="48"/>
      <c r="J43" s="2"/>
      <c r="K43" s="70">
        <f>_xlfn.IFNA(MATCH(J43,'Trans Factors'!$B$13:$B$450,0),0)</f>
        <v>0</v>
      </c>
      <c r="L43" s="48">
        <f t="shared" ca="1" si="18"/>
        <v>-91934.117047230378</v>
      </c>
      <c r="N43" s="18" t="s">
        <v>256</v>
      </c>
      <c r="O43" s="70">
        <f>_xlfn.IFNA(MATCH(N43,'Trans Factors'!$B$13:$B$450,0),0)</f>
        <v>50</v>
      </c>
      <c r="P43" s="20">
        <f ca="1">OFFSET('Trans Factors'!$B$13,$O43-1,P$14)*$L43+OFFSET('Trans Factors'!$B$13,$K43-1,P$14)*$H43</f>
        <v>-34952.348121982686</v>
      </c>
      <c r="R43" s="20">
        <f ca="1">OFFSET('Trans Factors'!$B$13,$O43-1,R$14)*$L43+OFFSET('Trans Factors'!$B$13,$K43-1,R$14)*$H43</f>
        <v>-9130.3820732125623</v>
      </c>
      <c r="S43" s="20"/>
      <c r="T43" s="20">
        <f ca="1">OFFSET('Trans Factors'!$B$13,$O43-1,T$14)*$L43+OFFSET('Trans Factors'!$B$13,$K43-1,T$14)*$H43</f>
        <v>-18389.293021966987</v>
      </c>
      <c r="U43" s="20"/>
      <c r="V43" s="20">
        <f ca="1">OFFSET('Trans Factors'!$B$13,$O43-1,V$14)*$L43+OFFSET('Trans Factors'!$B$13,$K43-1,V$14)*$H43</f>
        <v>0</v>
      </c>
      <c r="X43" s="20">
        <f ca="1">OFFSET('Trans Factors'!$B$13,$O43-1,X$14)*$L43+OFFSET('Trans Factors'!$B$13,$K43-1,X$14)*$H43</f>
        <v>-517.39716281437381</v>
      </c>
      <c r="Y43" s="9"/>
      <c r="Z43" s="20">
        <f ca="1">OFFSET('Trans Factors'!$B$13,$O43-1,Z$14)*$L43+OFFSET('Trans Factors'!$B$13,$K43-1,Z$14)*$H43</f>
        <v>-26640.511456599637</v>
      </c>
      <c r="AA43" s="20"/>
      <c r="AB43" s="20">
        <f ca="1">OFFSET('Trans Factors'!$B$13,$O43-1,AB$14)*$L43+OFFSET('Trans Factors'!$B$13,$K43-1,AB$14)*$H43</f>
        <v>-2304.185210654131</v>
      </c>
      <c r="AC43" s="20"/>
      <c r="AD43" s="20">
        <f ca="1">OFFSET('Trans Factors'!$B$13,$O43-1,AD$14)*$L43+OFFSET('Trans Factors'!$B$13,$K43-1,AD$14)*$H43</f>
        <v>0</v>
      </c>
      <c r="AF43" s="20">
        <f t="shared" ca="1" si="19"/>
        <v>-91934.117047230378</v>
      </c>
      <c r="AH43" s="25" t="str">
        <f t="shared" ca="1" si="17"/>
        <v/>
      </c>
      <c r="AK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D43" s="48"/>
    </row>
    <row r="44" spans="2:56" ht="13" x14ac:dyDescent="0.3">
      <c r="B44" s="18">
        <f t="shared" si="20"/>
        <v>21</v>
      </c>
      <c r="D44" s="1" t="s">
        <v>41</v>
      </c>
      <c r="F44" s="48">
        <f ca="1">Function!T44</f>
        <v>-700300.98840433965</v>
      </c>
      <c r="H44" s="48"/>
      <c r="K44" s="70">
        <f>_xlfn.IFNA(MATCH(J44,'Trans Factors'!$B$13:$B$450,0),0)</f>
        <v>0</v>
      </c>
      <c r="L44" s="48">
        <f t="shared" ca="1" si="18"/>
        <v>-700300.98840433965</v>
      </c>
      <c r="N44" s="18" t="s">
        <v>257</v>
      </c>
      <c r="O44" s="70">
        <f>_xlfn.IFNA(MATCH(N44,'Trans Factors'!$B$13:$B$450,0),0)</f>
        <v>44</v>
      </c>
      <c r="P44" s="20">
        <f ca="1">OFFSET('Trans Factors'!$B$13,$O44-1,P$14)*$L44+OFFSET('Trans Factors'!$B$13,$K44-1,P$14)*$H44</f>
        <v>0</v>
      </c>
      <c r="R44" s="20">
        <f ca="1">OFFSET('Trans Factors'!$B$13,$O44-1,R$14)*$L44+OFFSET('Trans Factors'!$B$13,$K44-1,R$14)*$H44</f>
        <v>-12.200666647008878</v>
      </c>
      <c r="S44" s="20"/>
      <c r="T44" s="20">
        <f ca="1">OFFSET('Trans Factors'!$B$13,$O44-1,T$14)*$L44+OFFSET('Trans Factors'!$B$13,$K44-1,T$14)*$H44</f>
        <v>-1756.3198305423257</v>
      </c>
      <c r="U44" s="20"/>
      <c r="V44" s="20">
        <f ca="1">OFFSET('Trans Factors'!$B$13,$O44-1,V$14)*$L44+OFFSET('Trans Factors'!$B$13,$K44-1,V$14)*$H44</f>
        <v>-572450.84464776691</v>
      </c>
      <c r="X44" s="20">
        <f ca="1">OFFSET('Trans Factors'!$B$13,$O44-1,X$14)*$L44+OFFSET('Trans Factors'!$B$13,$K44-1,X$14)*$H44</f>
        <v>-51214.137142734056</v>
      </c>
      <c r="Y44" s="9"/>
      <c r="Z44" s="20">
        <f ca="1">OFFSET('Trans Factors'!$B$13,$O44-1,Z$14)*$L44+OFFSET('Trans Factors'!$B$13,$K44-1,Z$14)*$H44</f>
        <v>-69097.892666086147</v>
      </c>
      <c r="AA44" s="20"/>
      <c r="AB44" s="20">
        <f ca="1">OFFSET('Trans Factors'!$B$13,$O44-1,AB$14)*$L44+OFFSET('Trans Factors'!$B$13,$K44-1,AB$14)*$H44</f>
        <v>-5769.5934505632677</v>
      </c>
      <c r="AC44" s="20"/>
      <c r="AD44" s="20">
        <f ca="1">OFFSET('Trans Factors'!$B$13,$O44-1,AD$14)*$L44+OFFSET('Trans Factors'!$B$13,$K44-1,AD$14)*$H44</f>
        <v>0</v>
      </c>
      <c r="AF44" s="20">
        <f t="shared" ca="1" si="19"/>
        <v>-700300.98840433965</v>
      </c>
      <c r="AH44" s="25" t="str">
        <f t="shared" ca="1" si="17"/>
        <v/>
      </c>
      <c r="AK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D44" s="48"/>
    </row>
    <row r="45" spans="2:56" ht="13" x14ac:dyDescent="0.3">
      <c r="B45" s="18">
        <f t="shared" si="20"/>
        <v>22</v>
      </c>
      <c r="D45" s="1" t="s">
        <v>43</v>
      </c>
      <c r="F45" s="48">
        <f ca="1">Function!T45</f>
        <v>-529309.68232222286</v>
      </c>
      <c r="H45" s="48"/>
      <c r="K45" s="70">
        <f>_xlfn.IFNA(MATCH(J45,'Trans Factors'!$B$13:$B$450,0),0)</f>
        <v>0</v>
      </c>
      <c r="L45" s="48">
        <f t="shared" ca="1" si="18"/>
        <v>-529309.68232222286</v>
      </c>
      <c r="N45" s="18" t="s">
        <v>258</v>
      </c>
      <c r="O45" s="70">
        <f>_xlfn.IFNA(MATCH(N45,'Trans Factors'!$B$13:$B$450,0),0)</f>
        <v>17</v>
      </c>
      <c r="P45" s="20">
        <f ca="1">OFFSET('Trans Factors'!$B$13,$O45-1,P$14)*$L45+OFFSET('Trans Factors'!$B$13,$K45-1,P$14)*$H45</f>
        <v>0</v>
      </c>
      <c r="R45" s="20">
        <f ca="1">OFFSET('Trans Factors'!$B$13,$O45-1,R$14)*$L45+OFFSET('Trans Factors'!$B$13,$K45-1,R$14)*$H45</f>
        <v>0</v>
      </c>
      <c r="S45" s="20"/>
      <c r="T45" s="20">
        <f ca="1">OFFSET('Trans Factors'!$B$13,$O45-1,T$14)*$L45+OFFSET('Trans Factors'!$B$13,$K45-1,T$14)*$H45</f>
        <v>-125363.51856244406</v>
      </c>
      <c r="U45" s="20"/>
      <c r="V45" s="20">
        <f ca="1">OFFSET('Trans Factors'!$B$13,$O45-1,V$14)*$L45+OFFSET('Trans Factors'!$B$13,$K45-1,V$14)*$H45</f>
        <v>-394898.99494617968</v>
      </c>
      <c r="X45" s="20">
        <f ca="1">OFFSET('Trans Factors'!$B$13,$O45-1,X$14)*$L45+OFFSET('Trans Factors'!$B$13,$K45-1,X$14)*$H45</f>
        <v>0</v>
      </c>
      <c r="Y45" s="9"/>
      <c r="Z45" s="20">
        <f ca="1">OFFSET('Trans Factors'!$B$13,$O45-1,Z$14)*$L45+OFFSET('Trans Factors'!$B$13,$K45-1,Z$14)*$H45</f>
        <v>-9047.1688135990662</v>
      </c>
      <c r="AA45" s="20"/>
      <c r="AB45" s="20">
        <f ca="1">OFFSET('Trans Factors'!$B$13,$O45-1,AB$14)*$L45+OFFSET('Trans Factors'!$B$13,$K45-1,AB$14)*$H45</f>
        <v>0</v>
      </c>
      <c r="AC45" s="20"/>
      <c r="AD45" s="20">
        <f ca="1">OFFSET('Trans Factors'!$B$13,$O45-1,AD$14)*$L45+OFFSET('Trans Factors'!$B$13,$K45-1,AD$14)*$H45</f>
        <v>0</v>
      </c>
      <c r="AF45" s="20">
        <f t="shared" ca="1" si="19"/>
        <v>-529309.68232222286</v>
      </c>
      <c r="AH45" s="25" t="str">
        <f t="shared" ca="1" si="17"/>
        <v/>
      </c>
      <c r="AK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D45" s="48"/>
    </row>
    <row r="46" spans="2:56" ht="13" x14ac:dyDescent="0.3">
      <c r="B46" s="18">
        <f t="shared" si="20"/>
        <v>23</v>
      </c>
      <c r="D46" s="1" t="s">
        <v>45</v>
      </c>
      <c r="F46" s="48">
        <f ca="1">Function!T46</f>
        <v>0</v>
      </c>
      <c r="H46" s="48"/>
      <c r="K46" s="70">
        <f>_xlfn.IFNA(MATCH(J46,'Trans Factors'!$B$13:$B$450,0),0)</f>
        <v>0</v>
      </c>
      <c r="L46" s="48">
        <f t="shared" ca="1" si="18"/>
        <v>0</v>
      </c>
      <c r="N46" s="18"/>
      <c r="O46" s="70">
        <f>_xlfn.IFNA(MATCH(N46,'Trans Factors'!$B$13:$B$450,0),0)</f>
        <v>0</v>
      </c>
      <c r="P46" s="20">
        <f ca="1">OFFSET('Trans Factors'!$B$13,$O46-1,P$14)*$L46+OFFSET('Trans Factors'!$B$13,$K46-1,P$14)*$H46</f>
        <v>0</v>
      </c>
      <c r="R46" s="20">
        <f ca="1">OFFSET('Trans Factors'!$B$13,$O46-1,R$14)*$L46+OFFSET('Trans Factors'!$B$13,$K46-1,R$14)*$H46</f>
        <v>0</v>
      </c>
      <c r="S46" s="20"/>
      <c r="T46" s="20">
        <f ca="1">OFFSET('Trans Factors'!$B$13,$O46-1,T$14)*$L46+OFFSET('Trans Factors'!$B$13,$K46-1,T$14)*$H46</f>
        <v>0</v>
      </c>
      <c r="U46" s="20"/>
      <c r="V46" s="20">
        <f ca="1">OFFSET('Trans Factors'!$B$13,$O46-1,V$14)*$L46+OFFSET('Trans Factors'!$B$13,$K46-1,V$14)*$H46</f>
        <v>0</v>
      </c>
      <c r="X46" s="20">
        <f ca="1">OFFSET('Trans Factors'!$B$13,$O46-1,X$14)*$L46+OFFSET('Trans Factors'!$B$13,$K46-1,X$14)*$H46</f>
        <v>0</v>
      </c>
      <c r="Y46" s="9"/>
      <c r="Z46" s="20">
        <f ca="1">OFFSET('Trans Factors'!$B$13,$O46-1,Z$14)*$L46+OFFSET('Trans Factors'!$B$13,$K46-1,Z$14)*$H46</f>
        <v>0</v>
      </c>
      <c r="AA46" s="20"/>
      <c r="AB46" s="20">
        <f ca="1">OFFSET('Trans Factors'!$B$13,$O46-1,AB$14)*$L46+OFFSET('Trans Factors'!$B$13,$K46-1,AB$14)*$H46</f>
        <v>0</v>
      </c>
      <c r="AC46" s="20"/>
      <c r="AD46" s="20">
        <f ca="1">OFFSET('Trans Factors'!$B$13,$O46-1,AD$14)*$L46+OFFSET('Trans Factors'!$B$13,$K46-1,AD$14)*$H46</f>
        <v>0</v>
      </c>
      <c r="AF46" s="20">
        <f t="shared" ca="1" si="19"/>
        <v>0</v>
      </c>
      <c r="AH46" s="25" t="str">
        <f t="shared" ca="1" si="17"/>
        <v/>
      </c>
      <c r="AK46" s="37"/>
      <c r="AN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D46" s="48"/>
    </row>
    <row r="47" spans="2:56" ht="13" x14ac:dyDescent="0.3">
      <c r="B47" s="18">
        <f t="shared" si="20"/>
        <v>24</v>
      </c>
      <c r="D47" s="1" t="s">
        <v>47</v>
      </c>
      <c r="F47" s="48">
        <f ca="1">Function!T47</f>
        <v>0</v>
      </c>
      <c r="H47" s="48"/>
      <c r="K47" s="70">
        <f>_xlfn.IFNA(MATCH(J47,'Trans Factors'!$B$13:$B$450,0),0)</f>
        <v>0</v>
      </c>
      <c r="L47" s="48">
        <f t="shared" ca="1" si="18"/>
        <v>0</v>
      </c>
      <c r="N47" s="18"/>
      <c r="O47" s="70">
        <f>_xlfn.IFNA(MATCH(N47,'Trans Factors'!$B$13:$B$450,0),0)</f>
        <v>0</v>
      </c>
      <c r="P47" s="20">
        <f ca="1">OFFSET('Trans Factors'!$B$13,$O47-1,P$14)*$L47+OFFSET('Trans Factors'!$B$13,$K47-1,P$14)*$H47</f>
        <v>0</v>
      </c>
      <c r="R47" s="20">
        <f ca="1">OFFSET('Trans Factors'!$B$13,$O47-1,R$14)*$L47+OFFSET('Trans Factors'!$B$13,$K47-1,R$14)*$H47</f>
        <v>0</v>
      </c>
      <c r="S47" s="20"/>
      <c r="T47" s="20">
        <f ca="1">OFFSET('Trans Factors'!$B$13,$O47-1,T$14)*$L47+OFFSET('Trans Factors'!$B$13,$K47-1,T$14)*$H47</f>
        <v>0</v>
      </c>
      <c r="U47" s="20"/>
      <c r="V47" s="20">
        <f ca="1">OFFSET('Trans Factors'!$B$13,$O47-1,V$14)*$L47+OFFSET('Trans Factors'!$B$13,$K47-1,V$14)*$H47</f>
        <v>0</v>
      </c>
      <c r="X47" s="20">
        <f ca="1">OFFSET('Trans Factors'!$B$13,$O47-1,X$14)*$L47+OFFSET('Trans Factors'!$B$13,$K47-1,X$14)*$H47</f>
        <v>0</v>
      </c>
      <c r="Y47" s="9"/>
      <c r="Z47" s="20">
        <f ca="1">OFFSET('Trans Factors'!$B$13,$O47-1,Z$14)*$L47+OFFSET('Trans Factors'!$B$13,$K47-1,Z$14)*$H47</f>
        <v>0</v>
      </c>
      <c r="AA47" s="20"/>
      <c r="AB47" s="20">
        <f ca="1">OFFSET('Trans Factors'!$B$13,$O47-1,AB$14)*$L47+OFFSET('Trans Factors'!$B$13,$K47-1,AB$14)*$H47</f>
        <v>0</v>
      </c>
      <c r="AC47" s="20"/>
      <c r="AD47" s="20">
        <f ca="1">OFFSET('Trans Factors'!$B$13,$O47-1,AD$14)*$L47+OFFSET('Trans Factors'!$B$13,$K47-1,AD$14)*$H47</f>
        <v>0</v>
      </c>
      <c r="AF47" s="20">
        <f t="shared" ca="1" si="19"/>
        <v>0</v>
      </c>
      <c r="AH47" s="25" t="str">
        <f t="shared" ca="1" si="17"/>
        <v/>
      </c>
      <c r="AK47" s="37"/>
      <c r="AN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D47" s="48"/>
    </row>
    <row r="48" spans="2:56" ht="13" x14ac:dyDescent="0.3">
      <c r="B48" s="18">
        <f t="shared" si="20"/>
        <v>25</v>
      </c>
      <c r="D48" s="1" t="s">
        <v>48</v>
      </c>
      <c r="F48" s="48">
        <f ca="1">Function!T48</f>
        <v>0</v>
      </c>
      <c r="H48" s="48"/>
      <c r="K48" s="70">
        <f>_xlfn.IFNA(MATCH(J48,'Trans Factors'!$B$13:$B$450,0),0)</f>
        <v>0</v>
      </c>
      <c r="L48" s="48">
        <f t="shared" ca="1" si="18"/>
        <v>0</v>
      </c>
      <c r="N48" s="18"/>
      <c r="O48" s="70">
        <f>_xlfn.IFNA(MATCH(N48,'Trans Factors'!$B$13:$B$450,0),0)</f>
        <v>0</v>
      </c>
      <c r="P48" s="20">
        <f ca="1">OFFSET('Trans Factors'!$B$13,$O48-1,P$14)*$L48+OFFSET('Trans Factors'!$B$13,$K48-1,P$14)*$H48</f>
        <v>0</v>
      </c>
      <c r="R48" s="20">
        <f ca="1">OFFSET('Trans Factors'!$B$13,$O48-1,R$14)*$L48+OFFSET('Trans Factors'!$B$13,$K48-1,R$14)*$H48</f>
        <v>0</v>
      </c>
      <c r="S48" s="20"/>
      <c r="T48" s="20">
        <f ca="1">OFFSET('Trans Factors'!$B$13,$O48-1,T$14)*$L48+OFFSET('Trans Factors'!$B$13,$K48-1,T$14)*$H48</f>
        <v>0</v>
      </c>
      <c r="U48" s="20"/>
      <c r="V48" s="20">
        <f ca="1">OFFSET('Trans Factors'!$B$13,$O48-1,V$14)*$L48+OFFSET('Trans Factors'!$B$13,$K48-1,V$14)*$H48</f>
        <v>0</v>
      </c>
      <c r="X48" s="20">
        <f ca="1">OFFSET('Trans Factors'!$B$13,$O48-1,X$14)*$L48+OFFSET('Trans Factors'!$B$13,$K48-1,X$14)*$H48</f>
        <v>0</v>
      </c>
      <c r="Y48" s="9"/>
      <c r="Z48" s="20">
        <f ca="1">OFFSET('Trans Factors'!$B$13,$O48-1,Z$14)*$L48+OFFSET('Trans Factors'!$B$13,$K48-1,Z$14)*$H48</f>
        <v>0</v>
      </c>
      <c r="AA48" s="20"/>
      <c r="AB48" s="20">
        <f ca="1">OFFSET('Trans Factors'!$B$13,$O48-1,AB$14)*$L48+OFFSET('Trans Factors'!$B$13,$K48-1,AB$14)*$H48</f>
        <v>0</v>
      </c>
      <c r="AC48" s="20"/>
      <c r="AD48" s="20">
        <f ca="1">OFFSET('Trans Factors'!$B$13,$O48-1,AD$14)*$L48+OFFSET('Trans Factors'!$B$13,$K48-1,AD$14)*$H48</f>
        <v>0</v>
      </c>
      <c r="AF48" s="20">
        <f t="shared" ca="1" si="19"/>
        <v>0</v>
      </c>
      <c r="AH48" s="25" t="str">
        <f t="shared" ca="1" si="17"/>
        <v/>
      </c>
      <c r="AK48" s="37"/>
      <c r="AN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D48" s="48"/>
    </row>
    <row r="49" spans="2:56" ht="13" x14ac:dyDescent="0.3">
      <c r="B49" s="18">
        <f t="shared" si="20"/>
        <v>26</v>
      </c>
      <c r="D49" s="1" t="s">
        <v>49</v>
      </c>
      <c r="F49" s="48">
        <f ca="1">Function!T49</f>
        <v>0</v>
      </c>
      <c r="H49" s="48"/>
      <c r="K49" s="70">
        <f>_xlfn.IFNA(MATCH(J49,'Trans Factors'!$B$13:$B$450,0),0)</f>
        <v>0</v>
      </c>
      <c r="L49" s="48">
        <f t="shared" ca="1" si="18"/>
        <v>0</v>
      </c>
      <c r="N49" s="18"/>
      <c r="O49" s="70">
        <f>_xlfn.IFNA(MATCH(N49,'Trans Factors'!$B$13:$B$450,0),0)</f>
        <v>0</v>
      </c>
      <c r="P49" s="20">
        <f ca="1">OFFSET('Trans Factors'!$B$13,$O49-1,P$14)*$L49+OFFSET('Trans Factors'!$B$13,$K49-1,P$14)*$H49</f>
        <v>0</v>
      </c>
      <c r="R49" s="20">
        <f ca="1">OFFSET('Trans Factors'!$B$13,$O49-1,R$14)*$L49+OFFSET('Trans Factors'!$B$13,$K49-1,R$14)*$H49</f>
        <v>0</v>
      </c>
      <c r="S49" s="20"/>
      <c r="T49" s="20">
        <f ca="1">OFFSET('Trans Factors'!$B$13,$O49-1,T$14)*$L49+OFFSET('Trans Factors'!$B$13,$K49-1,T$14)*$H49</f>
        <v>0</v>
      </c>
      <c r="U49" s="20"/>
      <c r="V49" s="20">
        <f ca="1">OFFSET('Trans Factors'!$B$13,$O49-1,V$14)*$L49+OFFSET('Trans Factors'!$B$13,$K49-1,V$14)*$H49</f>
        <v>0</v>
      </c>
      <c r="X49" s="20">
        <f ca="1">OFFSET('Trans Factors'!$B$13,$O49-1,X$14)*$L49+OFFSET('Trans Factors'!$B$13,$K49-1,X$14)*$H49</f>
        <v>0</v>
      </c>
      <c r="Y49" s="9"/>
      <c r="Z49" s="20">
        <f ca="1">OFFSET('Trans Factors'!$B$13,$O49-1,Z$14)*$L49+OFFSET('Trans Factors'!$B$13,$K49-1,Z$14)*$H49</f>
        <v>0</v>
      </c>
      <c r="AA49" s="20"/>
      <c r="AB49" s="20">
        <f ca="1">OFFSET('Trans Factors'!$B$13,$O49-1,AB$14)*$L49+OFFSET('Trans Factors'!$B$13,$K49-1,AB$14)*$H49</f>
        <v>0</v>
      </c>
      <c r="AC49" s="20"/>
      <c r="AD49" s="20">
        <f ca="1">OFFSET('Trans Factors'!$B$13,$O49-1,AD$14)*$L49+OFFSET('Trans Factors'!$B$13,$K49-1,AD$14)*$H49</f>
        <v>0</v>
      </c>
      <c r="AF49" s="20">
        <f t="shared" ca="1" si="19"/>
        <v>0</v>
      </c>
      <c r="AH49" s="25" t="str">
        <f t="shared" ca="1" si="17"/>
        <v/>
      </c>
      <c r="AK49" s="37"/>
      <c r="AN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D49" s="48"/>
    </row>
    <row r="50" spans="2:56" ht="13" x14ac:dyDescent="0.3">
      <c r="B50" s="18">
        <f t="shared" si="20"/>
        <v>27</v>
      </c>
      <c r="D50" s="1" t="s">
        <v>51</v>
      </c>
      <c r="F50" s="48">
        <f ca="1">Function!T50</f>
        <v>0</v>
      </c>
      <c r="H50" s="48"/>
      <c r="K50" s="70">
        <f>_xlfn.IFNA(MATCH(J50,'Trans Factors'!$B$13:$B$450,0),0)</f>
        <v>0</v>
      </c>
      <c r="L50" s="48">
        <f t="shared" ca="1" si="18"/>
        <v>0</v>
      </c>
      <c r="N50" s="18"/>
      <c r="O50" s="70">
        <f>_xlfn.IFNA(MATCH(N50,'Trans Factors'!$B$13:$B$450,0),0)</f>
        <v>0</v>
      </c>
      <c r="P50" s="20">
        <f ca="1">OFFSET('Trans Factors'!$B$13,$O50-1,P$14)*$L50+OFFSET('Trans Factors'!$B$13,$K50-1,P$14)*$H50</f>
        <v>0</v>
      </c>
      <c r="R50" s="20">
        <f ca="1">OFFSET('Trans Factors'!$B$13,$O50-1,R$14)*$L50+OFFSET('Trans Factors'!$B$13,$K50-1,R$14)*$H50</f>
        <v>0</v>
      </c>
      <c r="S50" s="20"/>
      <c r="T50" s="20">
        <f ca="1">OFFSET('Trans Factors'!$B$13,$O50-1,T$14)*$L50+OFFSET('Trans Factors'!$B$13,$K50-1,T$14)*$H50</f>
        <v>0</v>
      </c>
      <c r="U50" s="20"/>
      <c r="V50" s="20">
        <f ca="1">OFFSET('Trans Factors'!$B$13,$O50-1,V$14)*$L50+OFFSET('Trans Factors'!$B$13,$K50-1,V$14)*$H50</f>
        <v>0</v>
      </c>
      <c r="X50" s="20">
        <f ca="1">OFFSET('Trans Factors'!$B$13,$O50-1,X$14)*$L50+OFFSET('Trans Factors'!$B$13,$K50-1,X$14)*$H50</f>
        <v>0</v>
      </c>
      <c r="Y50" s="9"/>
      <c r="Z50" s="20">
        <f ca="1">OFFSET('Trans Factors'!$B$13,$O50-1,Z$14)*$L50+OFFSET('Trans Factors'!$B$13,$K50-1,Z$14)*$H50</f>
        <v>0</v>
      </c>
      <c r="AA50" s="20"/>
      <c r="AB50" s="20">
        <f ca="1">OFFSET('Trans Factors'!$B$13,$O50-1,AB$14)*$L50+OFFSET('Trans Factors'!$B$13,$K50-1,AB$14)*$H50</f>
        <v>0</v>
      </c>
      <c r="AC50" s="20"/>
      <c r="AD50" s="20">
        <f ca="1">OFFSET('Trans Factors'!$B$13,$O50-1,AD$14)*$L50+OFFSET('Trans Factors'!$B$13,$K50-1,AD$14)*$H50</f>
        <v>0</v>
      </c>
      <c r="AF50" s="20">
        <f t="shared" ca="1" si="19"/>
        <v>0</v>
      </c>
      <c r="AH50" s="25" t="str">
        <f t="shared" ca="1" si="17"/>
        <v/>
      </c>
      <c r="AK50" s="37"/>
      <c r="AN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D50" s="48"/>
    </row>
    <row r="51" spans="2:56" ht="13" x14ac:dyDescent="0.3">
      <c r="B51" s="18">
        <f>B50+1</f>
        <v>28</v>
      </c>
      <c r="D51" s="1" t="s">
        <v>52</v>
      </c>
      <c r="F51" s="48">
        <f ca="1">Function!T51</f>
        <v>0</v>
      </c>
      <c r="H51" s="48"/>
      <c r="K51" s="70">
        <f>_xlfn.IFNA(MATCH(J51,'Trans Factors'!$B$13:$B$450,0),0)</f>
        <v>0</v>
      </c>
      <c r="L51" s="48">
        <f t="shared" ca="1" si="18"/>
        <v>0</v>
      </c>
      <c r="N51" s="18"/>
      <c r="O51" s="70">
        <f>_xlfn.IFNA(MATCH(N51,'Trans Factors'!$B$13:$B$450,0),0)</f>
        <v>0</v>
      </c>
      <c r="P51" s="20">
        <f ca="1">OFFSET('Trans Factors'!$B$13,$O51-1,P$14)*$L51+OFFSET('Trans Factors'!$B$13,$K51-1,P$14)*$H51</f>
        <v>0</v>
      </c>
      <c r="R51" s="20">
        <f ca="1">OFFSET('Trans Factors'!$B$13,$O51-1,R$14)*$L51+OFFSET('Trans Factors'!$B$13,$K51-1,R$14)*$H51</f>
        <v>0</v>
      </c>
      <c r="S51" s="20"/>
      <c r="T51" s="20">
        <f ca="1">OFFSET('Trans Factors'!$B$13,$O51-1,T$14)*$L51+OFFSET('Trans Factors'!$B$13,$K51-1,T$14)*$H51</f>
        <v>0</v>
      </c>
      <c r="U51" s="20"/>
      <c r="V51" s="20">
        <f ca="1">OFFSET('Trans Factors'!$B$13,$O51-1,V$14)*$L51+OFFSET('Trans Factors'!$B$13,$K51-1,V$14)*$H51</f>
        <v>0</v>
      </c>
      <c r="X51" s="20">
        <f ca="1">OFFSET('Trans Factors'!$B$13,$O51-1,X$14)*$L51+OFFSET('Trans Factors'!$B$13,$K51-1,X$14)*$H51</f>
        <v>0</v>
      </c>
      <c r="Y51" s="9"/>
      <c r="Z51" s="20">
        <f ca="1">OFFSET('Trans Factors'!$B$13,$O51-1,Z$14)*$L51+OFFSET('Trans Factors'!$B$13,$K51-1,Z$14)*$H51</f>
        <v>0</v>
      </c>
      <c r="AA51" s="20"/>
      <c r="AB51" s="20">
        <f ca="1">OFFSET('Trans Factors'!$B$13,$O51-1,AB$14)*$L51+OFFSET('Trans Factors'!$B$13,$K51-1,AB$14)*$H51</f>
        <v>0</v>
      </c>
      <c r="AC51" s="20"/>
      <c r="AD51" s="20">
        <f ca="1">OFFSET('Trans Factors'!$B$13,$O51-1,AD$14)*$L51+OFFSET('Trans Factors'!$B$13,$K51-1,AD$14)*$H51</f>
        <v>0</v>
      </c>
      <c r="AF51" s="20">
        <f t="shared" ca="1" si="19"/>
        <v>0</v>
      </c>
      <c r="AH51" s="25" t="str">
        <f t="shared" ca="1" si="17"/>
        <v/>
      </c>
      <c r="AK51" s="37"/>
      <c r="AN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D51" s="48"/>
    </row>
    <row r="52" spans="2:56" ht="13" x14ac:dyDescent="0.3">
      <c r="B52" s="18">
        <f>B51+1</f>
        <v>29</v>
      </c>
      <c r="D52" s="1" t="s">
        <v>53</v>
      </c>
      <c r="F52" s="48">
        <f ca="1">Function!T52</f>
        <v>0</v>
      </c>
      <c r="H52" s="48"/>
      <c r="K52" s="70">
        <f>_xlfn.IFNA(MATCH(J52,'Trans Factors'!$B$13:$B$450,0),0)</f>
        <v>0</v>
      </c>
      <c r="L52" s="48">
        <f t="shared" ca="1" si="18"/>
        <v>0</v>
      </c>
      <c r="N52" s="18"/>
      <c r="O52" s="70">
        <f>_xlfn.IFNA(MATCH(N52,'Trans Factors'!$B$13:$B$450,0),0)</f>
        <v>0</v>
      </c>
      <c r="P52" s="20">
        <f ca="1">OFFSET('Trans Factors'!$B$13,$O52-1,P$14)*$L52+OFFSET('Trans Factors'!$B$13,$K52-1,P$14)*$H52</f>
        <v>0</v>
      </c>
      <c r="R52" s="20">
        <f ca="1">OFFSET('Trans Factors'!$B$13,$O52-1,R$14)*$L52+OFFSET('Trans Factors'!$B$13,$K52-1,R$14)*$H52</f>
        <v>0</v>
      </c>
      <c r="S52" s="20"/>
      <c r="T52" s="20">
        <f ca="1">OFFSET('Trans Factors'!$B$13,$O52-1,T$14)*$L52+OFFSET('Trans Factors'!$B$13,$K52-1,T$14)*$H52</f>
        <v>0</v>
      </c>
      <c r="U52" s="20"/>
      <c r="V52" s="20">
        <f ca="1">OFFSET('Trans Factors'!$B$13,$O52-1,V$14)*$L52+OFFSET('Trans Factors'!$B$13,$K52-1,V$14)*$H52</f>
        <v>0</v>
      </c>
      <c r="X52" s="20">
        <f ca="1">OFFSET('Trans Factors'!$B$13,$O52-1,X$14)*$L52+OFFSET('Trans Factors'!$B$13,$K52-1,X$14)*$H52</f>
        <v>0</v>
      </c>
      <c r="Y52" s="9"/>
      <c r="Z52" s="20">
        <f ca="1">OFFSET('Trans Factors'!$B$13,$O52-1,Z$14)*$L52+OFFSET('Trans Factors'!$B$13,$K52-1,Z$14)*$H52</f>
        <v>0</v>
      </c>
      <c r="AA52" s="20"/>
      <c r="AB52" s="20">
        <f ca="1">OFFSET('Trans Factors'!$B$13,$O52-1,AB$14)*$L52+OFFSET('Trans Factors'!$B$13,$K52-1,AB$14)*$H52</f>
        <v>0</v>
      </c>
      <c r="AC52" s="20"/>
      <c r="AD52" s="20">
        <f ca="1">OFFSET('Trans Factors'!$B$13,$O52-1,AD$14)*$L52+OFFSET('Trans Factors'!$B$13,$K52-1,AD$14)*$H52</f>
        <v>0</v>
      </c>
      <c r="AF52" s="20">
        <f t="shared" ca="1" si="19"/>
        <v>0</v>
      </c>
      <c r="AH52" s="25" t="str">
        <f t="shared" ca="1" si="17"/>
        <v/>
      </c>
      <c r="AK52" s="37"/>
      <c r="AN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D52" s="48"/>
    </row>
    <row r="53" spans="2:56" ht="13" x14ac:dyDescent="0.3">
      <c r="B53" s="18">
        <f t="shared" si="20"/>
        <v>30</v>
      </c>
      <c r="D53" s="1" t="s">
        <v>65</v>
      </c>
      <c r="F53" s="40">
        <f ca="1">SUM(F40:F52)</f>
        <v>-1416968.5211436641</v>
      </c>
      <c r="H53" s="40">
        <f>SUM(H40:H52)</f>
        <v>0</v>
      </c>
      <c r="L53" s="40">
        <f ca="1">SUM(L40:L52)</f>
        <v>-1416968.5211436641</v>
      </c>
      <c r="O53" s="70"/>
      <c r="P53" s="28">
        <f ca="1">SUM(P40:P52)</f>
        <v>-58438.262671541699</v>
      </c>
      <c r="Q53" s="23"/>
      <c r="R53" s="28">
        <f ca="1">SUM(R40:R52)</f>
        <v>-10209.017843766958</v>
      </c>
      <c r="S53" s="22"/>
      <c r="T53" s="28">
        <f ca="1">SUM(T40:T52)</f>
        <v>-170355.47727168535</v>
      </c>
      <c r="U53" s="22"/>
      <c r="V53" s="28">
        <f ca="1">SUM(V40:V52)</f>
        <v>-1006976.7960267795</v>
      </c>
      <c r="W53" s="18"/>
      <c r="X53" s="28">
        <f ca="1">SUM(X40:X52)</f>
        <v>-53459.915194748712</v>
      </c>
      <c r="Y53" s="13"/>
      <c r="Z53" s="28">
        <f ca="1">SUM(Z40:Z52)</f>
        <v>-109227.59327139422</v>
      </c>
      <c r="AA53" s="22"/>
      <c r="AB53" s="28">
        <f ca="1">SUM(AB40:AB52)</f>
        <v>-8301.4588637475772</v>
      </c>
      <c r="AC53" s="22"/>
      <c r="AD53" s="28">
        <f ca="1">SUM(AD40:AD52)</f>
        <v>0</v>
      </c>
      <c r="AF53" s="28">
        <f ca="1">SUM(AF40:AF52)</f>
        <v>-1416968.5211436641</v>
      </c>
      <c r="AH53" s="25" t="str">
        <f ca="1">IF(ROUND(F53,4)=ROUND(AF53,4), "", "check")</f>
        <v/>
      </c>
      <c r="AK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</row>
    <row r="54" spans="2:56" ht="13" x14ac:dyDescent="0.3">
      <c r="O54" s="70"/>
      <c r="W54" s="18"/>
      <c r="AH54" s="25" t="str">
        <f t="shared" ref="AH54:AH59" si="21">IF(ROUND(F54,4)=ROUND(AF54,4), "", "check")</f>
        <v/>
      </c>
    </row>
    <row r="55" spans="2:56" ht="13" x14ac:dyDescent="0.3">
      <c r="B55" s="18">
        <f>B53+1</f>
        <v>31</v>
      </c>
      <c r="D55" s="1" t="s">
        <v>56</v>
      </c>
      <c r="F55" s="48">
        <f ca="1">Function!T55</f>
        <v>-50852.680549399003</v>
      </c>
      <c r="H55" s="48"/>
      <c r="K55" s="70">
        <f>_xlfn.IFNA(MATCH(J55,'Trans Factors'!$B$13:$B$450,0),0)</f>
        <v>0</v>
      </c>
      <c r="L55" s="48">
        <f t="shared" ref="L55" ca="1" si="22">F55-H55</f>
        <v>-50852.680549399003</v>
      </c>
      <c r="N55" s="18" t="s">
        <v>253</v>
      </c>
      <c r="O55" s="70">
        <f>_xlfn.IFNA(MATCH(N55,'Trans Factors'!$B$13:$B$450,0),0)</f>
        <v>23</v>
      </c>
      <c r="P55" s="20">
        <f ca="1">OFFSET('Trans Factors'!$B$13,$O55-1,P$14)*$L55+OFFSET('Trans Factors'!$B$13,$K55-1,P$14)*$H55</f>
        <v>-1795.3832265391063</v>
      </c>
      <c r="R55" s="20">
        <f ca="1">OFFSET('Trans Factors'!$B$13,$O55-1,R$14)*$L55+OFFSET('Trans Factors'!$B$13,$K55-1,R$14)*$H55</f>
        <v>-258.30691166521291</v>
      </c>
      <c r="S55" s="20"/>
      <c r="T55" s="20">
        <f ca="1">OFFSET('Trans Factors'!$B$13,$O55-1,T$14)*$L55+OFFSET('Trans Factors'!$B$13,$K55-1,T$14)*$H55</f>
        <v>-6728.387913655064</v>
      </c>
      <c r="U55" s="20"/>
      <c r="V55" s="20">
        <f ca="1">OFFSET('Trans Factors'!$B$13,$O55-1,V$14)*$L55+OFFSET('Trans Factors'!$B$13,$K55-1,V$14)*$H55</f>
        <v>-29665.150371393858</v>
      </c>
      <c r="X55" s="20">
        <f ca="1">OFFSET('Trans Factors'!$B$13,$O55-1,X$14)*$L55+OFFSET('Trans Factors'!$B$13,$K55-1,X$14)*$H55</f>
        <v>-4436.5833897997627</v>
      </c>
      <c r="Y55" s="9"/>
      <c r="Z55" s="20">
        <f ca="1">OFFSET('Trans Factors'!$B$13,$O55-1,Z$14)*$L55+OFFSET('Trans Factors'!$B$13,$K55-1,Z$14)*$H55</f>
        <v>-7875.0344091967836</v>
      </c>
      <c r="AA55" s="20"/>
      <c r="AB55" s="20">
        <f ca="1">OFFSET('Trans Factors'!$B$13,$O55-1,AB$14)*$L55+OFFSET('Trans Factors'!$B$13,$K55-1,AB$14)*$H55</f>
        <v>-93.834327149207951</v>
      </c>
      <c r="AC55" s="20"/>
      <c r="AD55" s="20">
        <f ca="1">OFFSET('Trans Factors'!$B$13,$O55-1,AD$14)*$L55+OFFSET('Trans Factors'!$B$13,$K55-1,AD$14)*$H55</f>
        <v>0</v>
      </c>
      <c r="AE55" s="9"/>
      <c r="AF55" s="20">
        <f ca="1">P55+R55+T55+V55+X55+Z55+AB55+AD55</f>
        <v>-50852.680549398996</v>
      </c>
      <c r="AH55" s="25" t="str">
        <f t="shared" ca="1" si="21"/>
        <v/>
      </c>
    </row>
    <row r="56" spans="2:56" ht="13" x14ac:dyDescent="0.3">
      <c r="W56" s="18"/>
      <c r="AH56" s="25" t="str">
        <f t="shared" si="21"/>
        <v/>
      </c>
    </row>
    <row r="57" spans="2:56" ht="13" x14ac:dyDescent="0.3">
      <c r="B57" s="18">
        <f>B55+1</f>
        <v>32</v>
      </c>
      <c r="D57" s="1" t="s">
        <v>66</v>
      </c>
      <c r="F57" s="40">
        <f ca="1">F53+F55</f>
        <v>-1467821.2016930631</v>
      </c>
      <c r="H57" s="40">
        <f>H53+H55</f>
        <v>0</v>
      </c>
      <c r="L57" s="40">
        <f ca="1">L53+L55</f>
        <v>-1467821.2016930631</v>
      </c>
      <c r="P57" s="10">
        <f ca="1">P53+P55</f>
        <v>-60233.645898080802</v>
      </c>
      <c r="Q57" s="14"/>
      <c r="R57" s="10">
        <f ca="1">R53+R55</f>
        <v>-10467.324755432172</v>
      </c>
      <c r="S57" s="8"/>
      <c r="T57" s="10">
        <f ca="1">T53+T55</f>
        <v>-177083.8651853404</v>
      </c>
      <c r="U57" s="8"/>
      <c r="V57" s="10">
        <f ca="1">V53+V55</f>
        <v>-1036641.9463981733</v>
      </c>
      <c r="W57" s="18"/>
      <c r="X57" s="10">
        <f ca="1">X53+X55</f>
        <v>-57896.498584548477</v>
      </c>
      <c r="Y57" s="8"/>
      <c r="Z57" s="10">
        <f ca="1">Z53+Z55</f>
        <v>-117102.627680591</v>
      </c>
      <c r="AA57" s="8"/>
      <c r="AB57" s="10">
        <f ca="1">AB53+AB55</f>
        <v>-8395.2931908967857</v>
      </c>
      <c r="AC57" s="8"/>
      <c r="AD57" s="10">
        <f ca="1">AD53+AD55</f>
        <v>0</v>
      </c>
      <c r="AF57" s="10">
        <f ca="1">AF53+AF55</f>
        <v>-1467821.2016930631</v>
      </c>
      <c r="AH57" s="25" t="str">
        <f t="shared" ca="1" si="21"/>
        <v/>
      </c>
    </row>
    <row r="58" spans="2:56" ht="13" x14ac:dyDescent="0.3">
      <c r="D58" s="6"/>
      <c r="F58" s="74"/>
      <c r="H58" s="74"/>
      <c r="L58" s="74"/>
      <c r="W58" s="18"/>
      <c r="AH58" s="25" t="str">
        <f t="shared" si="21"/>
        <v/>
      </c>
    </row>
    <row r="59" spans="2:56" ht="13" x14ac:dyDescent="0.3">
      <c r="E59" s="6"/>
      <c r="W59" s="18"/>
      <c r="AH59" s="25" t="str">
        <f t="shared" si="21"/>
        <v/>
      </c>
    </row>
    <row r="60" spans="2:56" ht="13" x14ac:dyDescent="0.3">
      <c r="D60" s="6" t="s">
        <v>67</v>
      </c>
      <c r="E60" s="7"/>
      <c r="F60" s="75"/>
      <c r="AH60" s="27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D60" s="2"/>
    </row>
    <row r="61" spans="2:56" ht="13" x14ac:dyDescent="0.3">
      <c r="AH61" s="25" t="str">
        <f t="shared" ref="AH61:AH118" si="23">IF(ROUND(F61,4)=ROUND(AF61,4), "", "check")</f>
        <v/>
      </c>
    </row>
    <row r="62" spans="2:56" ht="13" x14ac:dyDescent="0.3">
      <c r="B62" s="18">
        <f>B57+1</f>
        <v>33</v>
      </c>
      <c r="D62" s="1" t="s">
        <v>33</v>
      </c>
      <c r="F62" s="48">
        <f ca="1">Function!T62</f>
        <v>79166.942309318154</v>
      </c>
      <c r="H62" s="48"/>
      <c r="J62" s="2"/>
      <c r="K62" s="70">
        <f>_xlfn.IFNA(MATCH(J62,'Trans Factors'!$B$13:$B$450,0),0)</f>
        <v>0</v>
      </c>
      <c r="L62" s="48">
        <f ca="1">F62-H62</f>
        <v>79166.942309318154</v>
      </c>
      <c r="N62" s="18"/>
      <c r="O62" s="70">
        <f>_xlfn.IFNA(MATCH(N62,'Trans Factors'!$B$13:$B$450,0),0)</f>
        <v>0</v>
      </c>
      <c r="P62" s="20">
        <f ca="1">P18+P40</f>
        <v>3031.2129016562194</v>
      </c>
      <c r="R62" s="20">
        <f ca="1">R18+R40</f>
        <v>0</v>
      </c>
      <c r="S62" s="20"/>
      <c r="T62" s="20">
        <f ca="1">T18+T40</f>
        <v>31159.85507274729</v>
      </c>
      <c r="U62" s="20"/>
      <c r="V62" s="20">
        <f ca="1">V18+V40</f>
        <v>39457.139453762706</v>
      </c>
      <c r="X62" s="20">
        <f ca="1">X18+X40</f>
        <v>42.977502499999993</v>
      </c>
      <c r="Y62" s="9"/>
      <c r="Z62" s="20">
        <f ca="1">Z18+Z40</f>
        <v>5464.8697086519442</v>
      </c>
      <c r="AA62" s="20"/>
      <c r="AB62" s="20">
        <f ca="1">AB18+AB40</f>
        <v>10.887669999999998</v>
      </c>
      <c r="AC62" s="20"/>
      <c r="AD62" s="20">
        <f ca="1">AD18+AD40</f>
        <v>0</v>
      </c>
      <c r="AF62" s="20">
        <f ca="1">P62+R62+T62+V62+X62+Z62+AB62+AD62</f>
        <v>79166.942309318139</v>
      </c>
      <c r="AH62" s="25" t="str">
        <f t="shared" ca="1" si="23"/>
        <v/>
      </c>
      <c r="AK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D62" s="48"/>
    </row>
    <row r="63" spans="2:56" ht="13" x14ac:dyDescent="0.3">
      <c r="B63" s="18">
        <f>B62+1</f>
        <v>34</v>
      </c>
      <c r="D63" s="1" t="s">
        <v>35</v>
      </c>
      <c r="F63" s="48">
        <f ca="1">Function!T63</f>
        <v>49261.707392534336</v>
      </c>
      <c r="H63" s="48"/>
      <c r="J63" s="2"/>
      <c r="K63" s="70">
        <f>_xlfn.IFNA(MATCH(J63,'Trans Factors'!$B$13:$B$450,0),0)</f>
        <v>0</v>
      </c>
      <c r="L63" s="48">
        <f t="shared" ref="L63:L74" ca="1" si="24">F63-H63</f>
        <v>49261.707392534336</v>
      </c>
      <c r="N63" s="18"/>
      <c r="O63" s="70">
        <f>_xlfn.IFNA(MATCH(N63,'Trans Factors'!$B$13:$B$450,0),0)</f>
        <v>0</v>
      </c>
      <c r="P63" s="20">
        <f t="shared" ref="P63:R74" ca="1" si="25">P19+P41</f>
        <v>0</v>
      </c>
      <c r="R63" s="20">
        <f t="shared" ca="1" si="25"/>
        <v>0</v>
      </c>
      <c r="S63" s="20"/>
      <c r="T63" s="20">
        <f t="shared" ref="T63" ca="1" si="26">T19+T41</f>
        <v>367.82088106941302</v>
      </c>
      <c r="U63" s="20"/>
      <c r="V63" s="20">
        <f t="shared" ref="V63" ca="1" si="27">V19+V41</f>
        <v>21917.194864829926</v>
      </c>
      <c r="X63" s="20">
        <f t="shared" ref="X63" ca="1" si="28">X19+X41</f>
        <v>18132.668700799728</v>
      </c>
      <c r="Y63" s="9"/>
      <c r="Z63" s="20">
        <f t="shared" ref="Z63:AB63" ca="1" si="29">Z19+Z41</f>
        <v>8523.8112452414171</v>
      </c>
      <c r="AA63" s="20"/>
      <c r="AB63" s="20">
        <f t="shared" ca="1" si="29"/>
        <v>320.21170059386407</v>
      </c>
      <c r="AC63" s="20"/>
      <c r="AD63" s="20">
        <f t="shared" ref="AD63" ca="1" si="30">AD19+AD41</f>
        <v>0</v>
      </c>
      <c r="AF63" s="20">
        <f t="shared" ref="AF63:AF74" ca="1" si="31">P63+R63+T63+V63+X63+Z63+AB63+AD63</f>
        <v>49261.707392534343</v>
      </c>
      <c r="AH63" s="25" t="str">
        <f t="shared" ca="1" si="23"/>
        <v/>
      </c>
      <c r="AK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D63" s="48"/>
    </row>
    <row r="64" spans="2:56" ht="13" x14ac:dyDescent="0.3">
      <c r="B64" s="18">
        <f t="shared" ref="B64:B75" si="32">B63+1</f>
        <v>35</v>
      </c>
      <c r="D64" s="1" t="s">
        <v>37</v>
      </c>
      <c r="F64" s="48">
        <f ca="1">Function!T64</f>
        <v>133779.00444473058</v>
      </c>
      <c r="H64" s="48"/>
      <c r="J64" s="2"/>
      <c r="K64" s="70">
        <f>_xlfn.IFNA(MATCH(J64,'Trans Factors'!$B$13:$B$450,0),0)</f>
        <v>0</v>
      </c>
      <c r="L64" s="48">
        <f t="shared" ca="1" si="24"/>
        <v>133779.00444473058</v>
      </c>
      <c r="N64" s="18"/>
      <c r="O64" s="70">
        <f>_xlfn.IFNA(MATCH(N64,'Trans Factors'!$B$13:$B$450,0),0)</f>
        <v>0</v>
      </c>
      <c r="P64" s="20">
        <f t="shared" ca="1" si="25"/>
        <v>15431.582837587499</v>
      </c>
      <c r="R64" s="20">
        <f t="shared" ca="1" si="25"/>
        <v>854.68680958777577</v>
      </c>
      <c r="S64" s="20"/>
      <c r="T64" s="20">
        <f t="shared" ref="T64" ca="1" si="33">T20+T42</f>
        <v>53753.351450945833</v>
      </c>
      <c r="U64" s="20"/>
      <c r="V64" s="20">
        <f t="shared" ref="V64" ca="1" si="34">V20+V42</f>
        <v>61470.449866384588</v>
      </c>
      <c r="X64" s="20">
        <f t="shared" ref="X64" ca="1" si="35">X20+X42</f>
        <v>0</v>
      </c>
      <c r="Y64" s="9"/>
      <c r="Z64" s="20">
        <f t="shared" ref="Z64:AB64" ca="1" si="36">Z20+Z42</f>
        <v>2261.4477359968419</v>
      </c>
      <c r="AA64" s="20"/>
      <c r="AB64" s="20">
        <f t="shared" ca="1" si="36"/>
        <v>7.4857442279889739</v>
      </c>
      <c r="AC64" s="20"/>
      <c r="AD64" s="20">
        <f t="shared" ref="AD64" ca="1" si="37">AD20+AD42</f>
        <v>0</v>
      </c>
      <c r="AF64" s="20">
        <f t="shared" ca="1" si="31"/>
        <v>133779.0044447305</v>
      </c>
      <c r="AH64" s="25" t="str">
        <f t="shared" ca="1" si="23"/>
        <v/>
      </c>
      <c r="AK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D64" s="48"/>
    </row>
    <row r="65" spans="2:56" ht="13" x14ac:dyDescent="0.3">
      <c r="B65" s="18">
        <f t="shared" si="32"/>
        <v>36</v>
      </c>
      <c r="D65" s="1" t="s">
        <v>39</v>
      </c>
      <c r="F65" s="48">
        <f ca="1">Function!T65</f>
        <v>159299.06782597845</v>
      </c>
      <c r="H65" s="48"/>
      <c r="J65" s="2"/>
      <c r="K65" s="70">
        <f>_xlfn.IFNA(MATCH(J65,'Trans Factors'!$B$13:$B$450,0),0)</f>
        <v>0</v>
      </c>
      <c r="L65" s="48">
        <f t="shared" ca="1" si="24"/>
        <v>159299.06782597845</v>
      </c>
      <c r="N65" s="18"/>
      <c r="O65" s="70">
        <f>_xlfn.IFNA(MATCH(N65,'Trans Factors'!$B$13:$B$450,0),0)</f>
        <v>0</v>
      </c>
      <c r="P65" s="20">
        <f t="shared" ca="1" si="25"/>
        <v>44007.553465266094</v>
      </c>
      <c r="R65" s="20">
        <f t="shared" ca="1" si="25"/>
        <v>5541.5753152054367</v>
      </c>
      <c r="S65" s="20"/>
      <c r="T65" s="20">
        <f t="shared" ref="T65" ca="1" si="38">T21+T43</f>
        <v>41448.272300161174</v>
      </c>
      <c r="U65" s="20"/>
      <c r="V65" s="20">
        <f t="shared" ref="V65" ca="1" si="39">V21+V43</f>
        <v>0</v>
      </c>
      <c r="X65" s="20">
        <f t="shared" ref="X65" ca="1" si="40">X21+X43</f>
        <v>2946.7160171856267</v>
      </c>
      <c r="Y65" s="9"/>
      <c r="Z65" s="20">
        <f t="shared" ref="Z65:AB65" ca="1" si="41">Z21+Z43</f>
        <v>64289.294713691153</v>
      </c>
      <c r="AA65" s="20"/>
      <c r="AB65" s="20">
        <f t="shared" ca="1" si="41"/>
        <v>1065.656014468997</v>
      </c>
      <c r="AC65" s="20"/>
      <c r="AD65" s="20">
        <f t="shared" ref="AD65" ca="1" si="42">AD21+AD43</f>
        <v>0</v>
      </c>
      <c r="AF65" s="20">
        <f t="shared" ca="1" si="31"/>
        <v>159299.06782597845</v>
      </c>
      <c r="AH65" s="25" t="str">
        <f t="shared" ca="1" si="23"/>
        <v/>
      </c>
      <c r="AK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D65" s="48"/>
    </row>
    <row r="66" spans="2:56" ht="13" x14ac:dyDescent="0.3">
      <c r="B66" s="18">
        <f t="shared" si="32"/>
        <v>37</v>
      </c>
      <c r="D66" s="1" t="s">
        <v>41</v>
      </c>
      <c r="F66" s="48">
        <f ca="1">Function!T66</f>
        <v>1296675.7789290498</v>
      </c>
      <c r="H66" s="48"/>
      <c r="K66" s="70">
        <f>_xlfn.IFNA(MATCH(J66,'Trans Factors'!$B$13:$B$450,0),0)</f>
        <v>0</v>
      </c>
      <c r="L66" s="48">
        <f t="shared" ca="1" si="24"/>
        <v>1296675.7789290498</v>
      </c>
      <c r="N66" s="18"/>
      <c r="O66" s="70">
        <f>_xlfn.IFNA(MATCH(N66,'Trans Factors'!$B$13:$B$450,0),0)</f>
        <v>0</v>
      </c>
      <c r="P66" s="20">
        <f t="shared" ca="1" si="25"/>
        <v>0</v>
      </c>
      <c r="R66" s="20">
        <f t="shared" ca="1" si="25"/>
        <v>204.4415788733622</v>
      </c>
      <c r="S66" s="20"/>
      <c r="T66" s="20">
        <f t="shared" ref="T66" ca="1" si="43">T22+T44</f>
        <v>6444.5915604459997</v>
      </c>
      <c r="U66" s="20"/>
      <c r="V66" s="20">
        <f t="shared" ref="V66" ca="1" si="44">V22+V44</f>
        <v>692042.85141773208</v>
      </c>
      <c r="X66" s="20">
        <f t="shared" ref="X66" ca="1" si="45">X22+X44</f>
        <v>268953.69994066539</v>
      </c>
      <c r="Y66" s="9"/>
      <c r="Z66" s="20">
        <f t="shared" ref="Z66:AB66" ca="1" si="46">Z22+Z44</f>
        <v>326683.68719202629</v>
      </c>
      <c r="AA66" s="20"/>
      <c r="AB66" s="20">
        <f t="shared" ca="1" si="46"/>
        <v>2346.5072393066866</v>
      </c>
      <c r="AC66" s="20"/>
      <c r="AD66" s="20">
        <f t="shared" ref="AD66" ca="1" si="47">AD22+AD44</f>
        <v>0</v>
      </c>
      <c r="AF66" s="20">
        <f t="shared" ca="1" si="31"/>
        <v>1296675.7789290498</v>
      </c>
      <c r="AH66" s="25" t="str">
        <f t="shared" ca="1" si="23"/>
        <v/>
      </c>
      <c r="AK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D66" s="48"/>
    </row>
    <row r="67" spans="2:56" ht="13" x14ac:dyDescent="0.3">
      <c r="B67" s="18">
        <f t="shared" si="32"/>
        <v>38</v>
      </c>
      <c r="D67" s="1" t="s">
        <v>43</v>
      </c>
      <c r="F67" s="48">
        <f ca="1">Function!T67</f>
        <v>848360.22958961513</v>
      </c>
      <c r="H67" s="48"/>
      <c r="K67" s="70">
        <f>_xlfn.IFNA(MATCH(J67,'Trans Factors'!$B$13:$B$450,0),0)</f>
        <v>0</v>
      </c>
      <c r="L67" s="48">
        <f t="shared" ca="1" si="24"/>
        <v>848360.22958961513</v>
      </c>
      <c r="N67" s="18"/>
      <c r="O67" s="70">
        <f>_xlfn.IFNA(MATCH(N67,'Trans Factors'!$B$13:$B$450,0),0)</f>
        <v>0</v>
      </c>
      <c r="P67" s="20">
        <f t="shared" ca="1" si="25"/>
        <v>0</v>
      </c>
      <c r="R67" s="20">
        <f t="shared" ca="1" si="25"/>
        <v>0</v>
      </c>
      <c r="S67" s="20"/>
      <c r="T67" s="20">
        <f t="shared" ref="T67" ca="1" si="48">T23+T45</f>
        <v>186964.23918473232</v>
      </c>
      <c r="U67" s="20"/>
      <c r="V67" s="20">
        <f t="shared" ref="V67" ca="1" si="49">V23+V45</f>
        <v>656262.4018481127</v>
      </c>
      <c r="X67" s="20">
        <f t="shared" ref="X67" ca="1" si="50">X23+X45</f>
        <v>0</v>
      </c>
      <c r="Y67" s="9"/>
      <c r="Z67" s="20">
        <f t="shared" ref="Z67:AB67" ca="1" si="51">Z23+Z45</f>
        <v>5133.5885567698988</v>
      </c>
      <c r="AA67" s="20"/>
      <c r="AB67" s="20">
        <f t="shared" ca="1" si="51"/>
        <v>0</v>
      </c>
      <c r="AC67" s="20"/>
      <c r="AD67" s="20">
        <f t="shared" ref="AD67" ca="1" si="52">AD23+AD45</f>
        <v>0</v>
      </c>
      <c r="AF67" s="20">
        <f t="shared" ca="1" si="31"/>
        <v>848360.2295896149</v>
      </c>
      <c r="AH67" s="25" t="str">
        <f t="shared" ca="1" si="23"/>
        <v/>
      </c>
      <c r="AK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D67" s="48"/>
    </row>
    <row r="68" spans="2:56" ht="13" x14ac:dyDescent="0.3">
      <c r="B68" s="18">
        <f t="shared" si="32"/>
        <v>39</v>
      </c>
      <c r="D68" s="1" t="s">
        <v>45</v>
      </c>
      <c r="F68" s="48">
        <f ca="1">Function!T68</f>
        <v>0</v>
      </c>
      <c r="H68" s="48"/>
      <c r="K68" s="70">
        <f>_xlfn.IFNA(MATCH(J68,'Trans Factors'!$B$13:$B$450,0),0)</f>
        <v>0</v>
      </c>
      <c r="L68" s="48">
        <f t="shared" ca="1" si="24"/>
        <v>0</v>
      </c>
      <c r="N68" s="18"/>
      <c r="O68" s="70">
        <f>_xlfn.IFNA(MATCH(N68,'Trans Factors'!$B$13:$B$450,0),0)</f>
        <v>0</v>
      </c>
      <c r="P68" s="20">
        <f t="shared" ca="1" si="25"/>
        <v>0</v>
      </c>
      <c r="R68" s="20">
        <f t="shared" ca="1" si="25"/>
        <v>0</v>
      </c>
      <c r="S68" s="20"/>
      <c r="T68" s="20">
        <f t="shared" ref="T68" ca="1" si="53">T24+T46</f>
        <v>0</v>
      </c>
      <c r="U68" s="20"/>
      <c r="V68" s="20">
        <f t="shared" ref="V68" ca="1" si="54">V24+V46</f>
        <v>0</v>
      </c>
      <c r="X68" s="20">
        <f t="shared" ref="X68" ca="1" si="55">X24+X46</f>
        <v>0</v>
      </c>
      <c r="Y68" s="9"/>
      <c r="Z68" s="20">
        <f t="shared" ref="Z68:AB68" ca="1" si="56">Z24+Z46</f>
        <v>0</v>
      </c>
      <c r="AA68" s="20"/>
      <c r="AB68" s="20">
        <f t="shared" ca="1" si="56"/>
        <v>0</v>
      </c>
      <c r="AC68" s="20"/>
      <c r="AD68" s="20">
        <f t="shared" ref="AD68" ca="1" si="57">AD24+AD46</f>
        <v>0</v>
      </c>
      <c r="AF68" s="20">
        <f t="shared" ca="1" si="31"/>
        <v>0</v>
      </c>
      <c r="AH68" s="25" t="str">
        <f t="shared" ca="1" si="23"/>
        <v/>
      </c>
      <c r="AK68" s="37"/>
      <c r="AN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D68" s="48"/>
    </row>
    <row r="69" spans="2:56" ht="13" x14ac:dyDescent="0.3">
      <c r="B69" s="18">
        <f t="shared" si="32"/>
        <v>40</v>
      </c>
      <c r="D69" s="1" t="s">
        <v>47</v>
      </c>
      <c r="F69" s="48">
        <f ca="1">Function!T69</f>
        <v>0</v>
      </c>
      <c r="H69" s="48"/>
      <c r="K69" s="70">
        <f>_xlfn.IFNA(MATCH(J69,'Trans Factors'!$B$13:$B$450,0),0)</f>
        <v>0</v>
      </c>
      <c r="L69" s="48">
        <f t="shared" ca="1" si="24"/>
        <v>0</v>
      </c>
      <c r="N69" s="18"/>
      <c r="O69" s="70">
        <f>_xlfn.IFNA(MATCH(N69,'Trans Factors'!$B$13:$B$450,0),0)</f>
        <v>0</v>
      </c>
      <c r="P69" s="20">
        <f t="shared" ca="1" si="25"/>
        <v>0</v>
      </c>
      <c r="R69" s="20">
        <f t="shared" ca="1" si="25"/>
        <v>0</v>
      </c>
      <c r="S69" s="20"/>
      <c r="T69" s="20">
        <f t="shared" ref="T69" ca="1" si="58">T25+T47</f>
        <v>0</v>
      </c>
      <c r="U69" s="20"/>
      <c r="V69" s="20">
        <f t="shared" ref="V69" ca="1" si="59">V25+V47</f>
        <v>0</v>
      </c>
      <c r="X69" s="20">
        <f t="shared" ref="X69" ca="1" si="60">X25+X47</f>
        <v>0</v>
      </c>
      <c r="Y69" s="9"/>
      <c r="Z69" s="20">
        <f t="shared" ref="Z69:AB69" ca="1" si="61">Z25+Z47</f>
        <v>0</v>
      </c>
      <c r="AA69" s="20"/>
      <c r="AB69" s="20">
        <f t="shared" ca="1" si="61"/>
        <v>0</v>
      </c>
      <c r="AC69" s="20"/>
      <c r="AD69" s="20">
        <f t="shared" ref="AD69" ca="1" si="62">AD25+AD47</f>
        <v>0</v>
      </c>
      <c r="AF69" s="20">
        <f t="shared" ca="1" si="31"/>
        <v>0</v>
      </c>
      <c r="AH69" s="25" t="str">
        <f t="shared" ca="1" si="23"/>
        <v/>
      </c>
      <c r="AK69" s="37"/>
      <c r="AN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D69" s="48"/>
    </row>
    <row r="70" spans="2:56" ht="13" x14ac:dyDescent="0.3">
      <c r="B70" s="18">
        <f t="shared" si="32"/>
        <v>41</v>
      </c>
      <c r="D70" s="1" t="s">
        <v>48</v>
      </c>
      <c r="F70" s="48">
        <f ca="1">Function!T70</f>
        <v>0</v>
      </c>
      <c r="H70" s="48"/>
      <c r="K70" s="70">
        <f>_xlfn.IFNA(MATCH(J70,'Trans Factors'!$B$13:$B$450,0),0)</f>
        <v>0</v>
      </c>
      <c r="L70" s="48">
        <f t="shared" ca="1" si="24"/>
        <v>0</v>
      </c>
      <c r="N70" s="18"/>
      <c r="O70" s="70">
        <f>_xlfn.IFNA(MATCH(N70,'Trans Factors'!$B$13:$B$450,0),0)</f>
        <v>0</v>
      </c>
      <c r="P70" s="20">
        <f t="shared" ca="1" si="25"/>
        <v>0</v>
      </c>
      <c r="R70" s="20">
        <f t="shared" ca="1" si="25"/>
        <v>0</v>
      </c>
      <c r="S70" s="20"/>
      <c r="T70" s="20">
        <f t="shared" ref="T70" ca="1" si="63">T26+T48</f>
        <v>0</v>
      </c>
      <c r="U70" s="20"/>
      <c r="V70" s="20">
        <f t="shared" ref="V70" ca="1" si="64">V26+V48</f>
        <v>0</v>
      </c>
      <c r="X70" s="20">
        <f t="shared" ref="X70" ca="1" si="65">X26+X48</f>
        <v>0</v>
      </c>
      <c r="Y70" s="9"/>
      <c r="Z70" s="20">
        <f t="shared" ref="Z70:AB70" ca="1" si="66">Z26+Z48</f>
        <v>0</v>
      </c>
      <c r="AA70" s="20"/>
      <c r="AB70" s="20">
        <f t="shared" ca="1" si="66"/>
        <v>0</v>
      </c>
      <c r="AC70" s="20"/>
      <c r="AD70" s="20">
        <f t="shared" ref="AD70" ca="1" si="67">AD26+AD48</f>
        <v>0</v>
      </c>
      <c r="AF70" s="20">
        <f t="shared" ca="1" si="31"/>
        <v>0</v>
      </c>
      <c r="AH70" s="25" t="str">
        <f t="shared" ca="1" si="23"/>
        <v/>
      </c>
      <c r="AK70" s="37"/>
      <c r="AN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D70" s="48"/>
    </row>
    <row r="71" spans="2:56" ht="13" x14ac:dyDescent="0.3">
      <c r="B71" s="18">
        <f t="shared" si="32"/>
        <v>42</v>
      </c>
      <c r="D71" s="1" t="s">
        <v>49</v>
      </c>
      <c r="F71" s="48">
        <f ca="1">Function!T71</f>
        <v>0</v>
      </c>
      <c r="H71" s="48"/>
      <c r="K71" s="70">
        <f>_xlfn.IFNA(MATCH(J71,'Trans Factors'!$B$13:$B$450,0),0)</f>
        <v>0</v>
      </c>
      <c r="L71" s="48">
        <f t="shared" ca="1" si="24"/>
        <v>0</v>
      </c>
      <c r="N71" s="18"/>
      <c r="O71" s="70">
        <f>_xlfn.IFNA(MATCH(N71,'Trans Factors'!$B$13:$B$450,0),0)</f>
        <v>0</v>
      </c>
      <c r="P71" s="20">
        <f t="shared" ca="1" si="25"/>
        <v>0</v>
      </c>
      <c r="R71" s="20">
        <f t="shared" ca="1" si="25"/>
        <v>0</v>
      </c>
      <c r="S71" s="20"/>
      <c r="T71" s="20">
        <f t="shared" ref="T71" ca="1" si="68">T27+T49</f>
        <v>0</v>
      </c>
      <c r="U71" s="20"/>
      <c r="V71" s="20">
        <f t="shared" ref="V71" ca="1" si="69">V27+V49</f>
        <v>0</v>
      </c>
      <c r="X71" s="20">
        <f t="shared" ref="X71" ca="1" si="70">X27+X49</f>
        <v>0</v>
      </c>
      <c r="Y71" s="9"/>
      <c r="Z71" s="20">
        <f t="shared" ref="Z71:AB71" ca="1" si="71">Z27+Z49</f>
        <v>0</v>
      </c>
      <c r="AA71" s="20"/>
      <c r="AB71" s="20">
        <f t="shared" ca="1" si="71"/>
        <v>0</v>
      </c>
      <c r="AC71" s="20"/>
      <c r="AD71" s="20">
        <f t="shared" ref="AD71" ca="1" si="72">AD27+AD49</f>
        <v>0</v>
      </c>
      <c r="AF71" s="20">
        <f t="shared" ca="1" si="31"/>
        <v>0</v>
      </c>
      <c r="AH71" s="25" t="str">
        <f t="shared" ca="1" si="23"/>
        <v/>
      </c>
      <c r="AK71" s="37"/>
      <c r="AN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D71" s="48"/>
    </row>
    <row r="72" spans="2:56" ht="13" x14ac:dyDescent="0.3">
      <c r="B72" s="18">
        <f t="shared" si="32"/>
        <v>43</v>
      </c>
      <c r="D72" s="1" t="s">
        <v>51</v>
      </c>
      <c r="F72" s="48">
        <f ca="1">Function!T72</f>
        <v>0</v>
      </c>
      <c r="H72" s="48"/>
      <c r="K72" s="70">
        <f>_xlfn.IFNA(MATCH(J72,'Trans Factors'!$B$13:$B$450,0),0)</f>
        <v>0</v>
      </c>
      <c r="L72" s="48">
        <f t="shared" ca="1" si="24"/>
        <v>0</v>
      </c>
      <c r="N72" s="18"/>
      <c r="O72" s="70">
        <f>_xlfn.IFNA(MATCH(N72,'Trans Factors'!$B$13:$B$450,0),0)</f>
        <v>0</v>
      </c>
      <c r="P72" s="20">
        <f t="shared" ca="1" si="25"/>
        <v>0</v>
      </c>
      <c r="R72" s="20">
        <f t="shared" ca="1" si="25"/>
        <v>0</v>
      </c>
      <c r="S72" s="20"/>
      <c r="T72" s="20">
        <f t="shared" ref="T72" ca="1" si="73">T28+T50</f>
        <v>0</v>
      </c>
      <c r="U72" s="20"/>
      <c r="V72" s="20">
        <f t="shared" ref="V72" ca="1" si="74">V28+V50</f>
        <v>0</v>
      </c>
      <c r="X72" s="20">
        <f t="shared" ref="X72" ca="1" si="75">X28+X50</f>
        <v>0</v>
      </c>
      <c r="Y72" s="9"/>
      <c r="Z72" s="20">
        <f t="shared" ref="Z72:AB72" ca="1" si="76">Z28+Z50</f>
        <v>0</v>
      </c>
      <c r="AA72" s="20"/>
      <c r="AB72" s="20">
        <f t="shared" ca="1" si="76"/>
        <v>0</v>
      </c>
      <c r="AC72" s="20"/>
      <c r="AD72" s="20">
        <f t="shared" ref="AD72" ca="1" si="77">AD28+AD50</f>
        <v>0</v>
      </c>
      <c r="AF72" s="20">
        <f t="shared" ca="1" si="31"/>
        <v>0</v>
      </c>
      <c r="AH72" s="25" t="str">
        <f t="shared" ca="1" si="23"/>
        <v/>
      </c>
      <c r="AK72" s="37"/>
      <c r="AN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D72" s="48"/>
    </row>
    <row r="73" spans="2:56" ht="13" x14ac:dyDescent="0.3">
      <c r="B73" s="18">
        <f>B72+1</f>
        <v>44</v>
      </c>
      <c r="D73" s="1" t="s">
        <v>52</v>
      </c>
      <c r="F73" s="48">
        <f ca="1">Function!T73</f>
        <v>0</v>
      </c>
      <c r="H73" s="48"/>
      <c r="K73" s="70">
        <f>_xlfn.IFNA(MATCH(J73,'Trans Factors'!$B$13:$B$450,0),0)</f>
        <v>0</v>
      </c>
      <c r="L73" s="48">
        <f t="shared" ca="1" si="24"/>
        <v>0</v>
      </c>
      <c r="N73" s="18"/>
      <c r="O73" s="70">
        <f>_xlfn.IFNA(MATCH(N73,'Trans Factors'!$B$13:$B$450,0),0)</f>
        <v>0</v>
      </c>
      <c r="P73" s="20">
        <f t="shared" ca="1" si="25"/>
        <v>0</v>
      </c>
      <c r="R73" s="20">
        <f t="shared" ca="1" si="25"/>
        <v>0</v>
      </c>
      <c r="S73" s="20"/>
      <c r="T73" s="20">
        <f t="shared" ref="T73" ca="1" si="78">T29+T51</f>
        <v>0</v>
      </c>
      <c r="U73" s="20"/>
      <c r="V73" s="20">
        <f t="shared" ref="V73" ca="1" si="79">V29+V51</f>
        <v>0</v>
      </c>
      <c r="X73" s="20">
        <f t="shared" ref="X73" ca="1" si="80">X29+X51</f>
        <v>0</v>
      </c>
      <c r="Y73" s="9"/>
      <c r="Z73" s="20">
        <f t="shared" ref="Z73:AB73" ca="1" si="81">Z29+Z51</f>
        <v>0</v>
      </c>
      <c r="AA73" s="20"/>
      <c r="AB73" s="20">
        <f t="shared" ca="1" si="81"/>
        <v>0</v>
      </c>
      <c r="AC73" s="20"/>
      <c r="AD73" s="20">
        <f t="shared" ref="AD73" ca="1" si="82">AD29+AD51</f>
        <v>0</v>
      </c>
      <c r="AF73" s="20">
        <f t="shared" ca="1" si="31"/>
        <v>0</v>
      </c>
      <c r="AH73" s="25" t="str">
        <f t="shared" ca="1" si="23"/>
        <v/>
      </c>
      <c r="AK73" s="37"/>
      <c r="AN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D73" s="48"/>
    </row>
    <row r="74" spans="2:56" ht="13" x14ac:dyDescent="0.3">
      <c r="B74" s="18">
        <f>B73+1</f>
        <v>45</v>
      </c>
      <c r="D74" s="1" t="s">
        <v>53</v>
      </c>
      <c r="F74" s="48">
        <f ca="1">Function!T74</f>
        <v>4318.2255996879157</v>
      </c>
      <c r="H74" s="48"/>
      <c r="K74" s="70">
        <f>_xlfn.IFNA(MATCH(J74,'Trans Factors'!$B$13:$B$450,0),0)</f>
        <v>0</v>
      </c>
      <c r="L74" s="48">
        <f t="shared" ca="1" si="24"/>
        <v>4318.2255996879157</v>
      </c>
      <c r="N74" s="18"/>
      <c r="O74" s="70">
        <f>_xlfn.IFNA(MATCH(N74,'Trans Factors'!$B$13:$B$450,0),0)</f>
        <v>0</v>
      </c>
      <c r="P74" s="20">
        <f t="shared" ca="1" si="25"/>
        <v>0</v>
      </c>
      <c r="R74" s="20">
        <f t="shared" ca="1" si="25"/>
        <v>0</v>
      </c>
      <c r="S74" s="20"/>
      <c r="T74" s="20">
        <f t="shared" ref="T74" ca="1" si="83">T30+T52</f>
        <v>39.163422261415214</v>
      </c>
      <c r="U74" s="20"/>
      <c r="V74" s="20">
        <f t="shared" ref="V74" ca="1" si="84">V30+V52</f>
        <v>3560.0134120638827</v>
      </c>
      <c r="X74" s="20">
        <f t="shared" ref="X74" ca="1" si="85">X30+X52</f>
        <v>136.1762187887613</v>
      </c>
      <c r="Y74" s="9"/>
      <c r="Z74" s="20">
        <f t="shared" ref="Z74:AB74" ca="1" si="86">Z30+Z52</f>
        <v>555.78729039072221</v>
      </c>
      <c r="AA74" s="20"/>
      <c r="AB74" s="20">
        <f t="shared" ca="1" si="86"/>
        <v>27.085256183134071</v>
      </c>
      <c r="AC74" s="20"/>
      <c r="AD74" s="20">
        <f t="shared" ref="AD74" ca="1" si="87">AD30+AD52</f>
        <v>0</v>
      </c>
      <c r="AF74" s="20">
        <f t="shared" ca="1" si="31"/>
        <v>4318.2255996879157</v>
      </c>
      <c r="AH74" s="25" t="str">
        <f t="shared" ca="1" si="23"/>
        <v/>
      </c>
      <c r="AK74" s="37"/>
      <c r="AN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D74" s="48"/>
    </row>
    <row r="75" spans="2:56" ht="13" x14ac:dyDescent="0.3">
      <c r="B75" s="18">
        <f t="shared" si="32"/>
        <v>46</v>
      </c>
      <c r="D75" s="1" t="s">
        <v>68</v>
      </c>
      <c r="F75" s="40">
        <f ca="1">SUM(F62:F74)</f>
        <v>2570860.9560909146</v>
      </c>
      <c r="H75" s="40">
        <f>SUM(H62:H74)</f>
        <v>0</v>
      </c>
      <c r="L75" s="40">
        <f ca="1">SUM(L62:L74)</f>
        <v>2570860.9560909146</v>
      </c>
      <c r="O75" s="70"/>
      <c r="P75" s="28">
        <f ca="1">SUM(P62:P74)</f>
        <v>62470.34920450981</v>
      </c>
      <c r="Q75" s="23"/>
      <c r="R75" s="28">
        <f ca="1">SUM(R62:R74)</f>
        <v>6600.7037036665752</v>
      </c>
      <c r="S75" s="22"/>
      <c r="T75" s="28">
        <f ca="1">SUM(T62:T74)</f>
        <v>320177.29387236346</v>
      </c>
      <c r="U75" s="22"/>
      <c r="V75" s="28">
        <f ca="1">SUM(V62:V74)</f>
        <v>1474710.050862886</v>
      </c>
      <c r="W75" s="18"/>
      <c r="X75" s="28">
        <f ca="1">SUM(X62:X74)</f>
        <v>290212.23837993952</v>
      </c>
      <c r="Y75" s="13"/>
      <c r="Z75" s="28">
        <f ca="1">SUM(Z62:Z74)</f>
        <v>412912.48644276825</v>
      </c>
      <c r="AA75" s="22"/>
      <c r="AB75" s="28">
        <f ca="1">SUM(AB62:AB74)</f>
        <v>3777.8336247806706</v>
      </c>
      <c r="AC75" s="22"/>
      <c r="AD75" s="28">
        <f ca="1">SUM(AD62:AD74)</f>
        <v>0</v>
      </c>
      <c r="AF75" s="28">
        <f ca="1">SUM(AF62:AF74)</f>
        <v>2570860.9560909141</v>
      </c>
      <c r="AH75" s="25" t="str">
        <f ca="1">IF(ROUND(F75,4)=ROUND(AF75,4), "", "check")</f>
        <v/>
      </c>
      <c r="AK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</row>
    <row r="76" spans="2:56" ht="13" x14ac:dyDescent="0.3">
      <c r="O76" s="70"/>
      <c r="W76" s="18"/>
      <c r="AH76" s="25" t="str">
        <f t="shared" si="23"/>
        <v/>
      </c>
    </row>
    <row r="77" spans="2:56" ht="13" x14ac:dyDescent="0.3">
      <c r="B77" s="18">
        <f>B75+1</f>
        <v>47</v>
      </c>
      <c r="D77" s="1" t="s">
        <v>56</v>
      </c>
      <c r="F77" s="48">
        <f ca="1">Function!T77</f>
        <v>50857.828612163132</v>
      </c>
      <c r="H77" s="48"/>
      <c r="K77" s="70">
        <f>_xlfn.IFNA(MATCH(J77,'Trans Factors'!$B$13:$B$450,0),0)</f>
        <v>0</v>
      </c>
      <c r="L77" s="48">
        <f t="shared" ref="L77" ca="1" si="88">F77-H77</f>
        <v>50857.828612163132</v>
      </c>
      <c r="N77" s="18"/>
      <c r="O77" s="70">
        <f>_xlfn.IFNA(MATCH(N77,'Trans Factors'!$B$13:$B$450,0),0)</f>
        <v>0</v>
      </c>
      <c r="P77" s="20">
        <f t="shared" ref="P77:R77" ca="1" si="89">P33+P55</f>
        <v>1795.564981865198</v>
      </c>
      <c r="R77" s="20">
        <f t="shared" ca="1" si="89"/>
        <v>258.33306132299487</v>
      </c>
      <c r="S77" s="20"/>
      <c r="T77" s="20">
        <f t="shared" ref="T77" ca="1" si="90">T33+T55</f>
        <v>6729.0690609005323</v>
      </c>
      <c r="U77" s="20"/>
      <c r="V77" s="20">
        <f t="shared" ref="V77" ca="1" si="91">V33+V55</f>
        <v>29668.153518019943</v>
      </c>
      <c r="X77" s="20">
        <f t="shared" ref="X77" ca="1" si="92">X33+X55</f>
        <v>4437.0325265906313</v>
      </c>
      <c r="Y77" s="9"/>
      <c r="Z77" s="20">
        <f t="shared" ref="Z77:AB77" ca="1" si="93">Z33+Z55</f>
        <v>7875.8316370119192</v>
      </c>
      <c r="AA77" s="20"/>
      <c r="AB77" s="20">
        <f t="shared" ca="1" si="93"/>
        <v>93.843826451906949</v>
      </c>
      <c r="AC77" s="20"/>
      <c r="AD77" s="20">
        <f t="shared" ref="AD77" ca="1" si="94">AD33+AD55</f>
        <v>0</v>
      </c>
      <c r="AE77" s="9"/>
      <c r="AF77" s="20">
        <f ca="1">P77+R77+T77+V77+X77+Z77+AB77+AD77</f>
        <v>50857.828612163124</v>
      </c>
      <c r="AH77" s="25" t="str">
        <f t="shared" ca="1" si="23"/>
        <v/>
      </c>
    </row>
    <row r="78" spans="2:56" ht="13" x14ac:dyDescent="0.3">
      <c r="W78" s="18"/>
      <c r="AH78" s="25" t="str">
        <f t="shared" si="23"/>
        <v/>
      </c>
    </row>
    <row r="79" spans="2:56" ht="13" x14ac:dyDescent="0.3">
      <c r="B79" s="18">
        <f>B77+1</f>
        <v>48</v>
      </c>
      <c r="D79" s="1" t="s">
        <v>69</v>
      </c>
      <c r="F79" s="40">
        <f ca="1">F75+F77</f>
        <v>2621718.7847030777</v>
      </c>
      <c r="H79" s="40">
        <f>H75+H77</f>
        <v>0</v>
      </c>
      <c r="L79" s="40">
        <f ca="1">L75+L77</f>
        <v>2621718.7847030777</v>
      </c>
      <c r="P79" s="10">
        <f ca="1">P75+P77</f>
        <v>64265.914186375005</v>
      </c>
      <c r="Q79" s="14"/>
      <c r="R79" s="10">
        <f ca="1">R75+R77</f>
        <v>6859.0367649895697</v>
      </c>
      <c r="S79" s="8"/>
      <c r="T79" s="10">
        <f ca="1">T75+T77</f>
        <v>326906.362933264</v>
      </c>
      <c r="U79" s="8"/>
      <c r="V79" s="10">
        <f ca="1">V75+V77</f>
        <v>1504378.204380906</v>
      </c>
      <c r="W79" s="18"/>
      <c r="X79" s="10">
        <f ca="1">X75+X77</f>
        <v>294649.27090653015</v>
      </c>
      <c r="Y79" s="8"/>
      <c r="Z79" s="10">
        <f ca="1">Z75+Z77</f>
        <v>420788.31807978015</v>
      </c>
      <c r="AA79" s="8"/>
      <c r="AB79" s="10">
        <f ca="1">AB75+AB77</f>
        <v>3871.6774512325774</v>
      </c>
      <c r="AC79" s="8"/>
      <c r="AD79" s="10">
        <f ca="1">AD75+AD77</f>
        <v>0</v>
      </c>
      <c r="AF79" s="10">
        <f ca="1">AF75+AF77</f>
        <v>2621718.7847030773</v>
      </c>
      <c r="AH79" s="25" t="str">
        <f t="shared" ca="1" si="23"/>
        <v/>
      </c>
    </row>
    <row r="80" spans="2:56" ht="13" x14ac:dyDescent="0.3">
      <c r="D80" s="6"/>
      <c r="F80" s="74"/>
      <c r="H80" s="74"/>
      <c r="L80" s="74"/>
      <c r="W80" s="18"/>
      <c r="AH80" s="25" t="str">
        <f t="shared" si="23"/>
        <v/>
      </c>
    </row>
    <row r="81" spans="2:34" ht="13" x14ac:dyDescent="0.3">
      <c r="E81" s="6"/>
      <c r="F81" s="74"/>
      <c r="H81" s="74"/>
      <c r="L81" s="74"/>
      <c r="W81" s="18"/>
      <c r="AH81" s="25" t="str">
        <f t="shared" ref="AH81:AH83" si="95">IF(ROUND(F81,4)=ROUND(AF81,4), "", "check")</f>
        <v/>
      </c>
    </row>
    <row r="82" spans="2:34" ht="13" x14ac:dyDescent="0.3">
      <c r="D82" s="6" t="s">
        <v>70</v>
      </c>
      <c r="F82" s="74"/>
      <c r="H82" s="74"/>
      <c r="L82" s="74"/>
      <c r="W82" s="18"/>
      <c r="AH82" s="25" t="str">
        <f t="shared" si="95"/>
        <v/>
      </c>
    </row>
    <row r="83" spans="2:34" ht="13" x14ac:dyDescent="0.3">
      <c r="F83" s="74"/>
      <c r="H83" s="74"/>
      <c r="L83" s="74"/>
      <c r="W83" s="18"/>
      <c r="AH83" s="25" t="str">
        <f t="shared" si="95"/>
        <v/>
      </c>
    </row>
    <row r="84" spans="2:34" ht="13" x14ac:dyDescent="0.3">
      <c r="B84" s="18">
        <f>B79+1</f>
        <v>49</v>
      </c>
      <c r="D84" s="1" t="s">
        <v>71</v>
      </c>
      <c r="F84" s="48">
        <f ca="1">+Function!T84</f>
        <v>18568.37524808753</v>
      </c>
      <c r="H84" s="48"/>
      <c r="K84" s="70">
        <f>_xlfn.IFNA(MATCH(J84,'Trans Factors'!$B$13:$B$450,0),0)</f>
        <v>0</v>
      </c>
      <c r="L84" s="48">
        <f t="shared" ref="L84:L88" ca="1" si="96">F84-H84</f>
        <v>18568.37524808753</v>
      </c>
      <c r="N84" s="18" t="s">
        <v>259</v>
      </c>
      <c r="O84" s="70">
        <f>_xlfn.IFNA(MATCH(N84,'Trans Factors'!$B$13:$B$450,0),0)</f>
        <v>53</v>
      </c>
      <c r="P84" s="20">
        <f ca="1">OFFSET('Trans Factors'!$B$13,$O84-1,P$14)*$L84+OFFSET('Trans Factors'!$B$13,$K84-1,P$14)*$H84</f>
        <v>455.91554801332421</v>
      </c>
      <c r="R84" s="20">
        <f ca="1">OFFSET('Trans Factors'!$B$13,$O84-1,R$14)*$L84+OFFSET('Trans Factors'!$B$13,$K84-1,R$14)*$H84</f>
        <v>48.659410593380194</v>
      </c>
      <c r="S84" s="20"/>
      <c r="T84" s="20">
        <f ca="1">OFFSET('Trans Factors'!$B$13,$O84-1,T$14)*$L84+OFFSET('Trans Factors'!$B$13,$K84-1,T$14)*$H84</f>
        <v>2318.8628105477696</v>
      </c>
      <c r="U84" s="20"/>
      <c r="V84" s="20">
        <f ca="1">OFFSET('Trans Factors'!$B$13,$O84-1,V$14)*$L84+OFFSET('Trans Factors'!$B$13,$K84-1,V$14)*$H84</f>
        <v>10647.111406827111</v>
      </c>
      <c r="X84" s="20">
        <f ca="1">OFFSET('Trans Factors'!$B$13,$O84-1,X$14)*$L84+OFFSET('Trans Factors'!$B$13,$K84-1,X$14)*$H84</f>
        <v>2089.3361692834806</v>
      </c>
      <c r="Y84" s="9"/>
      <c r="Z84" s="20">
        <f ca="1">OFFSET('Trans Factors'!$B$13,$O84-1,Z$14)*$L84+OFFSET('Trans Factors'!$B$13,$K84-1,Z$14)*$H84</f>
        <v>2981.2155789497765</v>
      </c>
      <c r="AA84" s="20"/>
      <c r="AB84" s="20">
        <f ca="1">OFFSET('Trans Factors'!$B$13,$O84-1,AB$14)*$L84+OFFSET('Trans Factors'!$B$13,$K84-1,AB$14)*$H84</f>
        <v>27.274323872690331</v>
      </c>
      <c r="AC84" s="20"/>
      <c r="AD84" s="20">
        <f ca="1">OFFSET('Trans Factors'!$B$13,$O84-1,AD$14)*$L84+OFFSET('Trans Factors'!$B$13,$K84-1,AD$14)*$H84</f>
        <v>0</v>
      </c>
      <c r="AF84" s="20">
        <f ca="1">P84+R84+T84+V84+X84+Z84+AB84+AD84</f>
        <v>18568.375248087534</v>
      </c>
      <c r="AH84" s="25" t="str">
        <f t="shared" ca="1" si="23"/>
        <v/>
      </c>
    </row>
    <row r="85" spans="2:34" ht="13" x14ac:dyDescent="0.3">
      <c r="B85" s="18">
        <f>B84+1</f>
        <v>50</v>
      </c>
      <c r="D85" s="1" t="s">
        <v>73</v>
      </c>
      <c r="F85" s="48">
        <f ca="1">+Function!T85</f>
        <v>-881.02130329384931</v>
      </c>
      <c r="H85" s="48"/>
      <c r="K85" s="70">
        <f>_xlfn.IFNA(MATCH(J85,'Trans Factors'!$B$13:$B$450,0),0)</f>
        <v>0</v>
      </c>
      <c r="L85" s="48">
        <f t="shared" ca="1" si="96"/>
        <v>-881.02130329384931</v>
      </c>
      <c r="N85" s="18" t="s">
        <v>259</v>
      </c>
      <c r="O85" s="70">
        <f>_xlfn.IFNA(MATCH(N85,'Trans Factors'!$B$13:$B$450,0),0)</f>
        <v>53</v>
      </c>
      <c r="P85" s="20">
        <f ca="1">OFFSET('Trans Factors'!$B$13,$O85-1,P$14)*$L85+OFFSET('Trans Factors'!$B$13,$K85-1,P$14)*$H85</f>
        <v>-21.632011683089988</v>
      </c>
      <c r="R85" s="20">
        <f ca="1">OFFSET('Trans Factors'!$B$13,$O85-1,R$14)*$L85+OFFSET('Trans Factors'!$B$13,$K85-1,R$14)*$H85</f>
        <v>-2.3087629782204986</v>
      </c>
      <c r="S85" s="20"/>
      <c r="T85" s="20">
        <f ca="1">OFFSET('Trans Factors'!$B$13,$O85-1,T$14)*$L85+OFFSET('Trans Factors'!$B$13,$K85-1,T$14)*$H85</f>
        <v>-110.02403324000316</v>
      </c>
      <c r="U85" s="20"/>
      <c r="V85" s="20">
        <f ca="1">OFFSET('Trans Factors'!$B$13,$O85-1,V$14)*$L85+OFFSET('Trans Factors'!$B$13,$K85-1,V$14)*$H85</f>
        <v>-505.17785442341096</v>
      </c>
      <c r="X85" s="20">
        <f ca="1">OFFSET('Trans Factors'!$B$13,$O85-1,X$14)*$L85+OFFSET('Trans Factors'!$B$13,$K85-1,X$14)*$H85</f>
        <v>-99.133588711306373</v>
      </c>
      <c r="Y85" s="9"/>
      <c r="Z85" s="20">
        <f ca="1">OFFSET('Trans Factors'!$B$13,$O85-1,Z$14)*$L85+OFFSET('Trans Factors'!$B$13,$K85-1,Z$14)*$H85</f>
        <v>-141.45095624544643</v>
      </c>
      <c r="AA85" s="20"/>
      <c r="AB85" s="20">
        <f ca="1">OFFSET('Trans Factors'!$B$13,$O85-1,AB$14)*$L85+OFFSET('Trans Factors'!$B$13,$K85-1,AB$14)*$H85</f>
        <v>-1.2940960123719549</v>
      </c>
      <c r="AC85" s="20"/>
      <c r="AD85" s="20">
        <f ca="1">OFFSET('Trans Factors'!$B$13,$O85-1,AD$14)*$L85+OFFSET('Trans Factors'!$B$13,$K85-1,AD$14)*$H85</f>
        <v>0</v>
      </c>
      <c r="AF85" s="20">
        <f t="shared" ref="AF85:AF88" ca="1" si="97">P85+R85+T85+V85+X85+Z85+AB85+AD85</f>
        <v>-881.02130329384931</v>
      </c>
      <c r="AH85" s="25" t="str">
        <f t="shared" ca="1" si="23"/>
        <v/>
      </c>
    </row>
    <row r="86" spans="2:34" ht="13" x14ac:dyDescent="0.3">
      <c r="B86" s="18">
        <f t="shared" ref="B86:B89" si="98">B85+1</f>
        <v>51</v>
      </c>
      <c r="D86" s="1" t="s">
        <v>74</v>
      </c>
      <c r="F86" s="48">
        <f ca="1">+Function!T86</f>
        <v>-10445.409930111951</v>
      </c>
      <c r="H86" s="48"/>
      <c r="K86" s="70">
        <f>_xlfn.IFNA(MATCH(J86,'Trans Factors'!$B$13:$B$450,0),0)</f>
        <v>0</v>
      </c>
      <c r="L86" s="48">
        <f t="shared" ca="1" si="96"/>
        <v>-10445.409930111951</v>
      </c>
      <c r="N86" s="18" t="s">
        <v>259</v>
      </c>
      <c r="O86" s="70">
        <f>_xlfn.IFNA(MATCH(N86,'Trans Factors'!$B$13:$B$450,0),0)</f>
        <v>53</v>
      </c>
      <c r="P86" s="20">
        <f ca="1">OFFSET('Trans Factors'!$B$13,$O86-1,P$14)*$L86+OFFSET('Trans Factors'!$B$13,$K86-1,P$14)*$H86</f>
        <v>-256.46965493124122</v>
      </c>
      <c r="R86" s="20">
        <f ca="1">OFFSET('Trans Factors'!$B$13,$O86-1,R$14)*$L86+OFFSET('Trans Factors'!$B$13,$K86-1,R$14)*$H86</f>
        <v>-27.372749840233745</v>
      </c>
      <c r="S86" s="20"/>
      <c r="T86" s="20">
        <f ca="1">OFFSET('Trans Factors'!$B$13,$O86-1,T$14)*$L86+OFFSET('Trans Factors'!$B$13,$K86-1,T$14)*$H86</f>
        <v>-1304.4476053637325</v>
      </c>
      <c r="U86" s="20"/>
      <c r="V86" s="20">
        <f ca="1">OFFSET('Trans Factors'!$B$13,$O86-1,V$14)*$L86+OFFSET('Trans Factors'!$B$13,$K86-1,V$14)*$H86</f>
        <v>-5989.4008888760836</v>
      </c>
      <c r="X86" s="20">
        <f ca="1">OFFSET('Trans Factors'!$B$13,$O86-1,X$14)*$L86+OFFSET('Trans Factors'!$B$13,$K86-1,X$14)*$H86</f>
        <v>-1175.3302310186518</v>
      </c>
      <c r="Y86" s="9"/>
      <c r="Z86" s="20">
        <f ca="1">OFFSET('Trans Factors'!$B$13,$O86-1,Z$14)*$L86+OFFSET('Trans Factors'!$B$13,$K86-1,Z$14)*$H86</f>
        <v>-1677.0459663870563</v>
      </c>
      <c r="AA86" s="20"/>
      <c r="AB86" s="20">
        <f ca="1">OFFSET('Trans Factors'!$B$13,$O86-1,AB$14)*$L86+OFFSET('Trans Factors'!$B$13,$K86-1,AB$14)*$H86</f>
        <v>-15.342833694953022</v>
      </c>
      <c r="AC86" s="20"/>
      <c r="AD86" s="20">
        <f ca="1">OFFSET('Trans Factors'!$B$13,$O86-1,AD$14)*$L86+OFFSET('Trans Factors'!$B$13,$K86-1,AD$14)*$H86</f>
        <v>0</v>
      </c>
      <c r="AF86" s="20">
        <f t="shared" ca="1" si="97"/>
        <v>-10445.409930111953</v>
      </c>
      <c r="AH86" s="25" t="str">
        <f t="shared" ca="1" si="23"/>
        <v/>
      </c>
    </row>
    <row r="87" spans="2:34" ht="13" x14ac:dyDescent="0.3">
      <c r="B87" s="18">
        <f t="shared" si="98"/>
        <v>52</v>
      </c>
      <c r="D87" s="1" t="s">
        <v>75</v>
      </c>
      <c r="F87" s="48">
        <f ca="1">+Function!T87</f>
        <v>0</v>
      </c>
      <c r="H87" s="48"/>
      <c r="K87" s="70">
        <f>_xlfn.IFNA(MATCH(J87,'Trans Factors'!$B$13:$B$450,0),0)</f>
        <v>0</v>
      </c>
      <c r="L87" s="48">
        <f t="shared" ca="1" si="96"/>
        <v>0</v>
      </c>
      <c r="N87" s="18"/>
      <c r="O87" s="70">
        <f>_xlfn.IFNA(MATCH(N87,'Trans Factors'!$B$13:$B$450,0),0)</f>
        <v>0</v>
      </c>
      <c r="P87" s="20">
        <f ca="1">OFFSET('Trans Factors'!$B$13,$O87-1,P$14)*$L87+OFFSET('Trans Factors'!$B$13,$K87-1,P$14)*$H87</f>
        <v>0</v>
      </c>
      <c r="R87" s="20">
        <f ca="1">OFFSET('Trans Factors'!$B$13,$O87-1,R$14)*$L87+OFFSET('Trans Factors'!$B$13,$K87-1,R$14)*$H87</f>
        <v>0</v>
      </c>
      <c r="S87" s="20"/>
      <c r="T87" s="20">
        <f ca="1">OFFSET('Trans Factors'!$B$13,$O87-1,T$14)*$L87+OFFSET('Trans Factors'!$B$13,$K87-1,T$14)*$H87</f>
        <v>0</v>
      </c>
      <c r="U87" s="20"/>
      <c r="V87" s="20">
        <f ca="1">OFFSET('Trans Factors'!$B$13,$O87-1,V$14)*$L87+OFFSET('Trans Factors'!$B$13,$K87-1,V$14)*$H87</f>
        <v>0</v>
      </c>
      <c r="X87" s="20">
        <f ca="1">OFFSET('Trans Factors'!$B$13,$O87-1,X$14)*$L87+OFFSET('Trans Factors'!$B$13,$K87-1,X$14)*$H87</f>
        <v>0</v>
      </c>
      <c r="Y87" s="9"/>
      <c r="Z87" s="20">
        <f ca="1">OFFSET('Trans Factors'!$B$13,$O87-1,Z$14)*$L87+OFFSET('Trans Factors'!$B$13,$K87-1,Z$14)*$H87</f>
        <v>0</v>
      </c>
      <c r="AA87" s="20"/>
      <c r="AB87" s="20">
        <f ca="1">OFFSET('Trans Factors'!$B$13,$O87-1,AB$14)*$L87+OFFSET('Trans Factors'!$B$13,$K87-1,AB$14)*$H87</f>
        <v>0</v>
      </c>
      <c r="AC87" s="20"/>
      <c r="AD87" s="20">
        <f ca="1">OFFSET('Trans Factors'!$B$13,$O87-1,AD$14)*$L87+OFFSET('Trans Factors'!$B$13,$K87-1,AD$14)*$H87</f>
        <v>0</v>
      </c>
      <c r="AF87" s="20">
        <f t="shared" ca="1" si="97"/>
        <v>0</v>
      </c>
      <c r="AH87" s="25" t="str">
        <f t="shared" ca="1" si="23"/>
        <v/>
      </c>
    </row>
    <row r="88" spans="2:34" ht="13" x14ac:dyDescent="0.3">
      <c r="B88" s="18">
        <f t="shared" si="98"/>
        <v>53</v>
      </c>
      <c r="D88" s="1" t="s">
        <v>76</v>
      </c>
      <c r="F88" s="48">
        <f ca="1">+Function!T88</f>
        <v>-22631.15789879825</v>
      </c>
      <c r="H88" s="48"/>
      <c r="K88" s="70">
        <f>_xlfn.IFNA(MATCH(J88,'Trans Factors'!$B$13:$B$450,0),0)</f>
        <v>0</v>
      </c>
      <c r="L88" s="48">
        <f t="shared" ca="1" si="96"/>
        <v>-22631.15789879825</v>
      </c>
      <c r="N88" s="18" t="s">
        <v>259</v>
      </c>
      <c r="O88" s="70">
        <f>_xlfn.IFNA(MATCH(N88,'Trans Factors'!$B$13:$B$450,0),0)</f>
        <v>53</v>
      </c>
      <c r="P88" s="20">
        <f ca="1">OFFSET('Trans Factors'!$B$13,$O88-1,P$14)*$L88+OFFSET('Trans Factors'!$B$13,$K88-1,P$14)*$H88</f>
        <v>-555.67041368734613</v>
      </c>
      <c r="R88" s="20">
        <f ca="1">OFFSET('Trans Factors'!$B$13,$O88-1,R$14)*$L88+OFFSET('Trans Factors'!$B$13,$K88-1,R$14)*$H88</f>
        <v>-59.306147667102138</v>
      </c>
      <c r="S88" s="20"/>
      <c r="T88" s="20">
        <f ca="1">OFFSET('Trans Factors'!$B$13,$O88-1,T$14)*$L88+OFFSET('Trans Factors'!$B$13,$K88-1,T$14)*$H88</f>
        <v>-2826.2327591943053</v>
      </c>
      <c r="U88" s="20"/>
      <c r="V88" s="20">
        <f ca="1">OFFSET('Trans Factors'!$B$13,$O88-1,V$14)*$L88+OFFSET('Trans Factors'!$B$13,$K88-1,V$14)*$H88</f>
        <v>-12976.712081409378</v>
      </c>
      <c r="X88" s="20">
        <f ca="1">OFFSET('Trans Factors'!$B$13,$O88-1,X$14)*$L88+OFFSET('Trans Factors'!$B$13,$K88-1,X$14)*$H88</f>
        <v>-2546.4854150658548</v>
      </c>
      <c r="Y88" s="9"/>
      <c r="Z88" s="20">
        <f ca="1">OFFSET('Trans Factors'!$B$13,$O88-1,Z$14)*$L88+OFFSET('Trans Factors'!$B$13,$K88-1,Z$14)*$H88</f>
        <v>-3633.5091033082504</v>
      </c>
      <c r="AA88" s="20"/>
      <c r="AB88" s="20">
        <f ca="1">OFFSET('Trans Factors'!$B$13,$O88-1,AB$14)*$L88+OFFSET('Trans Factors'!$B$13,$K88-1,AB$14)*$H88</f>
        <v>-33.241978466015318</v>
      </c>
      <c r="AC88" s="20"/>
      <c r="AD88" s="20">
        <f ca="1">OFFSET('Trans Factors'!$B$13,$O88-1,AD$14)*$L88+OFFSET('Trans Factors'!$B$13,$K88-1,AD$14)*$H88</f>
        <v>0</v>
      </c>
      <c r="AF88" s="20">
        <f t="shared" ca="1" si="97"/>
        <v>-22631.15789879825</v>
      </c>
      <c r="AH88" s="25" t="str">
        <f t="shared" ca="1" si="23"/>
        <v/>
      </c>
    </row>
    <row r="89" spans="2:34" ht="13" x14ac:dyDescent="0.3">
      <c r="B89" s="18">
        <f t="shared" si="98"/>
        <v>54</v>
      </c>
      <c r="D89" s="1" t="s">
        <v>77</v>
      </c>
      <c r="F89" s="40">
        <f ca="1">SUM(F82:F88)</f>
        <v>-15389.21388411652</v>
      </c>
      <c r="H89" s="40">
        <f>SUM(H82:H88)</f>
        <v>0</v>
      </c>
      <c r="K89" s="70"/>
      <c r="L89" s="40">
        <f ca="1">SUM(L84:L88)</f>
        <v>-15389.21388411652</v>
      </c>
      <c r="P89" s="40">
        <f ca="1">SUM(P84:P88)</f>
        <v>-377.85653228835315</v>
      </c>
      <c r="Q89" s="22"/>
      <c r="R89" s="40">
        <f ca="1">SUM(R84:R88)</f>
        <v>-40.328249892176188</v>
      </c>
      <c r="S89" s="22"/>
      <c r="T89" s="40">
        <f ca="1">SUM(T84:T88)</f>
        <v>-1921.8415872502712</v>
      </c>
      <c r="U89" s="22"/>
      <c r="V89" s="40">
        <f ca="1">SUM(V84:V88)</f>
        <v>-8824.1794178817618</v>
      </c>
      <c r="W89" s="52"/>
      <c r="X89" s="40">
        <f ca="1">SUM(X84:X88)</f>
        <v>-1731.6130655123325</v>
      </c>
      <c r="Y89" s="13"/>
      <c r="Z89" s="40">
        <f ca="1">SUM(Z84:Z88)</f>
        <v>-2470.7904469909763</v>
      </c>
      <c r="AA89" s="22"/>
      <c r="AB89" s="40">
        <f ca="1">SUM(AB84:AB88)</f>
        <v>-22.604584300649964</v>
      </c>
      <c r="AC89" s="22"/>
      <c r="AD89" s="40">
        <f ca="1">SUM(AD84:AD88)</f>
        <v>0</v>
      </c>
      <c r="AE89" s="8"/>
      <c r="AF89" s="28">
        <f ca="1">SUM(AF82:AF88)</f>
        <v>-15389.213884116518</v>
      </c>
      <c r="AH89" s="25" t="str">
        <f t="shared" ca="1" si="23"/>
        <v/>
      </c>
    </row>
    <row r="90" spans="2:34" ht="13" x14ac:dyDescent="0.3">
      <c r="W90" s="18"/>
      <c r="AH90" s="25" t="str">
        <f t="shared" si="23"/>
        <v/>
      </c>
    </row>
    <row r="91" spans="2:34" ht="13" x14ac:dyDescent="0.3">
      <c r="AH91" s="25" t="str">
        <f t="shared" si="23"/>
        <v/>
      </c>
    </row>
    <row r="92" spans="2:34" ht="13" x14ac:dyDescent="0.3">
      <c r="B92" s="18">
        <f>B89+1</f>
        <v>55</v>
      </c>
      <c r="D92" s="1" t="s">
        <v>78</v>
      </c>
      <c r="F92" s="40">
        <f ca="1">F79+F89</f>
        <v>2606329.5708189611</v>
      </c>
      <c r="H92" s="40">
        <f>H79+H89</f>
        <v>0</v>
      </c>
      <c r="L92" s="40">
        <f ca="1">L79+L89</f>
        <v>2606329.5708189611</v>
      </c>
      <c r="P92" s="10">
        <f ca="1">P79+P89</f>
        <v>63888.057654086653</v>
      </c>
      <c r="Q92" s="8"/>
      <c r="R92" s="10">
        <f ca="1">R79+R89</f>
        <v>6818.7085150973935</v>
      </c>
      <c r="S92" s="8"/>
      <c r="T92" s="10">
        <f ca="1">T79+T89</f>
        <v>324984.5213460137</v>
      </c>
      <c r="U92" s="8"/>
      <c r="V92" s="10">
        <f ca="1">V79+V89</f>
        <v>1495554.0249630243</v>
      </c>
      <c r="W92" s="8"/>
      <c r="X92" s="10">
        <f ca="1">X79+X89</f>
        <v>292917.65784101782</v>
      </c>
      <c r="Y92" s="8"/>
      <c r="Z92" s="10">
        <f ca="1">Z79+Z89</f>
        <v>418317.52763278916</v>
      </c>
      <c r="AA92" s="8"/>
      <c r="AB92" s="10">
        <f ca="1">AB79+AB89</f>
        <v>3849.0728669319274</v>
      </c>
      <c r="AC92" s="8"/>
      <c r="AD92" s="10">
        <f ca="1">AD79+AD89</f>
        <v>0</v>
      </c>
      <c r="AE92" s="8"/>
      <c r="AF92" s="10">
        <f ca="1">AF79+AF89</f>
        <v>2606329.5708189607</v>
      </c>
      <c r="AH92" s="25" t="str">
        <f t="shared" ca="1" si="23"/>
        <v/>
      </c>
    </row>
    <row r="93" spans="2:34" ht="13" x14ac:dyDescent="0.3">
      <c r="AH93" s="25" t="str">
        <f t="shared" si="23"/>
        <v/>
      </c>
    </row>
    <row r="94" spans="2:34" ht="13" x14ac:dyDescent="0.3">
      <c r="AH94" s="25" t="str">
        <f t="shared" si="23"/>
        <v/>
      </c>
    </row>
    <row r="95" spans="2:34" ht="13" x14ac:dyDescent="0.3">
      <c r="B95" s="18">
        <f>B92+1</f>
        <v>56</v>
      </c>
      <c r="D95" s="1" t="s">
        <v>79</v>
      </c>
      <c r="F95" s="82">
        <f>Function!T95</f>
        <v>6.0821321807016528E-2</v>
      </c>
      <c r="G95" s="85"/>
      <c r="H95" s="82">
        <f>$F$95</f>
        <v>6.0821321807016528E-2</v>
      </c>
      <c r="I95" s="85"/>
      <c r="J95" s="85"/>
      <c r="K95" s="73"/>
      <c r="L95" s="82">
        <f>$F$95</f>
        <v>6.0821321807016528E-2</v>
      </c>
      <c r="P95" s="82">
        <f>$F$95</f>
        <v>6.0821321807016528E-2</v>
      </c>
      <c r="R95" s="82">
        <f>$F$95</f>
        <v>6.0821321807016528E-2</v>
      </c>
      <c r="T95" s="82">
        <f>$F$95</f>
        <v>6.0821321807016528E-2</v>
      </c>
      <c r="V95" s="82">
        <f>$F$95</f>
        <v>6.0821321807016528E-2</v>
      </c>
      <c r="W95" s="24"/>
      <c r="X95" s="82">
        <f>$F$95</f>
        <v>6.0821321807016528E-2</v>
      </c>
      <c r="Z95" s="82">
        <f>$F$95</f>
        <v>6.0821321807016528E-2</v>
      </c>
      <c r="AA95" s="82"/>
      <c r="AB95" s="82">
        <f>$F$95</f>
        <v>6.0821321807016528E-2</v>
      </c>
      <c r="AD95" s="82">
        <f>$F$95</f>
        <v>6.0821321807016528E-2</v>
      </c>
      <c r="AF95" s="24"/>
      <c r="AH95" s="25"/>
    </row>
    <row r="96" spans="2:34" ht="13" x14ac:dyDescent="0.3">
      <c r="AH96" s="25" t="str">
        <f t="shared" si="23"/>
        <v/>
      </c>
    </row>
    <row r="97" spans="2:34" ht="13" x14ac:dyDescent="0.3">
      <c r="B97" s="18">
        <f>B95+1</f>
        <v>57</v>
      </c>
      <c r="D97" s="1" t="s">
        <v>80</v>
      </c>
      <c r="F97" s="40">
        <f ca="1">F92*F95</f>
        <v>158520.4095619233</v>
      </c>
      <c r="H97" s="40">
        <f>H92*H95</f>
        <v>0</v>
      </c>
      <c r="L97" s="40">
        <f ca="1">L92*L95</f>
        <v>158520.4095619233</v>
      </c>
      <c r="P97" s="10">
        <f ca="1">P92*P95</f>
        <v>3885.7561142044297</v>
      </c>
      <c r="R97" s="10">
        <f ca="1">R92*R95</f>
        <v>414.72286490498237</v>
      </c>
      <c r="T97" s="10">
        <f ca="1">T92*T95</f>
        <v>19765.988155085131</v>
      </c>
      <c r="V97" s="10">
        <f ca="1">V92*V95</f>
        <v>90961.572632054929</v>
      </c>
      <c r="X97" s="10">
        <f ca="1">X92*X95</f>
        <v>17815.639130506104</v>
      </c>
      <c r="Z97" s="10">
        <f ca="1">Z92*Z95</f>
        <v>25442.624965669398</v>
      </c>
      <c r="AA97" s="8"/>
      <c r="AB97" s="10">
        <f ca="1">AB92*AB95</f>
        <v>234.10569949832245</v>
      </c>
      <c r="AC97" s="8"/>
      <c r="AD97" s="10">
        <f ca="1">AD92*AD95</f>
        <v>0</v>
      </c>
      <c r="AF97" s="10">
        <f ca="1">P97+R97+T97+V97+X97+Z97+AB97+AD97</f>
        <v>158520.4095619233</v>
      </c>
      <c r="AH97" s="25" t="str">
        <f t="shared" ca="1" si="23"/>
        <v/>
      </c>
    </row>
    <row r="98" spans="2:34" ht="13" x14ac:dyDescent="0.3">
      <c r="F98" s="48"/>
      <c r="H98" s="48"/>
      <c r="L98" s="48"/>
      <c r="AH98" s="25" t="str">
        <f t="shared" si="23"/>
        <v/>
      </c>
    </row>
    <row r="99" spans="2:34" ht="13" x14ac:dyDescent="0.3">
      <c r="F99" s="48"/>
      <c r="H99" s="48"/>
      <c r="L99" s="48"/>
      <c r="AH99" s="25" t="str">
        <f t="shared" si="23"/>
        <v/>
      </c>
    </row>
    <row r="100" spans="2:34" ht="13" x14ac:dyDescent="0.3">
      <c r="D100" s="6" t="s">
        <v>81</v>
      </c>
      <c r="AH100" s="25" t="str">
        <f t="shared" si="23"/>
        <v/>
      </c>
    </row>
    <row r="101" spans="2:34" ht="13" x14ac:dyDescent="0.3">
      <c r="AH101" s="25" t="str">
        <f t="shared" si="23"/>
        <v/>
      </c>
    </row>
    <row r="102" spans="2:34" ht="13" x14ac:dyDescent="0.3">
      <c r="B102" s="18">
        <f>B97+1</f>
        <v>58</v>
      </c>
      <c r="D102" s="1" t="s">
        <v>82</v>
      </c>
      <c r="F102" s="48">
        <f ca="1">Function!T102</f>
        <v>82421.141572556502</v>
      </c>
      <c r="H102" s="48"/>
      <c r="K102" s="70">
        <f>_xlfn.IFNA(MATCH(J102,'Trans Factors'!$B$13:$B$450,0),0)</f>
        <v>0</v>
      </c>
      <c r="L102" s="48">
        <f t="shared" ref="L102:L103" ca="1" si="99">F102-H102</f>
        <v>82421.141572556502</v>
      </c>
      <c r="N102" s="18" t="s">
        <v>260</v>
      </c>
      <c r="O102" s="70">
        <f>_xlfn.IFNA(MATCH(N102,'Trans Factors'!$B$13:$B$450,0),0)</f>
        <v>20</v>
      </c>
      <c r="P102" s="20">
        <f ca="1">OFFSET('Trans Factors'!$B$13,$O102-1,P$14)*$L102+OFFSET('Trans Factors'!$B$13,$K102-1,P$14)*$H102</f>
        <v>2855.622039833414</v>
      </c>
      <c r="R102" s="20">
        <f ca="1">OFFSET('Trans Factors'!$B$13,$O102-1,R$14)*$L102+OFFSET('Trans Factors'!$B$13,$K102-1,R$14)*$H102</f>
        <v>416.91594646719744</v>
      </c>
      <c r="S102" s="20"/>
      <c r="T102" s="20">
        <f ca="1">OFFSET('Trans Factors'!$B$13,$O102-1,T$14)*$L102+OFFSET('Trans Factors'!$B$13,$K102-1,T$14)*$H102</f>
        <v>12907.437187673129</v>
      </c>
      <c r="U102" s="20"/>
      <c r="V102" s="20">
        <f ca="1">OFFSET('Trans Factors'!$B$13,$O102-1,V$14)*$L102+OFFSET('Trans Factors'!$B$13,$K102-1,V$14)*$H102</f>
        <v>52489.520001681689</v>
      </c>
      <c r="X102" s="20">
        <f ca="1">OFFSET('Trans Factors'!$B$13,$O102-1,X$14)*$L102+OFFSET('Trans Factors'!$B$13,$K102-1,X$14)*$H102</f>
        <v>4933.7362080497405</v>
      </c>
      <c r="Y102" s="9"/>
      <c r="Z102" s="20">
        <f ca="1">OFFSET('Trans Factors'!$B$13,$O102-1,Z$14)*$L102+OFFSET('Trans Factors'!$B$13,$K102-1,Z$14)*$H102</f>
        <v>8608.7050490527818</v>
      </c>
      <c r="AA102" s="20"/>
      <c r="AB102" s="20">
        <f ca="1">OFFSET('Trans Factors'!$B$13,$O102-1,AB$14)*$L102+OFFSET('Trans Factors'!$B$13,$K102-1,AB$14)*$H102</f>
        <v>209.20513979853538</v>
      </c>
      <c r="AC102" s="20"/>
      <c r="AD102" s="20">
        <f ca="1">OFFSET('Trans Factors'!$B$13,$O102-1,AD$14)*$L102+OFFSET('Trans Factors'!$B$13,$K102-1,AD$14)*$H102</f>
        <v>0</v>
      </c>
      <c r="AF102" s="20">
        <f t="shared" ref="AF102:AF103" ca="1" si="100">P102+R102+T102+V102+X102+Z102+AB102+AD102</f>
        <v>82421.141572556488</v>
      </c>
      <c r="AH102" s="25" t="str">
        <f t="shared" ca="1" si="23"/>
        <v/>
      </c>
    </row>
    <row r="103" spans="2:34" ht="13" x14ac:dyDescent="0.3">
      <c r="B103" s="18">
        <f>B102+1</f>
        <v>59</v>
      </c>
      <c r="D103" s="1" t="s">
        <v>56</v>
      </c>
      <c r="F103" s="84">
        <f ca="1">Function!T103</f>
        <v>7071.8904647083718</v>
      </c>
      <c r="H103" s="84"/>
      <c r="K103" s="70">
        <f>_xlfn.IFNA(MATCH(J103,'Trans Factors'!$B$13:$B$450,0),0)</f>
        <v>0</v>
      </c>
      <c r="L103" s="84">
        <f t="shared" ca="1" si="99"/>
        <v>7071.8904647083718</v>
      </c>
      <c r="N103" s="18" t="s">
        <v>253</v>
      </c>
      <c r="O103" s="70">
        <f>_xlfn.IFNA(MATCH(N103,'Trans Factors'!$B$13:$B$450,0),0)</f>
        <v>23</v>
      </c>
      <c r="P103" s="20">
        <f ca="1">OFFSET('Trans Factors'!$B$13,$O103-1,P$14)*$L103+OFFSET('Trans Factors'!$B$13,$K103-1,P$14)*$H103</f>
        <v>249.67717302385768</v>
      </c>
      <c r="R103" s="20">
        <f ca="1">OFFSET('Trans Factors'!$B$13,$O103-1,R$14)*$L103+OFFSET('Trans Factors'!$B$13,$K103-1,R$14)*$H103</f>
        <v>35.921767856445392</v>
      </c>
      <c r="S103" s="20"/>
      <c r="T103" s="20">
        <f ca="1">OFFSET('Trans Factors'!$B$13,$O103-1,T$14)*$L103+OFFSET('Trans Factors'!$B$13,$K103-1,T$14)*$H103</f>
        <v>935.6915272777818</v>
      </c>
      <c r="U103" s="20"/>
      <c r="V103" s="20">
        <f ca="1">OFFSET('Trans Factors'!$B$13,$O103-1,V$14)*$L103+OFFSET('Trans Factors'!$B$13,$K103-1,V$14)*$H103</f>
        <v>4125.4205634609289</v>
      </c>
      <c r="X103" s="20">
        <f ca="1">OFFSET('Trans Factors'!$B$13,$O103-1,X$14)*$L103+OFFSET('Trans Factors'!$B$13,$K103-1,X$14)*$H103</f>
        <v>616.97891696643887</v>
      </c>
      <c r="Y103" s="9"/>
      <c r="Z103" s="20">
        <f ca="1">OFFSET('Trans Factors'!$B$13,$O103-1,Z$14)*$L103+OFFSET('Trans Factors'!$B$13,$K103-1,Z$14)*$H103</f>
        <v>1095.1513301948689</v>
      </c>
      <c r="AA103" s="20"/>
      <c r="AB103" s="20">
        <f ca="1">OFFSET('Trans Factors'!$B$13,$O103-1,AB$14)*$L103+OFFSET('Trans Factors'!$B$13,$K103-1,AB$14)*$H103</f>
        <v>13.049185928049413</v>
      </c>
      <c r="AC103" s="20"/>
      <c r="AD103" s="20">
        <f ca="1">OFFSET('Trans Factors'!$B$13,$O103-1,AD$14)*$L103+OFFSET('Trans Factors'!$B$13,$K103-1,AD$14)*$H103</f>
        <v>0</v>
      </c>
      <c r="AF103" s="20">
        <f t="shared" ca="1" si="100"/>
        <v>7071.8904647083709</v>
      </c>
      <c r="AH103" s="25" t="str">
        <f t="shared" ca="1" si="23"/>
        <v/>
      </c>
    </row>
    <row r="104" spans="2:34" ht="13" x14ac:dyDescent="0.3">
      <c r="B104" s="18">
        <f>B103+1</f>
        <v>60</v>
      </c>
      <c r="D104" s="1" t="s">
        <v>84</v>
      </c>
      <c r="F104" s="40">
        <f ca="1">F102+F103</f>
        <v>89493.032037264871</v>
      </c>
      <c r="H104" s="40">
        <f>H102+H103</f>
        <v>0</v>
      </c>
      <c r="L104" s="40">
        <f ca="1">L102+L103</f>
        <v>89493.032037264871</v>
      </c>
      <c r="P104" s="10">
        <f ca="1">P102+P103</f>
        <v>3105.2992128572714</v>
      </c>
      <c r="R104" s="10">
        <f ca="1">R102+R103</f>
        <v>452.83771432364284</v>
      </c>
      <c r="T104" s="10">
        <f ca="1">T102+T103</f>
        <v>13843.128714950912</v>
      </c>
      <c r="V104" s="10">
        <f ca="1">V102+V103</f>
        <v>56614.94056514262</v>
      </c>
      <c r="X104" s="10">
        <f ca="1">X102+X103</f>
        <v>5550.7151250161796</v>
      </c>
      <c r="Z104" s="10">
        <f ca="1">Z102+Z103</f>
        <v>9703.8563792476507</v>
      </c>
      <c r="AA104" s="8"/>
      <c r="AB104" s="10">
        <f ca="1">AB102+AB103</f>
        <v>222.2543257265848</v>
      </c>
      <c r="AD104" s="10">
        <f ca="1">AD102+AD103</f>
        <v>0</v>
      </c>
      <c r="AF104" s="10">
        <f ca="1">AF102+AF103</f>
        <v>89493.032037264857</v>
      </c>
      <c r="AH104" s="25" t="str">
        <f t="shared" ca="1" si="23"/>
        <v/>
      </c>
    </row>
    <row r="105" spans="2:34" ht="13" x14ac:dyDescent="0.3">
      <c r="AH105" s="25" t="str">
        <f t="shared" si="23"/>
        <v/>
      </c>
    </row>
    <row r="106" spans="2:34" ht="13" x14ac:dyDescent="0.3">
      <c r="D106" s="6" t="s">
        <v>85</v>
      </c>
      <c r="F106" s="48"/>
      <c r="H106" s="48"/>
      <c r="L106" s="48"/>
      <c r="AH106" s="25" t="str">
        <f t="shared" ref="AH106:AH111" si="101">IF(ROUND(F106,4)=ROUND(AF106,4), "", "check")</f>
        <v/>
      </c>
    </row>
    <row r="107" spans="2:34" ht="13" x14ac:dyDescent="0.3">
      <c r="F107" s="48"/>
      <c r="H107" s="48"/>
      <c r="L107" s="48"/>
      <c r="AH107" s="25" t="str">
        <f t="shared" si="101"/>
        <v/>
      </c>
    </row>
    <row r="108" spans="2:34" ht="13" x14ac:dyDescent="0.3">
      <c r="B108" s="18">
        <f>B104+1</f>
        <v>61</v>
      </c>
      <c r="D108" s="1" t="s">
        <v>86</v>
      </c>
      <c r="F108" s="48">
        <f ca="1">Function!T108</f>
        <v>20456.591316541941</v>
      </c>
      <c r="H108" s="48"/>
      <c r="K108" s="70">
        <f>_xlfn.IFNA(MATCH(J108,'Trans Factors'!$B$13:$B$450,0),0)</f>
        <v>0</v>
      </c>
      <c r="L108" s="48">
        <f t="shared" ref="L108:L109" ca="1" si="102">F108-H108</f>
        <v>20456.591316541941</v>
      </c>
      <c r="N108" s="18" t="s">
        <v>261</v>
      </c>
      <c r="O108" s="70">
        <f>_xlfn.IFNA(MATCH(N108,'Trans Factors'!$B$13:$B$450,0),0)</f>
        <v>62</v>
      </c>
      <c r="P108" s="20">
        <f ca="1">OFFSET('Trans Factors'!$B$13,$O108-1,P$14)*$L108+OFFSET('Trans Factors'!$B$13,$K108-1,P$14)*$H108</f>
        <v>501.44536595448886</v>
      </c>
      <c r="R108" s="20">
        <f ca="1">OFFSET('Trans Factors'!$B$13,$O108-1,R$14)*$L108+OFFSET('Trans Factors'!$B$13,$K108-1,R$14)*$H108</f>
        <v>53.518762539359955</v>
      </c>
      <c r="S108" s="20"/>
      <c r="T108" s="20">
        <f ca="1">OFFSET('Trans Factors'!$B$13,$O108-1,T$14)*$L108+OFFSET('Trans Factors'!$B$13,$K108-1,T$14)*$H108</f>
        <v>2550.7424739414073</v>
      </c>
      <c r="U108" s="20"/>
      <c r="V108" s="20">
        <f ca="1">OFFSET('Trans Factors'!$B$13,$O108-1,V$14)*$L108+OFFSET('Trans Factors'!$B$13,$K108-1,V$14)*$H108</f>
        <v>11738.322667637432</v>
      </c>
      <c r="X108" s="20">
        <f ca="1">OFFSET('Trans Factors'!$B$13,$O108-1,X$14)*$L108+OFFSET('Trans Factors'!$B$13,$K108-1,X$14)*$H108</f>
        <v>2299.0556846460254</v>
      </c>
      <c r="Y108" s="9"/>
      <c r="Z108" s="20">
        <f ca="1">OFFSET('Trans Factors'!$B$13,$O108-1,Z$14)*$L108+OFFSET('Trans Factors'!$B$13,$K108-1,Z$14)*$H108</f>
        <v>3283.2957117703713</v>
      </c>
      <c r="AA108" s="20"/>
      <c r="AB108" s="20">
        <f ca="1">OFFSET('Trans Factors'!$B$13,$O108-1,AB$14)*$L108+OFFSET('Trans Factors'!$B$13,$K108-1,AB$14)*$H108</f>
        <v>30.210650052854024</v>
      </c>
      <c r="AC108" s="20"/>
      <c r="AD108" s="20">
        <f ca="1">OFFSET('Trans Factors'!$B$13,$O108-1,AD$14)*$L108+OFFSET('Trans Factors'!$B$13,$K108-1,AD$14)*$H108</f>
        <v>0</v>
      </c>
      <c r="AF108" s="20">
        <f t="shared" ref="AF108:AF109" ca="1" si="103">P108+R108+T108+V108+X108+Z108+AB108+AD108</f>
        <v>20456.591316541937</v>
      </c>
      <c r="AH108" s="25" t="str">
        <f t="shared" ca="1" si="101"/>
        <v/>
      </c>
    </row>
    <row r="109" spans="2:34" ht="13" x14ac:dyDescent="0.3">
      <c r="B109" s="18">
        <f>B108+1</f>
        <v>62</v>
      </c>
      <c r="D109" s="1" t="s">
        <v>88</v>
      </c>
      <c r="F109" s="48">
        <f ca="1">Function!T109</f>
        <v>25970.862333656336</v>
      </c>
      <c r="H109" s="48"/>
      <c r="K109" s="70">
        <f>_xlfn.IFNA(MATCH(J109,'Trans Factors'!$B$13:$B$450,0),0)</f>
        <v>0</v>
      </c>
      <c r="L109" s="48">
        <f t="shared" ca="1" si="102"/>
        <v>25970.862333656336</v>
      </c>
      <c r="N109" s="18" t="s">
        <v>262</v>
      </c>
      <c r="O109" s="70">
        <f>_xlfn.IFNA(MATCH(N109,'Trans Factors'!$B$13:$B$450,0),0)</f>
        <v>59</v>
      </c>
      <c r="P109" s="20">
        <f ca="1">OFFSET('Trans Factors'!$B$13,$O109-1,P$14)*$L109+OFFSET('Trans Factors'!$B$13,$K109-1,P$14)*$H109</f>
        <v>2489.2500370025623</v>
      </c>
      <c r="R109" s="20">
        <f ca="1">OFFSET('Trans Factors'!$B$13,$O109-1,R$14)*$L109+OFFSET('Trans Factors'!$B$13,$K109-1,R$14)*$H109</f>
        <v>20.461271526811235</v>
      </c>
      <c r="S109" s="20"/>
      <c r="T109" s="20">
        <f ca="1">OFFSET('Trans Factors'!$B$13,$O109-1,T$14)*$L109+OFFSET('Trans Factors'!$B$13,$K109-1,T$14)*$H109</f>
        <v>1082.306689369793</v>
      </c>
      <c r="U109" s="20"/>
      <c r="V109" s="20">
        <f ca="1">OFFSET('Trans Factors'!$B$13,$O109-1,V$14)*$L109+OFFSET('Trans Factors'!$B$13,$K109-1,V$14)*$H109</f>
        <v>17907.616544831235</v>
      </c>
      <c r="X109" s="20">
        <f ca="1">OFFSET('Trans Factors'!$B$13,$O109-1,X$14)*$L109+OFFSET('Trans Factors'!$B$13,$K109-1,X$14)*$H109</f>
        <v>1041.3982096617549</v>
      </c>
      <c r="Y109" s="9"/>
      <c r="Z109" s="20">
        <f ca="1">OFFSET('Trans Factors'!$B$13,$O109-1,Z$14)*$L109+OFFSET('Trans Factors'!$B$13,$K109-1,Z$14)*$H109</f>
        <v>3308.9327346419004</v>
      </c>
      <c r="AA109" s="20"/>
      <c r="AB109" s="20">
        <f ca="1">OFFSET('Trans Factors'!$B$13,$O109-1,AB$14)*$L109+OFFSET('Trans Factors'!$B$13,$K109-1,AB$14)*$H109</f>
        <v>120.89684662228194</v>
      </c>
      <c r="AC109" s="20"/>
      <c r="AD109" s="20">
        <f ca="1">OFFSET('Trans Factors'!$B$13,$O109-1,AD$14)*$L109+OFFSET('Trans Factors'!$B$13,$K109-1,AD$14)*$H109</f>
        <v>0</v>
      </c>
      <c r="AF109" s="20">
        <f t="shared" ca="1" si="103"/>
        <v>25970.86233365634</v>
      </c>
      <c r="AH109" s="25" t="str">
        <f t="shared" ca="1" si="101"/>
        <v/>
      </c>
    </row>
    <row r="110" spans="2:34" ht="13" x14ac:dyDescent="0.3">
      <c r="B110" s="18">
        <f>B109+1</f>
        <v>63</v>
      </c>
      <c r="D110" s="1" t="s">
        <v>90</v>
      </c>
      <c r="F110" s="40">
        <f ca="1">F108+F109</f>
        <v>46427.45365019828</v>
      </c>
      <c r="H110" s="40">
        <f>H108+H109</f>
        <v>0</v>
      </c>
      <c r="L110" s="40">
        <f ca="1">L108+L109</f>
        <v>46427.45365019828</v>
      </c>
      <c r="P110" s="10">
        <f ca="1">P108+P109</f>
        <v>2990.6954029570511</v>
      </c>
      <c r="R110" s="10">
        <f ca="1">R108+R109</f>
        <v>73.980034066171186</v>
      </c>
      <c r="T110" s="10">
        <f ca="1">T108+T109</f>
        <v>3633.0491633112006</v>
      </c>
      <c r="V110" s="10">
        <f ca="1">V108+V109</f>
        <v>29645.939212468667</v>
      </c>
      <c r="X110" s="10">
        <f ca="1">X108+X109</f>
        <v>3340.4538943077805</v>
      </c>
      <c r="Z110" s="10">
        <f ca="1">Z108+Z109</f>
        <v>6592.2284464122713</v>
      </c>
      <c r="AA110" s="8"/>
      <c r="AB110" s="10">
        <f ca="1">AB108+AB109</f>
        <v>151.10749667513596</v>
      </c>
      <c r="AD110" s="10">
        <f ca="1">AD108+AD109</f>
        <v>0</v>
      </c>
      <c r="AF110" s="10">
        <f ca="1">AF108+AF109</f>
        <v>46427.45365019828</v>
      </c>
      <c r="AH110" s="25" t="str">
        <f t="shared" ca="1" si="101"/>
        <v/>
      </c>
    </row>
    <row r="111" spans="2:34" ht="13" x14ac:dyDescent="0.3">
      <c r="AH111" s="25" t="str">
        <f t="shared" si="101"/>
        <v/>
      </c>
    </row>
    <row r="112" spans="2:34" ht="13" x14ac:dyDescent="0.3">
      <c r="AH112" s="25" t="str">
        <f t="shared" si="23"/>
        <v/>
      </c>
    </row>
    <row r="113" spans="2:56" ht="13" x14ac:dyDescent="0.3">
      <c r="D113" s="6" t="s">
        <v>91</v>
      </c>
      <c r="AH113" s="25" t="str">
        <f t="shared" si="23"/>
        <v/>
      </c>
      <c r="AK113" s="2" t="s">
        <v>92</v>
      </c>
      <c r="AL113" s="2" t="s">
        <v>93</v>
      </c>
      <c r="AN113" s="2" t="s">
        <v>233</v>
      </c>
      <c r="AO113" s="2"/>
      <c r="AP113" s="2" t="s">
        <v>234</v>
      </c>
      <c r="AQ113" s="2"/>
      <c r="AR113" s="2" t="s">
        <v>235</v>
      </c>
      <c r="AS113" s="2"/>
      <c r="AT113" s="2" t="s">
        <v>244</v>
      </c>
      <c r="AU113" s="2"/>
      <c r="AV113" s="2" t="s">
        <v>245</v>
      </c>
      <c r="AW113" s="2"/>
      <c r="AX113" s="2"/>
      <c r="AY113" s="2"/>
      <c r="AZ113" s="2"/>
      <c r="BA113" s="2"/>
      <c r="BB113" s="2" t="s">
        <v>19</v>
      </c>
      <c r="BD113" s="2"/>
    </row>
    <row r="114" spans="2:56" ht="13" x14ac:dyDescent="0.3">
      <c r="AH114" s="25" t="str">
        <f t="shared" si="23"/>
        <v/>
      </c>
      <c r="AK114" s="33" t="s">
        <v>94</v>
      </c>
      <c r="AL114" s="33" t="s">
        <v>95</v>
      </c>
      <c r="AN114" s="33" t="s">
        <v>237</v>
      </c>
      <c r="AO114" s="2"/>
      <c r="AP114" s="33" t="s">
        <v>237</v>
      </c>
      <c r="AQ114" s="2"/>
      <c r="AR114" s="33" t="s">
        <v>237</v>
      </c>
      <c r="AS114" s="2"/>
      <c r="AT114" s="33" t="s">
        <v>235</v>
      </c>
      <c r="AU114" s="2"/>
      <c r="AV114" s="33" t="s">
        <v>238</v>
      </c>
      <c r="AW114" s="2"/>
      <c r="AX114" s="33" t="s">
        <v>239</v>
      </c>
      <c r="AY114" s="2"/>
      <c r="AZ114" s="33" t="s">
        <v>240</v>
      </c>
      <c r="BA114" s="2"/>
      <c r="BB114" s="33" t="s">
        <v>175</v>
      </c>
      <c r="BD114" s="33" t="s">
        <v>2</v>
      </c>
    </row>
    <row r="115" spans="2:56" ht="13" x14ac:dyDescent="0.3">
      <c r="D115" s="1" t="s">
        <v>17</v>
      </c>
      <c r="AH115" s="25" t="str">
        <f t="shared" si="23"/>
        <v/>
      </c>
    </row>
    <row r="116" spans="2:56" ht="13" x14ac:dyDescent="0.3">
      <c r="B116" s="18">
        <f>B110+1</f>
        <v>64</v>
      </c>
      <c r="D116" s="35" t="s">
        <v>97</v>
      </c>
      <c r="F116" s="48">
        <f ca="1">Function!T116</f>
        <v>0</v>
      </c>
      <c r="H116" s="76"/>
      <c r="K116" s="70">
        <f>_xlfn.IFNA(MATCH(J116,'Trans Factors'!$B$13:$B$450,0),0)</f>
        <v>0</v>
      </c>
      <c r="L116" s="48">
        <f t="shared" ref="L116:L160" ca="1" si="104">F116-H116</f>
        <v>0</v>
      </c>
      <c r="O116" s="70">
        <f>_xlfn.IFNA(MATCH(N116,'Trans Factors'!$B$13:$B$450,0),0)</f>
        <v>0</v>
      </c>
      <c r="P116" s="20">
        <f ca="1">OFFSET('Trans Factors'!$B$13,$O116-1,P$14)*$L116+OFFSET('Trans Factors'!$B$13,$K116-1,P$14)*$H116</f>
        <v>0</v>
      </c>
      <c r="R116" s="20">
        <f ca="1">OFFSET('Trans Factors'!$B$13,$O116-1,R$14)*$L116+OFFSET('Trans Factors'!$B$13,$K116-1,R$14)*$H116</f>
        <v>0</v>
      </c>
      <c r="S116" s="20"/>
      <c r="T116" s="20">
        <f ca="1">OFFSET('Trans Factors'!$B$13,$O116-1,T$14)*$L116+OFFSET('Trans Factors'!$B$13,$K116-1,T$14)*$H116</f>
        <v>0</v>
      </c>
      <c r="U116" s="20"/>
      <c r="V116" s="20">
        <f ca="1">OFFSET('Trans Factors'!$B$13,$O116-1,V$14)*$L116+OFFSET('Trans Factors'!$B$13,$K116-1,V$14)*$H116</f>
        <v>0</v>
      </c>
      <c r="X116" s="20">
        <f ca="1">OFFSET('Trans Factors'!$B$13,$O116-1,X$14)*$L116+OFFSET('Trans Factors'!$B$13,$K116-1,X$14)*$H116</f>
        <v>0</v>
      </c>
      <c r="Y116" s="9"/>
      <c r="Z116" s="20">
        <f ca="1">OFFSET('Trans Factors'!$B$13,$O116-1,Z$14)*$L116+OFFSET('Trans Factors'!$B$13,$K116-1,Z$14)*$H116</f>
        <v>0</v>
      </c>
      <c r="AA116" s="20"/>
      <c r="AB116" s="20">
        <f ca="1">OFFSET('Trans Factors'!$B$13,$O116-1,AB$14)*$L116+OFFSET('Trans Factors'!$B$13,$K116-1,AB$14)*$H116</f>
        <v>0</v>
      </c>
      <c r="AC116" s="20"/>
      <c r="AD116" s="20">
        <f ca="1">OFFSET('Trans Factors'!$B$13,$O116-1,AD$14)*$L116+OFFSET('Trans Factors'!$B$13,$K116-1,AD$14)*$H116</f>
        <v>0</v>
      </c>
      <c r="AF116" s="20">
        <f t="shared" ref="AF116:AF122" ca="1" si="105">P116+R116+T116+V116+X116+Z116+AB116+AD116</f>
        <v>0</v>
      </c>
      <c r="AH116" s="25" t="str">
        <f t="shared" ca="1" si="23"/>
        <v/>
      </c>
      <c r="AK116" s="97">
        <f ca="1">Function!AJ116</f>
        <v>0</v>
      </c>
      <c r="AL116" s="96">
        <f ca="1">IFERROR(AK116/F116,0)</f>
        <v>0</v>
      </c>
      <c r="AN116" s="48">
        <f ca="1">$AL116*P116</f>
        <v>0</v>
      </c>
      <c r="AO116" s="48"/>
      <c r="AP116" s="48">
        <f ca="1">$AL116*R116</f>
        <v>0</v>
      </c>
      <c r="AQ116" s="48"/>
      <c r="AR116" s="48">
        <f ca="1">$AL116*T116</f>
        <v>0</v>
      </c>
      <c r="AS116" s="48"/>
      <c r="AT116" s="48">
        <f ca="1">$AL116*V116</f>
        <v>0</v>
      </c>
      <c r="AU116" s="48"/>
      <c r="AV116" s="48">
        <f ca="1">$AL116*X116</f>
        <v>0</v>
      </c>
      <c r="AW116" s="48"/>
      <c r="AX116" s="48">
        <f ca="1">$AL116*Z116</f>
        <v>0</v>
      </c>
      <c r="AY116" s="48"/>
      <c r="AZ116" s="48">
        <f ca="1">$AL116*AB116</f>
        <v>0</v>
      </c>
      <c r="BA116" s="48"/>
      <c r="BB116" s="48">
        <f ca="1">$AL116*AD116</f>
        <v>0</v>
      </c>
      <c r="BD116" s="48">
        <f ca="1">SUM(AN116:BB116)</f>
        <v>0</v>
      </c>
    </row>
    <row r="117" spans="2:56" ht="13" x14ac:dyDescent="0.3">
      <c r="B117" s="18">
        <f t="shared" ref="B117:B122" si="106">B116+1</f>
        <v>65</v>
      </c>
      <c r="D117" s="35" t="s">
        <v>99</v>
      </c>
      <c r="F117" s="48">
        <f ca="1">Function!T117</f>
        <v>18533.95038585359</v>
      </c>
      <c r="H117" s="76"/>
      <c r="K117" s="70">
        <f>_xlfn.IFNA(MATCH(J117,'Trans Factors'!$B$13:$B$450,0),0)</f>
        <v>0</v>
      </c>
      <c r="L117" s="48">
        <f t="shared" ca="1" si="104"/>
        <v>18533.95038585359</v>
      </c>
      <c r="N117" s="18" t="s">
        <v>263</v>
      </c>
      <c r="O117" s="70">
        <f>_xlfn.IFNA(MATCH(N117,'Trans Factors'!$B$13:$B$450,0),0)</f>
        <v>11</v>
      </c>
      <c r="P117" s="20">
        <f ca="1">OFFSET('Trans Factors'!$B$13,$O117-1,P$14)*$L117+OFFSET('Trans Factors'!$B$13,$K117-1,P$14)*$H117</f>
        <v>0</v>
      </c>
      <c r="R117" s="20">
        <f ca="1">OFFSET('Trans Factors'!$B$13,$O117-1,R$14)*$L117+OFFSET('Trans Factors'!$B$13,$K117-1,R$14)*$H117</f>
        <v>0</v>
      </c>
      <c r="S117" s="20"/>
      <c r="T117" s="20">
        <f ca="1">OFFSET('Trans Factors'!$B$13,$O117-1,T$14)*$L117+OFFSET('Trans Factors'!$B$13,$K117-1,T$14)*$H117</f>
        <v>0</v>
      </c>
      <c r="U117" s="20"/>
      <c r="V117" s="20">
        <f ca="1">OFFSET('Trans Factors'!$B$13,$O117-1,V$14)*$L117+OFFSET('Trans Factors'!$B$13,$K117-1,V$14)*$H117</f>
        <v>0</v>
      </c>
      <c r="X117" s="20">
        <f ca="1">OFFSET('Trans Factors'!$B$13,$O117-1,X$14)*$L117+OFFSET('Trans Factors'!$B$13,$K117-1,X$14)*$H117</f>
        <v>0</v>
      </c>
      <c r="Y117" s="9"/>
      <c r="Z117" s="20">
        <f ca="1">OFFSET('Trans Factors'!$B$13,$O117-1,Z$14)*$L117+OFFSET('Trans Factors'!$B$13,$K117-1,Z$14)*$H117</f>
        <v>0</v>
      </c>
      <c r="AA117" s="20"/>
      <c r="AB117" s="20">
        <f ca="1">OFFSET('Trans Factors'!$B$13,$O117-1,AB$14)*$L117+OFFSET('Trans Factors'!$B$13,$K117-1,AB$14)*$H117</f>
        <v>0</v>
      </c>
      <c r="AC117" s="20"/>
      <c r="AD117" s="20">
        <f ca="1">OFFSET('Trans Factors'!$B$13,$O117-1,AD$14)*$L117+OFFSET('Trans Factors'!$B$13,$K117-1,AD$14)*$H117</f>
        <v>18533.95038585359</v>
      </c>
      <c r="AF117" s="20">
        <f t="shared" ca="1" si="105"/>
        <v>18533.95038585359</v>
      </c>
      <c r="AH117" s="25" t="str">
        <f t="shared" ca="1" si="23"/>
        <v/>
      </c>
      <c r="AK117" s="97">
        <f ca="1">Function!AJ117</f>
        <v>0</v>
      </c>
      <c r="AL117" s="96">
        <f t="shared" ref="AL117:AL157" ca="1" si="107">IFERROR(AK117/F117,0)</f>
        <v>0</v>
      </c>
      <c r="AN117" s="48">
        <f t="shared" ref="AN117:AN160" ca="1" si="108">$AL117*P117</f>
        <v>0</v>
      </c>
      <c r="AO117" s="48"/>
      <c r="AP117" s="48">
        <f t="shared" ref="AP117:AP160" ca="1" si="109">$AL117*R117</f>
        <v>0</v>
      </c>
      <c r="AQ117" s="48"/>
      <c r="AR117" s="48">
        <f t="shared" ref="AR117:AR160" ca="1" si="110">$AL117*T117</f>
        <v>0</v>
      </c>
      <c r="AS117" s="48"/>
      <c r="AT117" s="48">
        <f t="shared" ref="AT117:AT160" ca="1" si="111">$AL117*V117</f>
        <v>0</v>
      </c>
      <c r="AU117" s="48"/>
      <c r="AV117" s="48">
        <f t="shared" ref="AV117:AV160" ca="1" si="112">$AL117*X117</f>
        <v>0</v>
      </c>
      <c r="AW117" s="48"/>
      <c r="AX117" s="48">
        <f t="shared" ref="AX117:AZ160" ca="1" si="113">$AL117*Z117</f>
        <v>0</v>
      </c>
      <c r="AY117" s="48"/>
      <c r="AZ117" s="48">
        <f t="shared" ca="1" si="113"/>
        <v>0</v>
      </c>
      <c r="BA117" s="48"/>
      <c r="BB117" s="48">
        <f t="shared" ref="BB117:BB160" ca="1" si="114">$AL117*AD117</f>
        <v>0</v>
      </c>
      <c r="BD117" s="48">
        <f t="shared" ref="BD117:BD160" ca="1" si="115">SUM(AN117:BB117)</f>
        <v>0</v>
      </c>
    </row>
    <row r="118" spans="2:56" ht="13" x14ac:dyDescent="0.3">
      <c r="B118" s="18">
        <f t="shared" si="106"/>
        <v>66</v>
      </c>
      <c r="D118" s="35" t="s">
        <v>101</v>
      </c>
      <c r="F118" s="48">
        <f ca="1">Function!T118</f>
        <v>10628.242000188779</v>
      </c>
      <c r="H118" s="76"/>
      <c r="K118" s="70">
        <f>_xlfn.IFNA(MATCH(J118,'Trans Factors'!$B$13:$B$450,0),0)</f>
        <v>0</v>
      </c>
      <c r="L118" s="48">
        <f t="shared" ca="1" si="104"/>
        <v>10628.242000188779</v>
      </c>
      <c r="N118" s="18" t="s">
        <v>263</v>
      </c>
      <c r="O118" s="70">
        <f>_xlfn.IFNA(MATCH(N118,'Trans Factors'!$B$13:$B$450,0),0)</f>
        <v>11</v>
      </c>
      <c r="P118" s="20">
        <f ca="1">OFFSET('Trans Factors'!$B$13,$O118-1,P$14)*$L118+OFFSET('Trans Factors'!$B$13,$K118-1,P$14)*$H118</f>
        <v>0</v>
      </c>
      <c r="R118" s="20">
        <f ca="1">OFFSET('Trans Factors'!$B$13,$O118-1,R$14)*$L118+OFFSET('Trans Factors'!$B$13,$K118-1,R$14)*$H118</f>
        <v>0</v>
      </c>
      <c r="S118" s="20"/>
      <c r="T118" s="20">
        <f ca="1">OFFSET('Trans Factors'!$B$13,$O118-1,T$14)*$L118+OFFSET('Trans Factors'!$B$13,$K118-1,T$14)*$H118</f>
        <v>0</v>
      </c>
      <c r="U118" s="20"/>
      <c r="V118" s="20">
        <f ca="1">OFFSET('Trans Factors'!$B$13,$O118-1,V$14)*$L118+OFFSET('Trans Factors'!$B$13,$K118-1,V$14)*$H118</f>
        <v>0</v>
      </c>
      <c r="X118" s="20">
        <f ca="1">OFFSET('Trans Factors'!$B$13,$O118-1,X$14)*$L118+OFFSET('Trans Factors'!$B$13,$K118-1,X$14)*$H118</f>
        <v>0</v>
      </c>
      <c r="Y118" s="9"/>
      <c r="Z118" s="20">
        <f ca="1">OFFSET('Trans Factors'!$B$13,$O118-1,Z$14)*$L118+OFFSET('Trans Factors'!$B$13,$K118-1,Z$14)*$H118</f>
        <v>0</v>
      </c>
      <c r="AA118" s="20"/>
      <c r="AB118" s="20">
        <f ca="1">OFFSET('Trans Factors'!$B$13,$O118-1,AB$14)*$L118+OFFSET('Trans Factors'!$B$13,$K118-1,AB$14)*$H118</f>
        <v>0</v>
      </c>
      <c r="AC118" s="20"/>
      <c r="AD118" s="20">
        <f ca="1">OFFSET('Trans Factors'!$B$13,$O118-1,AD$14)*$L118+OFFSET('Trans Factors'!$B$13,$K118-1,AD$14)*$H118</f>
        <v>10628.242000188779</v>
      </c>
      <c r="AF118" s="20">
        <f t="shared" ca="1" si="105"/>
        <v>10628.242000188779</v>
      </c>
      <c r="AH118" s="25" t="str">
        <f t="shared" ca="1" si="23"/>
        <v/>
      </c>
      <c r="AK118" s="97">
        <f ca="1">Function!AJ118</f>
        <v>0</v>
      </c>
      <c r="AL118" s="96">
        <f t="shared" ca="1" si="107"/>
        <v>0</v>
      </c>
      <c r="AN118" s="48">
        <f t="shared" ca="1" si="108"/>
        <v>0</v>
      </c>
      <c r="AO118" s="48"/>
      <c r="AP118" s="48">
        <f t="shared" ca="1" si="109"/>
        <v>0</v>
      </c>
      <c r="AQ118" s="48"/>
      <c r="AR118" s="48">
        <f t="shared" ca="1" si="110"/>
        <v>0</v>
      </c>
      <c r="AS118" s="48"/>
      <c r="AT118" s="48">
        <f t="shared" ca="1" si="111"/>
        <v>0</v>
      </c>
      <c r="AU118" s="48"/>
      <c r="AV118" s="48">
        <f t="shared" ca="1" si="112"/>
        <v>0</v>
      </c>
      <c r="AW118" s="48"/>
      <c r="AX118" s="48">
        <f t="shared" ca="1" si="113"/>
        <v>0</v>
      </c>
      <c r="AY118" s="48"/>
      <c r="AZ118" s="48">
        <f t="shared" ca="1" si="113"/>
        <v>0</v>
      </c>
      <c r="BA118" s="48"/>
      <c r="BB118" s="48">
        <f t="shared" ca="1" si="114"/>
        <v>0</v>
      </c>
      <c r="BD118" s="48">
        <f t="shared" ca="1" si="115"/>
        <v>0</v>
      </c>
    </row>
    <row r="119" spans="2:56" ht="13" x14ac:dyDescent="0.3">
      <c r="B119" s="18">
        <f t="shared" si="106"/>
        <v>67</v>
      </c>
      <c r="D119" s="35" t="s">
        <v>103</v>
      </c>
      <c r="F119" s="48">
        <f ca="1">Function!T119</f>
        <v>751.50387464030882</v>
      </c>
      <c r="H119" s="76"/>
      <c r="K119" s="70">
        <f>_xlfn.IFNA(MATCH(J119,'Trans Factors'!$B$13:$B$450,0),0)</f>
        <v>0</v>
      </c>
      <c r="L119" s="48">
        <f t="shared" ca="1" si="104"/>
        <v>751.50387464030882</v>
      </c>
      <c r="N119" s="18" t="s">
        <v>263</v>
      </c>
      <c r="O119" s="70">
        <f>_xlfn.IFNA(MATCH(N119,'Trans Factors'!$B$13:$B$450,0),0)</f>
        <v>11</v>
      </c>
      <c r="P119" s="20">
        <f ca="1">OFFSET('Trans Factors'!$B$13,$O119-1,P$14)*$L119+OFFSET('Trans Factors'!$B$13,$K119-1,P$14)*$H119</f>
        <v>0</v>
      </c>
      <c r="R119" s="20">
        <f ca="1">OFFSET('Trans Factors'!$B$13,$O119-1,R$14)*$L119+OFFSET('Trans Factors'!$B$13,$K119-1,R$14)*$H119</f>
        <v>0</v>
      </c>
      <c r="S119" s="20"/>
      <c r="T119" s="20">
        <f ca="1">OFFSET('Trans Factors'!$B$13,$O119-1,T$14)*$L119+OFFSET('Trans Factors'!$B$13,$K119-1,T$14)*$H119</f>
        <v>0</v>
      </c>
      <c r="U119" s="20"/>
      <c r="V119" s="20">
        <f ca="1">OFFSET('Trans Factors'!$B$13,$O119-1,V$14)*$L119+OFFSET('Trans Factors'!$B$13,$K119-1,V$14)*$H119</f>
        <v>0</v>
      </c>
      <c r="X119" s="20">
        <f ca="1">OFFSET('Trans Factors'!$B$13,$O119-1,X$14)*$L119+OFFSET('Trans Factors'!$B$13,$K119-1,X$14)*$H119</f>
        <v>0</v>
      </c>
      <c r="Y119" s="9"/>
      <c r="Z119" s="20">
        <f ca="1">OFFSET('Trans Factors'!$B$13,$O119-1,Z$14)*$L119+OFFSET('Trans Factors'!$B$13,$K119-1,Z$14)*$H119</f>
        <v>0</v>
      </c>
      <c r="AA119" s="20"/>
      <c r="AB119" s="20">
        <f ca="1">OFFSET('Trans Factors'!$B$13,$O119-1,AB$14)*$L119+OFFSET('Trans Factors'!$B$13,$K119-1,AB$14)*$H119</f>
        <v>0</v>
      </c>
      <c r="AC119" s="20"/>
      <c r="AD119" s="20">
        <f ca="1">OFFSET('Trans Factors'!$B$13,$O119-1,AD$14)*$L119+OFFSET('Trans Factors'!$B$13,$K119-1,AD$14)*$H119</f>
        <v>751.50387464030882</v>
      </c>
      <c r="AF119" s="20">
        <f t="shared" ca="1" si="105"/>
        <v>751.50387464030882</v>
      </c>
      <c r="AH119" s="25"/>
      <c r="AK119" s="97">
        <f ca="1">Function!AJ119</f>
        <v>0</v>
      </c>
      <c r="AL119" s="96">
        <f t="shared" ca="1" si="107"/>
        <v>0</v>
      </c>
      <c r="AN119" s="48">
        <f t="shared" ca="1" si="108"/>
        <v>0</v>
      </c>
      <c r="AO119" s="48"/>
      <c r="AP119" s="48">
        <f t="shared" ca="1" si="109"/>
        <v>0</v>
      </c>
      <c r="AQ119" s="48"/>
      <c r="AR119" s="48">
        <f t="shared" ca="1" si="110"/>
        <v>0</v>
      </c>
      <c r="AS119" s="48"/>
      <c r="AT119" s="48">
        <f t="shared" ca="1" si="111"/>
        <v>0</v>
      </c>
      <c r="AU119" s="48"/>
      <c r="AV119" s="48">
        <f t="shared" ca="1" si="112"/>
        <v>0</v>
      </c>
      <c r="AW119" s="48"/>
      <c r="AX119" s="48">
        <f t="shared" ca="1" si="113"/>
        <v>0</v>
      </c>
      <c r="AY119" s="48"/>
      <c r="AZ119" s="48">
        <f t="shared" ca="1" si="113"/>
        <v>0</v>
      </c>
      <c r="BA119" s="48"/>
      <c r="BB119" s="48">
        <f t="shared" ca="1" si="114"/>
        <v>0</v>
      </c>
      <c r="BD119" s="48">
        <f t="shared" ca="1" si="115"/>
        <v>0</v>
      </c>
    </row>
    <row r="120" spans="2:56" ht="13" x14ac:dyDescent="0.3">
      <c r="B120" s="18">
        <f t="shared" si="106"/>
        <v>68</v>
      </c>
      <c r="D120" s="35" t="s">
        <v>105</v>
      </c>
      <c r="F120" s="48">
        <f ca="1">Function!T120</f>
        <v>0</v>
      </c>
      <c r="H120" s="76"/>
      <c r="K120" s="70">
        <f>_xlfn.IFNA(MATCH(J120,'Trans Factors'!$B$13:$B$450,0),0)</f>
        <v>0</v>
      </c>
      <c r="L120" s="48">
        <f t="shared" ca="1" si="104"/>
        <v>0</v>
      </c>
      <c r="O120" s="70">
        <f>_xlfn.IFNA(MATCH(N120,'Trans Factors'!$B$13:$B$450,0),0)</f>
        <v>0</v>
      </c>
      <c r="P120" s="20">
        <f ca="1">OFFSET('Trans Factors'!$B$13,$O120-1,P$14)*$L120+OFFSET('Trans Factors'!$B$13,$K120-1,P$14)*$H120</f>
        <v>0</v>
      </c>
      <c r="R120" s="20">
        <f ca="1">OFFSET('Trans Factors'!$B$13,$O120-1,R$14)*$L120+OFFSET('Trans Factors'!$B$13,$K120-1,R$14)*$H120</f>
        <v>0</v>
      </c>
      <c r="S120" s="20"/>
      <c r="T120" s="20">
        <f ca="1">OFFSET('Trans Factors'!$B$13,$O120-1,T$14)*$L120+OFFSET('Trans Factors'!$B$13,$K120-1,T$14)*$H120</f>
        <v>0</v>
      </c>
      <c r="U120" s="20"/>
      <c r="V120" s="20">
        <f ca="1">OFFSET('Trans Factors'!$B$13,$O120-1,V$14)*$L120+OFFSET('Trans Factors'!$B$13,$K120-1,V$14)*$H120</f>
        <v>0</v>
      </c>
      <c r="X120" s="20">
        <f ca="1">OFFSET('Trans Factors'!$B$13,$O120-1,X$14)*$L120+OFFSET('Trans Factors'!$B$13,$K120-1,X$14)*$H120</f>
        <v>0</v>
      </c>
      <c r="Y120" s="9"/>
      <c r="Z120" s="20">
        <f ca="1">OFFSET('Trans Factors'!$B$13,$O120-1,Z$14)*$L120+OFFSET('Trans Factors'!$B$13,$K120-1,Z$14)*$H120</f>
        <v>0</v>
      </c>
      <c r="AA120" s="20"/>
      <c r="AB120" s="20">
        <f ca="1">OFFSET('Trans Factors'!$B$13,$O120-1,AB$14)*$L120+OFFSET('Trans Factors'!$B$13,$K120-1,AB$14)*$H120</f>
        <v>0</v>
      </c>
      <c r="AC120" s="20"/>
      <c r="AD120" s="20">
        <f ca="1">OFFSET('Trans Factors'!$B$13,$O120-1,AD$14)*$L120+OFFSET('Trans Factors'!$B$13,$K120-1,AD$14)*$H120</f>
        <v>0</v>
      </c>
      <c r="AF120" s="20">
        <f t="shared" ca="1" si="105"/>
        <v>0</v>
      </c>
      <c r="AH120" s="25" t="str">
        <f t="shared" ref="AH120:AH180" ca="1" si="116">IF(ROUND(F120,4)=ROUND(AF120,4), "", "check")</f>
        <v/>
      </c>
      <c r="AK120" s="97">
        <f ca="1">Function!AJ120</f>
        <v>0</v>
      </c>
      <c r="AL120" s="96">
        <f t="shared" ca="1" si="107"/>
        <v>0</v>
      </c>
      <c r="AN120" s="48">
        <f t="shared" ca="1" si="108"/>
        <v>0</v>
      </c>
      <c r="AO120" s="48"/>
      <c r="AP120" s="48">
        <f t="shared" ca="1" si="109"/>
        <v>0</v>
      </c>
      <c r="AQ120" s="48"/>
      <c r="AR120" s="48">
        <f t="shared" ca="1" si="110"/>
        <v>0</v>
      </c>
      <c r="AS120" s="48"/>
      <c r="AT120" s="48">
        <f t="shared" ca="1" si="111"/>
        <v>0</v>
      </c>
      <c r="AU120" s="48"/>
      <c r="AV120" s="48">
        <f t="shared" ca="1" si="112"/>
        <v>0</v>
      </c>
      <c r="AW120" s="48"/>
      <c r="AX120" s="48">
        <f t="shared" ca="1" si="113"/>
        <v>0</v>
      </c>
      <c r="AY120" s="48"/>
      <c r="AZ120" s="48">
        <f t="shared" ca="1" si="113"/>
        <v>0</v>
      </c>
      <c r="BA120" s="48"/>
      <c r="BB120" s="48">
        <f t="shared" ca="1" si="114"/>
        <v>0</v>
      </c>
      <c r="BD120" s="48">
        <f t="shared" ca="1" si="115"/>
        <v>0</v>
      </c>
    </row>
    <row r="121" spans="2:56" ht="13" x14ac:dyDescent="0.3">
      <c r="B121" s="18">
        <f t="shared" si="106"/>
        <v>69</v>
      </c>
      <c r="D121" s="35" t="s">
        <v>106</v>
      </c>
      <c r="F121" s="48">
        <f ca="1">Function!T121</f>
        <v>15221.404780000001</v>
      </c>
      <c r="H121" s="76"/>
      <c r="K121" s="70">
        <f>_xlfn.IFNA(MATCH(J121,'Trans Factors'!$B$13:$B$450,0),0)</f>
        <v>0</v>
      </c>
      <c r="L121" s="48">
        <f t="shared" ref="L121" ca="1" si="117">F121-H121</f>
        <v>15221.404780000001</v>
      </c>
      <c r="N121" s="18" t="s">
        <v>264</v>
      </c>
      <c r="O121" s="70">
        <f>_xlfn.IFNA(MATCH(N121,'Trans Factors'!$B$13:$B$450,0),0)</f>
        <v>5</v>
      </c>
      <c r="P121" s="20">
        <f ca="1">OFFSET('Trans Factors'!$B$13,$O121-1,P$14)*$L121+OFFSET('Trans Factors'!$B$13,$K121-1,P$14)*$H121</f>
        <v>0</v>
      </c>
      <c r="R121" s="20">
        <f ca="1">OFFSET('Trans Factors'!$B$13,$O121-1,R$14)*$L121+OFFSET('Trans Factors'!$B$13,$K121-1,R$14)*$H121</f>
        <v>0</v>
      </c>
      <c r="S121" s="20"/>
      <c r="T121" s="20">
        <f ca="1">OFFSET('Trans Factors'!$B$13,$O121-1,T$14)*$L121+OFFSET('Trans Factors'!$B$13,$K121-1,T$14)*$H121</f>
        <v>0</v>
      </c>
      <c r="U121" s="20"/>
      <c r="V121" s="20">
        <f ca="1">OFFSET('Trans Factors'!$B$13,$O121-1,V$14)*$L121+OFFSET('Trans Factors'!$B$13,$K121-1,V$14)*$H121</f>
        <v>15221.404780000001</v>
      </c>
      <c r="X121" s="20">
        <f ca="1">OFFSET('Trans Factors'!$B$13,$O121-1,X$14)*$L121+OFFSET('Trans Factors'!$B$13,$K121-1,X$14)*$H121</f>
        <v>0</v>
      </c>
      <c r="Y121" s="9"/>
      <c r="Z121" s="20">
        <f ca="1">OFFSET('Trans Factors'!$B$13,$O121-1,Z$14)*$L121+OFFSET('Trans Factors'!$B$13,$K121-1,Z$14)*$H121</f>
        <v>0</v>
      </c>
      <c r="AA121" s="20"/>
      <c r="AB121" s="20">
        <f ca="1">OFFSET('Trans Factors'!$B$13,$O121-1,AB$14)*$L121+OFFSET('Trans Factors'!$B$13,$K121-1,AB$14)*$H121</f>
        <v>0</v>
      </c>
      <c r="AC121" s="20"/>
      <c r="AD121" s="20">
        <f ca="1">OFFSET('Trans Factors'!$B$13,$O121-1,AD$14)*$L121+OFFSET('Trans Factors'!$B$13,$K121-1,AD$14)*$H121</f>
        <v>0</v>
      </c>
      <c r="AF121" s="20">
        <f t="shared" ca="1" si="105"/>
        <v>15221.404780000001</v>
      </c>
      <c r="AH121" s="25"/>
      <c r="AK121" s="97">
        <f ca="1">Function!AJ121</f>
        <v>0</v>
      </c>
      <c r="AL121" s="96">
        <f t="shared" ca="1" si="107"/>
        <v>0</v>
      </c>
      <c r="AN121" s="48">
        <f t="shared" ca="1" si="108"/>
        <v>0</v>
      </c>
      <c r="AO121" s="48"/>
      <c r="AP121" s="48">
        <f t="shared" ca="1" si="109"/>
        <v>0</v>
      </c>
      <c r="AQ121" s="48"/>
      <c r="AR121" s="48">
        <f t="shared" ca="1" si="110"/>
        <v>0</v>
      </c>
      <c r="AS121" s="48"/>
      <c r="AT121" s="48">
        <f t="shared" ca="1" si="111"/>
        <v>0</v>
      </c>
      <c r="AU121" s="48"/>
      <c r="AV121" s="48">
        <f t="shared" ca="1" si="112"/>
        <v>0</v>
      </c>
      <c r="AW121" s="48"/>
      <c r="AX121" s="48">
        <f t="shared" ca="1" si="113"/>
        <v>0</v>
      </c>
      <c r="AY121" s="48"/>
      <c r="AZ121" s="48">
        <f t="shared" ca="1" si="113"/>
        <v>0</v>
      </c>
      <c r="BA121" s="48"/>
      <c r="BB121" s="48">
        <f t="shared" ca="1" si="114"/>
        <v>0</v>
      </c>
      <c r="BD121" s="48">
        <f t="shared" ca="1" si="115"/>
        <v>0</v>
      </c>
    </row>
    <row r="122" spans="2:56" ht="13" x14ac:dyDescent="0.3">
      <c r="B122" s="18">
        <f t="shared" si="106"/>
        <v>70</v>
      </c>
      <c r="D122" s="35" t="s">
        <v>108</v>
      </c>
      <c r="F122" s="48">
        <f ca="1">Function!T122</f>
        <v>1294.5219427863499</v>
      </c>
      <c r="H122" s="76"/>
      <c r="K122" s="70">
        <f>_xlfn.IFNA(MATCH(J122,'Trans Factors'!$B$13:$B$450,0),0)</f>
        <v>0</v>
      </c>
      <c r="L122" s="48">
        <f t="shared" ca="1" si="104"/>
        <v>1294.5219427863499</v>
      </c>
      <c r="N122" s="18" t="s">
        <v>265</v>
      </c>
      <c r="O122" s="70">
        <f>_xlfn.IFNA(MATCH(N122,'Trans Factors'!$B$13:$B$450,0),0)</f>
        <v>8</v>
      </c>
      <c r="P122" s="20">
        <f ca="1">OFFSET('Trans Factors'!$B$13,$O122-1,P$14)*$L122+OFFSET('Trans Factors'!$B$13,$K122-1,P$14)*$H122</f>
        <v>0</v>
      </c>
      <c r="R122" s="20">
        <f ca="1">OFFSET('Trans Factors'!$B$13,$O122-1,R$14)*$L122+OFFSET('Trans Factors'!$B$13,$K122-1,R$14)*$H122</f>
        <v>0</v>
      </c>
      <c r="S122" s="20"/>
      <c r="T122" s="20">
        <f ca="1">OFFSET('Trans Factors'!$B$13,$O122-1,T$14)*$L122+OFFSET('Trans Factors'!$B$13,$K122-1,T$14)*$H122</f>
        <v>0</v>
      </c>
      <c r="U122" s="20"/>
      <c r="V122" s="20">
        <f ca="1">OFFSET('Trans Factors'!$B$13,$O122-1,V$14)*$L122+OFFSET('Trans Factors'!$B$13,$K122-1,V$14)*$H122</f>
        <v>0</v>
      </c>
      <c r="X122" s="20">
        <f ca="1">OFFSET('Trans Factors'!$B$13,$O122-1,X$14)*$L122+OFFSET('Trans Factors'!$B$13,$K122-1,X$14)*$H122</f>
        <v>0</v>
      </c>
      <c r="Y122" s="9"/>
      <c r="Z122" s="20">
        <f ca="1">OFFSET('Trans Factors'!$B$13,$O122-1,Z$14)*$L122+OFFSET('Trans Factors'!$B$13,$K122-1,Z$14)*$H122</f>
        <v>0</v>
      </c>
      <c r="AA122" s="20"/>
      <c r="AB122" s="20">
        <f ca="1">OFFSET('Trans Factors'!$B$13,$O122-1,AB$14)*$L122+OFFSET('Trans Factors'!$B$13,$K122-1,AB$14)*$H122</f>
        <v>1294.5219427863499</v>
      </c>
      <c r="AC122" s="20"/>
      <c r="AD122" s="20">
        <f ca="1">OFFSET('Trans Factors'!$B$13,$O122-1,AD$14)*$L122+OFFSET('Trans Factors'!$B$13,$K122-1,AD$14)*$H122</f>
        <v>0</v>
      </c>
      <c r="AF122" s="20">
        <f t="shared" ca="1" si="105"/>
        <v>1294.5219427863499</v>
      </c>
      <c r="AH122" s="25" t="str">
        <f t="shared" ca="1" si="116"/>
        <v/>
      </c>
      <c r="AK122" s="97">
        <f ca="1">Function!AJ122</f>
        <v>0</v>
      </c>
      <c r="AL122" s="96">
        <f t="shared" ca="1" si="107"/>
        <v>0</v>
      </c>
      <c r="AN122" s="48">
        <f t="shared" ca="1" si="108"/>
        <v>0</v>
      </c>
      <c r="AO122" s="48"/>
      <c r="AP122" s="48">
        <f t="shared" ca="1" si="109"/>
        <v>0</v>
      </c>
      <c r="AQ122" s="48"/>
      <c r="AR122" s="48">
        <f t="shared" ca="1" si="110"/>
        <v>0</v>
      </c>
      <c r="AS122" s="48"/>
      <c r="AT122" s="48">
        <f t="shared" ca="1" si="111"/>
        <v>0</v>
      </c>
      <c r="AU122" s="48"/>
      <c r="AV122" s="48">
        <f t="shared" ca="1" si="112"/>
        <v>0</v>
      </c>
      <c r="AW122" s="48"/>
      <c r="AX122" s="48">
        <f t="shared" ca="1" si="113"/>
        <v>0</v>
      </c>
      <c r="AY122" s="48"/>
      <c r="AZ122" s="48">
        <f t="shared" ca="1" si="113"/>
        <v>0</v>
      </c>
      <c r="BA122" s="48"/>
      <c r="BB122" s="48">
        <f t="shared" ca="1" si="114"/>
        <v>0</v>
      </c>
      <c r="BD122" s="48">
        <f t="shared" ca="1" si="115"/>
        <v>0</v>
      </c>
    </row>
    <row r="123" spans="2:56" ht="13" x14ac:dyDescent="0.3">
      <c r="D123" s="1" t="s">
        <v>18</v>
      </c>
      <c r="K123" s="70"/>
      <c r="O123" s="70"/>
      <c r="AF123" s="20"/>
      <c r="AH123" s="25" t="str">
        <f t="shared" si="116"/>
        <v/>
      </c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D123" s="48"/>
    </row>
    <row r="124" spans="2:56" ht="13" x14ac:dyDescent="0.3">
      <c r="B124" s="18">
        <f>B122+1</f>
        <v>71</v>
      </c>
      <c r="D124" s="35" t="s">
        <v>110</v>
      </c>
      <c r="F124" s="48">
        <f ca="1">Function!T124</f>
        <v>0</v>
      </c>
      <c r="H124" s="76"/>
      <c r="K124" s="70">
        <f>_xlfn.IFNA(MATCH(J124,'Trans Factors'!$B$13:$B$450,0),0)</f>
        <v>0</v>
      </c>
      <c r="L124" s="48">
        <f t="shared" ca="1" si="104"/>
        <v>0</v>
      </c>
      <c r="O124" s="70">
        <f>_xlfn.IFNA(MATCH(N124,'Trans Factors'!$B$13:$B$450,0),0)</f>
        <v>0</v>
      </c>
      <c r="P124" s="20">
        <f ca="1">OFFSET('Trans Factors'!$B$13,$O124-1,P$14)*$L124+OFFSET('Trans Factors'!$B$13,$K124-1,P$14)*$H124</f>
        <v>0</v>
      </c>
      <c r="R124" s="20">
        <f ca="1">OFFSET('Trans Factors'!$B$13,$O124-1,R$14)*$L124+OFFSET('Trans Factors'!$B$13,$K124-1,R$14)*$H124</f>
        <v>0</v>
      </c>
      <c r="S124" s="20"/>
      <c r="T124" s="20">
        <f ca="1">OFFSET('Trans Factors'!$B$13,$O124-1,T$14)*$L124+OFFSET('Trans Factors'!$B$13,$K124-1,T$14)*$H124</f>
        <v>0</v>
      </c>
      <c r="U124" s="20"/>
      <c r="V124" s="20">
        <f ca="1">OFFSET('Trans Factors'!$B$13,$O124-1,V$14)*$L124+OFFSET('Trans Factors'!$B$13,$K124-1,V$14)*$H124</f>
        <v>0</v>
      </c>
      <c r="X124" s="20">
        <f ca="1">OFFSET('Trans Factors'!$B$13,$O124-1,X$14)*$L124+OFFSET('Trans Factors'!$B$13,$K124-1,X$14)*$H124</f>
        <v>0</v>
      </c>
      <c r="Y124" s="9"/>
      <c r="Z124" s="20">
        <f ca="1">OFFSET('Trans Factors'!$B$13,$O124-1,Z$14)*$L124+OFFSET('Trans Factors'!$B$13,$K124-1,Z$14)*$H124</f>
        <v>0</v>
      </c>
      <c r="AA124" s="20"/>
      <c r="AB124" s="20">
        <f ca="1">OFFSET('Trans Factors'!$B$13,$O124-1,AB$14)*$L124+OFFSET('Trans Factors'!$B$13,$K124-1,AB$14)*$H124</f>
        <v>0</v>
      </c>
      <c r="AC124" s="20"/>
      <c r="AD124" s="20">
        <f ca="1">OFFSET('Trans Factors'!$B$13,$O124-1,AD$14)*$L124+OFFSET('Trans Factors'!$B$13,$K124-1,AD$14)*$H124</f>
        <v>0</v>
      </c>
      <c r="AF124" s="20">
        <f t="shared" ref="AF124:AF131" ca="1" si="118">P124+R124+T124+V124+X124+Z124+AB124+AD124</f>
        <v>0</v>
      </c>
      <c r="AH124" s="25" t="str">
        <f t="shared" ca="1" si="116"/>
        <v/>
      </c>
      <c r="AK124" s="97">
        <f ca="1">Function!AJ124</f>
        <v>0</v>
      </c>
      <c r="AL124" s="96">
        <f t="shared" ca="1" si="107"/>
        <v>0</v>
      </c>
      <c r="AN124" s="48">
        <f t="shared" ca="1" si="108"/>
        <v>0</v>
      </c>
      <c r="AO124" s="48"/>
      <c r="AP124" s="48">
        <f t="shared" ca="1" si="109"/>
        <v>0</v>
      </c>
      <c r="AQ124" s="48"/>
      <c r="AR124" s="48">
        <f t="shared" ca="1" si="110"/>
        <v>0</v>
      </c>
      <c r="AS124" s="48"/>
      <c r="AT124" s="48">
        <f t="shared" ca="1" si="111"/>
        <v>0</v>
      </c>
      <c r="AU124" s="48"/>
      <c r="AV124" s="48">
        <f t="shared" ca="1" si="112"/>
        <v>0</v>
      </c>
      <c r="AW124" s="48"/>
      <c r="AX124" s="48">
        <f t="shared" ca="1" si="113"/>
        <v>0</v>
      </c>
      <c r="AY124" s="48"/>
      <c r="AZ124" s="48">
        <f t="shared" ca="1" si="113"/>
        <v>0</v>
      </c>
      <c r="BA124" s="48"/>
      <c r="BB124" s="48">
        <f t="shared" ca="1" si="114"/>
        <v>0</v>
      </c>
      <c r="BD124" s="48">
        <f t="shared" ca="1" si="115"/>
        <v>0</v>
      </c>
    </row>
    <row r="125" spans="2:56" ht="13" x14ac:dyDescent="0.3">
      <c r="B125" s="18">
        <f t="shared" ref="B125:B131" si="119">B124+1</f>
        <v>72</v>
      </c>
      <c r="D125" s="35" t="s">
        <v>111</v>
      </c>
      <c r="F125" s="48">
        <f ca="1">Function!T125</f>
        <v>2979.4091778992783</v>
      </c>
      <c r="H125" s="76"/>
      <c r="K125" s="70">
        <f>_xlfn.IFNA(MATCH(J125,'Trans Factors'!$B$13:$B$450,0),0)</f>
        <v>0</v>
      </c>
      <c r="L125" s="48">
        <f t="shared" ca="1" si="104"/>
        <v>2979.4091778992783</v>
      </c>
      <c r="N125" s="18" t="s">
        <v>266</v>
      </c>
      <c r="O125" s="70">
        <f>_xlfn.IFNA(MATCH(N125,'Trans Factors'!$B$13:$B$450,0),0)</f>
        <v>2</v>
      </c>
      <c r="P125" s="20">
        <f ca="1">OFFSET('Trans Factors'!$B$13,$O125-1,P$14)*$L125+OFFSET('Trans Factors'!$B$13,$K125-1,P$14)*$H125</f>
        <v>0</v>
      </c>
      <c r="R125" s="20">
        <f ca="1">OFFSET('Trans Factors'!$B$13,$O125-1,R$14)*$L125+OFFSET('Trans Factors'!$B$13,$K125-1,R$14)*$H125</f>
        <v>0</v>
      </c>
      <c r="S125" s="20"/>
      <c r="T125" s="20">
        <f ca="1">OFFSET('Trans Factors'!$B$13,$O125-1,T$14)*$L125+OFFSET('Trans Factors'!$B$13,$K125-1,T$14)*$H125</f>
        <v>0</v>
      </c>
      <c r="U125" s="20"/>
      <c r="V125" s="20">
        <f ca="1">OFFSET('Trans Factors'!$B$13,$O125-1,V$14)*$L125+OFFSET('Trans Factors'!$B$13,$K125-1,V$14)*$H125</f>
        <v>2511.6370198426134</v>
      </c>
      <c r="X125" s="20">
        <f ca="1">OFFSET('Trans Factors'!$B$13,$O125-1,X$14)*$L125+OFFSET('Trans Factors'!$B$13,$K125-1,X$14)*$H125</f>
        <v>0</v>
      </c>
      <c r="Y125" s="9"/>
      <c r="Z125" s="20">
        <f ca="1">OFFSET('Trans Factors'!$B$13,$O125-1,Z$14)*$L125+OFFSET('Trans Factors'!$B$13,$K125-1,Z$14)*$H125</f>
        <v>467.77215805666492</v>
      </c>
      <c r="AA125" s="20"/>
      <c r="AB125" s="20">
        <f ca="1">OFFSET('Trans Factors'!$B$13,$O125-1,AB$14)*$L125+OFFSET('Trans Factors'!$B$13,$K125-1,AB$14)*$H125</f>
        <v>0</v>
      </c>
      <c r="AC125" s="20"/>
      <c r="AD125" s="20">
        <f ca="1">OFFSET('Trans Factors'!$B$13,$O125-1,AD$14)*$L125+OFFSET('Trans Factors'!$B$13,$K125-1,AD$14)*$H125</f>
        <v>0</v>
      </c>
      <c r="AF125" s="20">
        <f t="shared" ca="1" si="118"/>
        <v>2979.4091778992783</v>
      </c>
      <c r="AH125" s="25" t="str">
        <f t="shared" ca="1" si="116"/>
        <v/>
      </c>
      <c r="AK125" s="97">
        <f ca="1">Function!AJ125</f>
        <v>1272.3132042898285</v>
      </c>
      <c r="AL125" s="96">
        <f t="shared" ca="1" si="107"/>
        <v>0.42703540478012186</v>
      </c>
      <c r="AN125" s="48">
        <f t="shared" ca="1" si="108"/>
        <v>0</v>
      </c>
      <c r="AO125" s="48"/>
      <c r="AP125" s="48">
        <f t="shared" ca="1" si="109"/>
        <v>0</v>
      </c>
      <c r="AQ125" s="48"/>
      <c r="AR125" s="48">
        <f t="shared" ca="1" si="110"/>
        <v>0</v>
      </c>
      <c r="AS125" s="48"/>
      <c r="AT125" s="48">
        <f t="shared" ca="1" si="111"/>
        <v>1072.5579314292295</v>
      </c>
      <c r="AU125" s="48"/>
      <c r="AV125" s="48">
        <f t="shared" ca="1" si="112"/>
        <v>0</v>
      </c>
      <c r="AW125" s="48"/>
      <c r="AX125" s="48">
        <f t="shared" ca="1" si="113"/>
        <v>199.75527286059904</v>
      </c>
      <c r="AY125" s="48"/>
      <c r="AZ125" s="48">
        <f t="shared" ca="1" si="113"/>
        <v>0</v>
      </c>
      <c r="BA125" s="48"/>
      <c r="BB125" s="48">
        <f t="shared" ca="1" si="114"/>
        <v>0</v>
      </c>
      <c r="BD125" s="48">
        <f t="shared" ca="1" si="115"/>
        <v>1272.3132042898285</v>
      </c>
    </row>
    <row r="126" spans="2:56" ht="13" x14ac:dyDescent="0.3">
      <c r="B126" s="18">
        <f t="shared" si="119"/>
        <v>73</v>
      </c>
      <c r="D126" s="35" t="s">
        <v>113</v>
      </c>
      <c r="F126" s="48">
        <f ca="1">Function!T126</f>
        <v>0</v>
      </c>
      <c r="H126" s="76"/>
      <c r="K126" s="70">
        <f>_xlfn.IFNA(MATCH(J126,'Trans Factors'!$B$13:$B$450,0),0)</f>
        <v>0</v>
      </c>
      <c r="L126" s="48">
        <f t="shared" ca="1" si="104"/>
        <v>0</v>
      </c>
      <c r="O126" s="70">
        <f>_xlfn.IFNA(MATCH(N126,'Trans Factors'!$B$13:$B$450,0),0)</f>
        <v>0</v>
      </c>
      <c r="P126" s="20">
        <f ca="1">OFFSET('Trans Factors'!$B$13,$O126-1,P$14)*$L126+OFFSET('Trans Factors'!$B$13,$K126-1,P$14)*$H126</f>
        <v>0</v>
      </c>
      <c r="R126" s="20">
        <f ca="1">OFFSET('Trans Factors'!$B$13,$O126-1,R$14)*$L126+OFFSET('Trans Factors'!$B$13,$K126-1,R$14)*$H126</f>
        <v>0</v>
      </c>
      <c r="S126" s="20"/>
      <c r="T126" s="20">
        <f ca="1">OFFSET('Trans Factors'!$B$13,$O126-1,T$14)*$L126+OFFSET('Trans Factors'!$B$13,$K126-1,T$14)*$H126</f>
        <v>0</v>
      </c>
      <c r="U126" s="20"/>
      <c r="V126" s="20">
        <f ca="1">OFFSET('Trans Factors'!$B$13,$O126-1,V$14)*$L126+OFFSET('Trans Factors'!$B$13,$K126-1,V$14)*$H126</f>
        <v>0</v>
      </c>
      <c r="X126" s="20">
        <f ca="1">OFFSET('Trans Factors'!$B$13,$O126-1,X$14)*$L126+OFFSET('Trans Factors'!$B$13,$K126-1,X$14)*$H126</f>
        <v>0</v>
      </c>
      <c r="Y126" s="9"/>
      <c r="Z126" s="20">
        <f ca="1">OFFSET('Trans Factors'!$B$13,$O126-1,Z$14)*$L126+OFFSET('Trans Factors'!$B$13,$K126-1,Z$14)*$H126</f>
        <v>0</v>
      </c>
      <c r="AA126" s="20"/>
      <c r="AB126" s="20">
        <f ca="1">OFFSET('Trans Factors'!$B$13,$O126-1,AB$14)*$L126+OFFSET('Trans Factors'!$B$13,$K126-1,AB$14)*$H126</f>
        <v>0</v>
      </c>
      <c r="AC126" s="20"/>
      <c r="AD126" s="20">
        <f ca="1">OFFSET('Trans Factors'!$B$13,$O126-1,AD$14)*$L126+OFFSET('Trans Factors'!$B$13,$K126-1,AD$14)*$H126</f>
        <v>0</v>
      </c>
      <c r="AF126" s="20">
        <f t="shared" ca="1" si="118"/>
        <v>0</v>
      </c>
      <c r="AH126" s="25" t="str">
        <f t="shared" ca="1" si="116"/>
        <v/>
      </c>
      <c r="AK126" s="97">
        <f ca="1">Function!AJ126</f>
        <v>0</v>
      </c>
      <c r="AL126" s="96">
        <f t="shared" ca="1" si="107"/>
        <v>0</v>
      </c>
      <c r="AN126" s="48">
        <f t="shared" ca="1" si="108"/>
        <v>0</v>
      </c>
      <c r="AO126" s="48"/>
      <c r="AP126" s="48">
        <f t="shared" ca="1" si="109"/>
        <v>0</v>
      </c>
      <c r="AQ126" s="48"/>
      <c r="AR126" s="48">
        <f t="shared" ca="1" si="110"/>
        <v>0</v>
      </c>
      <c r="AS126" s="48"/>
      <c r="AT126" s="48">
        <f t="shared" ca="1" si="111"/>
        <v>0</v>
      </c>
      <c r="AU126" s="48"/>
      <c r="AV126" s="48">
        <f t="shared" ca="1" si="112"/>
        <v>0</v>
      </c>
      <c r="AW126" s="48"/>
      <c r="AX126" s="48">
        <f t="shared" ca="1" si="113"/>
        <v>0</v>
      </c>
      <c r="AY126" s="48"/>
      <c r="AZ126" s="48">
        <f t="shared" ca="1" si="113"/>
        <v>0</v>
      </c>
      <c r="BA126" s="48"/>
      <c r="BB126" s="48">
        <f t="shared" ca="1" si="114"/>
        <v>0</v>
      </c>
      <c r="BD126" s="48">
        <f t="shared" ca="1" si="115"/>
        <v>0</v>
      </c>
    </row>
    <row r="127" spans="2:56" ht="13" x14ac:dyDescent="0.3">
      <c r="B127" s="18">
        <f t="shared" si="119"/>
        <v>74</v>
      </c>
      <c r="D127" s="35" t="s">
        <v>114</v>
      </c>
      <c r="F127" s="48">
        <f ca="1">Function!T127</f>
        <v>2298.0747132235433</v>
      </c>
      <c r="H127" s="76"/>
      <c r="K127" s="70">
        <f>_xlfn.IFNA(MATCH(J127,'Trans Factors'!$B$13:$B$450,0),0)</f>
        <v>0</v>
      </c>
      <c r="L127" s="48">
        <f t="shared" ca="1" si="104"/>
        <v>2298.0747132235433</v>
      </c>
      <c r="N127" s="18" t="s">
        <v>266</v>
      </c>
      <c r="O127" s="70">
        <f>_xlfn.IFNA(MATCH(N127,'Trans Factors'!$B$13:$B$450,0),0)</f>
        <v>2</v>
      </c>
      <c r="P127" s="20">
        <f ca="1">OFFSET('Trans Factors'!$B$13,$O127-1,P$14)*$L127+OFFSET('Trans Factors'!$B$13,$K127-1,P$14)*$H127</f>
        <v>0</v>
      </c>
      <c r="R127" s="20">
        <f ca="1">OFFSET('Trans Factors'!$B$13,$O127-1,R$14)*$L127+OFFSET('Trans Factors'!$B$13,$K127-1,R$14)*$H127</f>
        <v>0</v>
      </c>
      <c r="S127" s="20"/>
      <c r="T127" s="20">
        <f ca="1">OFFSET('Trans Factors'!$B$13,$O127-1,T$14)*$L127+OFFSET('Trans Factors'!$B$13,$K127-1,T$14)*$H127</f>
        <v>0</v>
      </c>
      <c r="U127" s="20"/>
      <c r="V127" s="20">
        <f ca="1">OFFSET('Trans Factors'!$B$13,$O127-1,V$14)*$L127+OFFSET('Trans Factors'!$B$13,$K127-1,V$14)*$H127</f>
        <v>1937.2731905746898</v>
      </c>
      <c r="X127" s="20">
        <f ca="1">OFFSET('Trans Factors'!$B$13,$O127-1,X$14)*$L127+OFFSET('Trans Factors'!$B$13,$K127-1,X$14)*$H127</f>
        <v>0</v>
      </c>
      <c r="Y127" s="9"/>
      <c r="Z127" s="20">
        <f ca="1">OFFSET('Trans Factors'!$B$13,$O127-1,Z$14)*$L127+OFFSET('Trans Factors'!$B$13,$K127-1,Z$14)*$H127</f>
        <v>360.80152264885345</v>
      </c>
      <c r="AA127" s="20"/>
      <c r="AB127" s="20">
        <f ca="1">OFFSET('Trans Factors'!$B$13,$O127-1,AB$14)*$L127+OFFSET('Trans Factors'!$B$13,$K127-1,AB$14)*$H127</f>
        <v>0</v>
      </c>
      <c r="AC127" s="20"/>
      <c r="AD127" s="20">
        <f ca="1">OFFSET('Trans Factors'!$B$13,$O127-1,AD$14)*$L127+OFFSET('Trans Factors'!$B$13,$K127-1,AD$14)*$H127</f>
        <v>0</v>
      </c>
      <c r="AF127" s="20">
        <f t="shared" ca="1" si="118"/>
        <v>2298.0747132235433</v>
      </c>
      <c r="AH127" s="25" t="str">
        <f t="shared" ca="1" si="116"/>
        <v/>
      </c>
      <c r="AK127" s="97">
        <f ca="1">Function!AJ127</f>
        <v>341.78251220876245</v>
      </c>
      <c r="AL127" s="96">
        <f t="shared" ca="1" si="107"/>
        <v>0.14872558765913188</v>
      </c>
      <c r="AN127" s="48">
        <f t="shared" ca="1" si="108"/>
        <v>0</v>
      </c>
      <c r="AO127" s="48"/>
      <c r="AP127" s="48">
        <f t="shared" ca="1" si="109"/>
        <v>0</v>
      </c>
      <c r="AQ127" s="48"/>
      <c r="AR127" s="48">
        <f t="shared" ca="1" si="110"/>
        <v>0</v>
      </c>
      <c r="AS127" s="48"/>
      <c r="AT127" s="48">
        <f t="shared" ca="1" si="111"/>
        <v>288.12209372450212</v>
      </c>
      <c r="AU127" s="48"/>
      <c r="AV127" s="48">
        <f t="shared" ca="1" si="112"/>
        <v>0</v>
      </c>
      <c r="AW127" s="48"/>
      <c r="AX127" s="48">
        <f t="shared" ca="1" si="113"/>
        <v>53.660418484260312</v>
      </c>
      <c r="AY127" s="48"/>
      <c r="AZ127" s="48">
        <f t="shared" ca="1" si="113"/>
        <v>0</v>
      </c>
      <c r="BA127" s="48"/>
      <c r="BB127" s="48">
        <f t="shared" ca="1" si="114"/>
        <v>0</v>
      </c>
      <c r="BD127" s="48">
        <f t="shared" ca="1" si="115"/>
        <v>341.78251220876245</v>
      </c>
    </row>
    <row r="128" spans="2:56" ht="13" x14ac:dyDescent="0.3">
      <c r="B128" s="18">
        <f t="shared" si="119"/>
        <v>75</v>
      </c>
      <c r="D128" s="35" t="s">
        <v>39</v>
      </c>
      <c r="F128" s="48">
        <f ca="1">Function!T128</f>
        <v>0</v>
      </c>
      <c r="H128" s="76"/>
      <c r="K128" s="70">
        <f>_xlfn.IFNA(MATCH(J128,'Trans Factors'!$B$13:$B$450,0),0)</f>
        <v>0</v>
      </c>
      <c r="L128" s="48">
        <f t="shared" ca="1" si="104"/>
        <v>0</v>
      </c>
      <c r="O128" s="70">
        <f>_xlfn.IFNA(MATCH(N128,'Trans Factors'!$B$13:$B$450,0),0)</f>
        <v>0</v>
      </c>
      <c r="P128" s="20">
        <f ca="1">OFFSET('Trans Factors'!$B$13,$O128-1,P$14)*$L128+OFFSET('Trans Factors'!$B$13,$K128-1,P$14)*$H128</f>
        <v>0</v>
      </c>
      <c r="R128" s="20">
        <f ca="1">OFFSET('Trans Factors'!$B$13,$O128-1,R$14)*$L128+OFFSET('Trans Factors'!$B$13,$K128-1,R$14)*$H128</f>
        <v>0</v>
      </c>
      <c r="S128" s="20"/>
      <c r="T128" s="20">
        <f ca="1">OFFSET('Trans Factors'!$B$13,$O128-1,T$14)*$L128+OFFSET('Trans Factors'!$B$13,$K128-1,T$14)*$H128</f>
        <v>0</v>
      </c>
      <c r="U128" s="20"/>
      <c r="V128" s="20">
        <f ca="1">OFFSET('Trans Factors'!$B$13,$O128-1,V$14)*$L128+OFFSET('Trans Factors'!$B$13,$K128-1,V$14)*$H128</f>
        <v>0</v>
      </c>
      <c r="X128" s="20">
        <f ca="1">OFFSET('Trans Factors'!$B$13,$O128-1,X$14)*$L128+OFFSET('Trans Factors'!$B$13,$K128-1,X$14)*$H128</f>
        <v>0</v>
      </c>
      <c r="Y128" s="9"/>
      <c r="Z128" s="20">
        <f ca="1">OFFSET('Trans Factors'!$B$13,$O128-1,Z$14)*$L128+OFFSET('Trans Factors'!$B$13,$K128-1,Z$14)*$H128</f>
        <v>0</v>
      </c>
      <c r="AA128" s="20"/>
      <c r="AB128" s="20">
        <f ca="1">OFFSET('Trans Factors'!$B$13,$O128-1,AB$14)*$L128+OFFSET('Trans Factors'!$B$13,$K128-1,AB$14)*$H128</f>
        <v>0</v>
      </c>
      <c r="AC128" s="20"/>
      <c r="AD128" s="20">
        <f ca="1">OFFSET('Trans Factors'!$B$13,$O128-1,AD$14)*$L128+OFFSET('Trans Factors'!$B$13,$K128-1,AD$14)*$H128</f>
        <v>0</v>
      </c>
      <c r="AF128" s="20">
        <f t="shared" ca="1" si="118"/>
        <v>0</v>
      </c>
      <c r="AH128" s="25" t="str">
        <f t="shared" ca="1" si="116"/>
        <v/>
      </c>
      <c r="AK128" s="97">
        <f ca="1">Function!AJ128</f>
        <v>0</v>
      </c>
      <c r="AL128" s="96">
        <f t="shared" ca="1" si="107"/>
        <v>0</v>
      </c>
      <c r="AN128" s="48">
        <f t="shared" ca="1" si="108"/>
        <v>0</v>
      </c>
      <c r="AO128" s="48"/>
      <c r="AP128" s="48">
        <f t="shared" ca="1" si="109"/>
        <v>0</v>
      </c>
      <c r="AQ128" s="48"/>
      <c r="AR128" s="48">
        <f t="shared" ca="1" si="110"/>
        <v>0</v>
      </c>
      <c r="AS128" s="48"/>
      <c r="AT128" s="48">
        <f t="shared" ca="1" si="111"/>
        <v>0</v>
      </c>
      <c r="AU128" s="48"/>
      <c r="AV128" s="48">
        <f t="shared" ca="1" si="112"/>
        <v>0</v>
      </c>
      <c r="AW128" s="48"/>
      <c r="AX128" s="48">
        <f t="shared" ca="1" si="113"/>
        <v>0</v>
      </c>
      <c r="AY128" s="48"/>
      <c r="AZ128" s="48">
        <f t="shared" ca="1" si="113"/>
        <v>0</v>
      </c>
      <c r="BA128" s="48"/>
      <c r="BB128" s="48">
        <f t="shared" ca="1" si="114"/>
        <v>0</v>
      </c>
      <c r="BD128" s="48">
        <f t="shared" ca="1" si="115"/>
        <v>0</v>
      </c>
    </row>
    <row r="129" spans="2:56" ht="13" x14ac:dyDescent="0.3">
      <c r="B129" s="18">
        <f t="shared" si="119"/>
        <v>76</v>
      </c>
      <c r="D129" s="35" t="s">
        <v>116</v>
      </c>
      <c r="F129" s="48">
        <f ca="1">Function!T129</f>
        <v>0</v>
      </c>
      <c r="H129" s="76"/>
      <c r="K129" s="70">
        <f>_xlfn.IFNA(MATCH(J129,'Trans Factors'!$B$13:$B$450,0),0)</f>
        <v>0</v>
      </c>
      <c r="L129" s="48">
        <f t="shared" ca="1" si="104"/>
        <v>0</v>
      </c>
      <c r="O129" s="70">
        <f>_xlfn.IFNA(MATCH(N129,'Trans Factors'!$B$13:$B$450,0),0)</f>
        <v>0</v>
      </c>
      <c r="P129" s="20">
        <f ca="1">OFFSET('Trans Factors'!$B$13,$O129-1,P$14)*$L129+OFFSET('Trans Factors'!$B$13,$K129-1,P$14)*$H129</f>
        <v>0</v>
      </c>
      <c r="R129" s="20">
        <f ca="1">OFFSET('Trans Factors'!$B$13,$O129-1,R$14)*$L129+OFFSET('Trans Factors'!$B$13,$K129-1,R$14)*$H129</f>
        <v>0</v>
      </c>
      <c r="S129" s="20"/>
      <c r="T129" s="20">
        <f ca="1">OFFSET('Trans Factors'!$B$13,$O129-1,T$14)*$L129+OFFSET('Trans Factors'!$B$13,$K129-1,T$14)*$H129</f>
        <v>0</v>
      </c>
      <c r="U129" s="20"/>
      <c r="V129" s="20">
        <f ca="1">OFFSET('Trans Factors'!$B$13,$O129-1,V$14)*$L129+OFFSET('Trans Factors'!$B$13,$K129-1,V$14)*$H129</f>
        <v>0</v>
      </c>
      <c r="X129" s="20">
        <f ca="1">OFFSET('Trans Factors'!$B$13,$O129-1,X$14)*$L129+OFFSET('Trans Factors'!$B$13,$K129-1,X$14)*$H129</f>
        <v>0</v>
      </c>
      <c r="Y129" s="9"/>
      <c r="Z129" s="20">
        <f ca="1">OFFSET('Trans Factors'!$B$13,$O129-1,Z$14)*$L129+OFFSET('Trans Factors'!$B$13,$K129-1,Z$14)*$H129</f>
        <v>0</v>
      </c>
      <c r="AA129" s="20"/>
      <c r="AB129" s="20">
        <f ca="1">OFFSET('Trans Factors'!$B$13,$O129-1,AB$14)*$L129+OFFSET('Trans Factors'!$B$13,$K129-1,AB$14)*$H129</f>
        <v>0</v>
      </c>
      <c r="AC129" s="20"/>
      <c r="AD129" s="20">
        <f ca="1">OFFSET('Trans Factors'!$B$13,$O129-1,AD$14)*$L129+OFFSET('Trans Factors'!$B$13,$K129-1,AD$14)*$H129</f>
        <v>0</v>
      </c>
      <c r="AF129" s="20">
        <f t="shared" ca="1" si="118"/>
        <v>0</v>
      </c>
      <c r="AH129" s="25" t="str">
        <f t="shared" ca="1" si="116"/>
        <v/>
      </c>
      <c r="AK129" s="97">
        <f ca="1">Function!AJ129</f>
        <v>0</v>
      </c>
      <c r="AL129" s="96">
        <f t="shared" ca="1" si="107"/>
        <v>0</v>
      </c>
      <c r="AN129" s="48">
        <f t="shared" ca="1" si="108"/>
        <v>0</v>
      </c>
      <c r="AO129" s="48"/>
      <c r="AP129" s="48">
        <f t="shared" ca="1" si="109"/>
        <v>0</v>
      </c>
      <c r="AQ129" s="48"/>
      <c r="AR129" s="48">
        <f t="shared" ca="1" si="110"/>
        <v>0</v>
      </c>
      <c r="AS129" s="48"/>
      <c r="AT129" s="48">
        <f t="shared" ca="1" si="111"/>
        <v>0</v>
      </c>
      <c r="AU129" s="48"/>
      <c r="AV129" s="48">
        <f t="shared" ca="1" si="112"/>
        <v>0</v>
      </c>
      <c r="AW129" s="48"/>
      <c r="AX129" s="48">
        <f t="shared" ca="1" si="113"/>
        <v>0</v>
      </c>
      <c r="AY129" s="48"/>
      <c r="AZ129" s="48">
        <f t="shared" ca="1" si="113"/>
        <v>0</v>
      </c>
      <c r="BA129" s="48"/>
      <c r="BB129" s="48">
        <f t="shared" ca="1" si="114"/>
        <v>0</v>
      </c>
      <c r="BD129" s="48">
        <f t="shared" ca="1" si="115"/>
        <v>0</v>
      </c>
    </row>
    <row r="130" spans="2:56" ht="13" x14ac:dyDescent="0.3">
      <c r="B130" s="18">
        <f t="shared" si="119"/>
        <v>77</v>
      </c>
      <c r="D130" s="35" t="s">
        <v>117</v>
      </c>
      <c r="F130" s="48">
        <f ca="1">Function!T130</f>
        <v>0</v>
      </c>
      <c r="H130" s="76"/>
      <c r="K130" s="70">
        <f>_xlfn.IFNA(MATCH(J130,'Trans Factors'!$B$13:$B$450,0),0)</f>
        <v>0</v>
      </c>
      <c r="L130" s="48">
        <f t="shared" ca="1" si="104"/>
        <v>0</v>
      </c>
      <c r="O130" s="70">
        <f>_xlfn.IFNA(MATCH(N130,'Trans Factors'!$B$13:$B$450,0),0)</f>
        <v>0</v>
      </c>
      <c r="P130" s="20">
        <f ca="1">OFFSET('Trans Factors'!$B$13,$O130-1,P$14)*$L130+OFFSET('Trans Factors'!$B$13,$K130-1,P$14)*$H130</f>
        <v>0</v>
      </c>
      <c r="R130" s="20">
        <f ca="1">OFFSET('Trans Factors'!$B$13,$O130-1,R$14)*$L130+OFFSET('Trans Factors'!$B$13,$K130-1,R$14)*$H130</f>
        <v>0</v>
      </c>
      <c r="S130" s="20"/>
      <c r="T130" s="20">
        <f ca="1">OFFSET('Trans Factors'!$B$13,$O130-1,T$14)*$L130+OFFSET('Trans Factors'!$B$13,$K130-1,T$14)*$H130</f>
        <v>0</v>
      </c>
      <c r="U130" s="20"/>
      <c r="V130" s="20">
        <f ca="1">OFFSET('Trans Factors'!$B$13,$O130-1,V$14)*$L130+OFFSET('Trans Factors'!$B$13,$K130-1,V$14)*$H130</f>
        <v>0</v>
      </c>
      <c r="X130" s="20">
        <f ca="1">OFFSET('Trans Factors'!$B$13,$O130-1,X$14)*$L130+OFFSET('Trans Factors'!$B$13,$K130-1,X$14)*$H130</f>
        <v>0</v>
      </c>
      <c r="Y130" s="9"/>
      <c r="Z130" s="20">
        <f ca="1">OFFSET('Trans Factors'!$B$13,$O130-1,Z$14)*$L130+OFFSET('Trans Factors'!$B$13,$K130-1,Z$14)*$H130</f>
        <v>0</v>
      </c>
      <c r="AA130" s="20"/>
      <c r="AB130" s="20">
        <f ca="1">OFFSET('Trans Factors'!$B$13,$O130-1,AB$14)*$L130+OFFSET('Trans Factors'!$B$13,$K130-1,AB$14)*$H130</f>
        <v>0</v>
      </c>
      <c r="AC130" s="20"/>
      <c r="AD130" s="20">
        <f ca="1">OFFSET('Trans Factors'!$B$13,$O130-1,AD$14)*$L130+OFFSET('Trans Factors'!$B$13,$K130-1,AD$14)*$H130</f>
        <v>0</v>
      </c>
      <c r="AF130" s="20">
        <f t="shared" ca="1" si="118"/>
        <v>0</v>
      </c>
      <c r="AH130" s="25" t="str">
        <f t="shared" ca="1" si="116"/>
        <v/>
      </c>
      <c r="AK130" s="97">
        <f ca="1">Function!AJ130</f>
        <v>0</v>
      </c>
      <c r="AL130" s="96">
        <f t="shared" ca="1" si="107"/>
        <v>0</v>
      </c>
      <c r="AN130" s="48">
        <f t="shared" ca="1" si="108"/>
        <v>0</v>
      </c>
      <c r="AO130" s="48"/>
      <c r="AP130" s="48">
        <f t="shared" ca="1" si="109"/>
        <v>0</v>
      </c>
      <c r="AQ130" s="48"/>
      <c r="AR130" s="48">
        <f t="shared" ca="1" si="110"/>
        <v>0</v>
      </c>
      <c r="AS130" s="48"/>
      <c r="AT130" s="48">
        <f t="shared" ca="1" si="111"/>
        <v>0</v>
      </c>
      <c r="AU130" s="48"/>
      <c r="AV130" s="48">
        <f t="shared" ca="1" si="112"/>
        <v>0</v>
      </c>
      <c r="AW130" s="48"/>
      <c r="AX130" s="48">
        <f t="shared" ca="1" si="113"/>
        <v>0</v>
      </c>
      <c r="AY130" s="48"/>
      <c r="AZ130" s="48">
        <f t="shared" ca="1" si="113"/>
        <v>0</v>
      </c>
      <c r="BA130" s="48"/>
      <c r="BB130" s="48">
        <f t="shared" ca="1" si="114"/>
        <v>0</v>
      </c>
      <c r="BD130" s="48">
        <f t="shared" ca="1" si="115"/>
        <v>0</v>
      </c>
    </row>
    <row r="131" spans="2:56" ht="13" x14ac:dyDescent="0.3">
      <c r="B131" s="18">
        <f t="shared" si="119"/>
        <v>78</v>
      </c>
      <c r="D131" s="35" t="s">
        <v>118</v>
      </c>
      <c r="F131" s="48">
        <f ca="1">Function!T131</f>
        <v>0</v>
      </c>
      <c r="H131" s="76"/>
      <c r="K131" s="70">
        <f>_xlfn.IFNA(MATCH(J131,'Trans Factors'!$B$13:$B$450,0),0)</f>
        <v>0</v>
      </c>
      <c r="L131" s="48">
        <f t="shared" ca="1" si="104"/>
        <v>0</v>
      </c>
      <c r="O131" s="70">
        <f>_xlfn.IFNA(MATCH(N131,'Trans Factors'!$B$13:$B$450,0),0)</f>
        <v>0</v>
      </c>
      <c r="P131" s="20">
        <f ca="1">OFFSET('Trans Factors'!$B$13,$O131-1,P$14)*$L131+OFFSET('Trans Factors'!$B$13,$K131-1,P$14)*$H131</f>
        <v>0</v>
      </c>
      <c r="R131" s="20">
        <f ca="1">OFFSET('Trans Factors'!$B$13,$O131-1,R$14)*$L131+OFFSET('Trans Factors'!$B$13,$K131-1,R$14)*$H131</f>
        <v>0</v>
      </c>
      <c r="S131" s="20"/>
      <c r="T131" s="20">
        <f ca="1">OFFSET('Trans Factors'!$B$13,$O131-1,T$14)*$L131+OFFSET('Trans Factors'!$B$13,$K131-1,T$14)*$H131</f>
        <v>0</v>
      </c>
      <c r="U131" s="20"/>
      <c r="V131" s="20">
        <f ca="1">OFFSET('Trans Factors'!$B$13,$O131-1,V$14)*$L131+OFFSET('Trans Factors'!$B$13,$K131-1,V$14)*$H131</f>
        <v>0</v>
      </c>
      <c r="X131" s="20">
        <f ca="1">OFFSET('Trans Factors'!$B$13,$O131-1,X$14)*$L131+OFFSET('Trans Factors'!$B$13,$K131-1,X$14)*$H131</f>
        <v>0</v>
      </c>
      <c r="Y131" s="9"/>
      <c r="Z131" s="20">
        <f ca="1">OFFSET('Trans Factors'!$B$13,$O131-1,Z$14)*$L131+OFFSET('Trans Factors'!$B$13,$K131-1,Z$14)*$H131</f>
        <v>0</v>
      </c>
      <c r="AA131" s="20"/>
      <c r="AB131" s="20">
        <f ca="1">OFFSET('Trans Factors'!$B$13,$O131-1,AB$14)*$L131+OFFSET('Trans Factors'!$B$13,$K131-1,AB$14)*$H131</f>
        <v>0</v>
      </c>
      <c r="AC131" s="20"/>
      <c r="AD131" s="20">
        <f ca="1">OFFSET('Trans Factors'!$B$13,$O131-1,AD$14)*$L131+OFFSET('Trans Factors'!$B$13,$K131-1,AD$14)*$H131</f>
        <v>0</v>
      </c>
      <c r="AF131" s="20">
        <f t="shared" ca="1" si="118"/>
        <v>0</v>
      </c>
      <c r="AH131" s="25" t="str">
        <f t="shared" ca="1" si="116"/>
        <v/>
      </c>
      <c r="AK131" s="97">
        <f ca="1">Function!AJ131</f>
        <v>0</v>
      </c>
      <c r="AL131" s="96">
        <f t="shared" ca="1" si="107"/>
        <v>0</v>
      </c>
      <c r="AN131" s="48">
        <f t="shared" ca="1" si="108"/>
        <v>0</v>
      </c>
      <c r="AO131" s="48"/>
      <c r="AP131" s="48">
        <f t="shared" ca="1" si="109"/>
        <v>0</v>
      </c>
      <c r="AQ131" s="48"/>
      <c r="AR131" s="48">
        <f t="shared" ca="1" si="110"/>
        <v>0</v>
      </c>
      <c r="AS131" s="48"/>
      <c r="AT131" s="48">
        <f t="shared" ca="1" si="111"/>
        <v>0</v>
      </c>
      <c r="AU131" s="48"/>
      <c r="AV131" s="48">
        <f t="shared" ca="1" si="112"/>
        <v>0</v>
      </c>
      <c r="AW131" s="48"/>
      <c r="AX131" s="48">
        <f t="shared" ca="1" si="113"/>
        <v>0</v>
      </c>
      <c r="AY131" s="48"/>
      <c r="AZ131" s="48">
        <f t="shared" ca="1" si="113"/>
        <v>0</v>
      </c>
      <c r="BA131" s="48"/>
      <c r="BB131" s="48">
        <f t="shared" ca="1" si="114"/>
        <v>0</v>
      </c>
      <c r="BD131" s="48">
        <f t="shared" ca="1" si="115"/>
        <v>0</v>
      </c>
    </row>
    <row r="132" spans="2:56" ht="13" x14ac:dyDescent="0.3">
      <c r="D132" s="1" t="s">
        <v>19</v>
      </c>
      <c r="K132" s="70"/>
      <c r="O132" s="70"/>
      <c r="AH132" s="25" t="str">
        <f t="shared" si="116"/>
        <v/>
      </c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D132" s="48"/>
    </row>
    <row r="133" spans="2:56" ht="13" x14ac:dyDescent="0.3">
      <c r="B133" s="18">
        <f>B131+1</f>
        <v>79</v>
      </c>
      <c r="D133" s="1" t="s">
        <v>119</v>
      </c>
      <c r="F133" s="48">
        <f ca="1">Function!T133</f>
        <v>3740.6240013717302</v>
      </c>
      <c r="K133" s="70">
        <f>_xlfn.IFNA(MATCH(J133,'Trans Factors'!$B$13:$B$450,0),0)</f>
        <v>0</v>
      </c>
      <c r="L133" s="48">
        <f t="shared" ca="1" si="104"/>
        <v>3740.6240013717302</v>
      </c>
      <c r="N133" s="18" t="s">
        <v>267</v>
      </c>
      <c r="O133" s="70">
        <f>_xlfn.IFNA(MATCH(N133,'Trans Factors'!$B$13:$B$450,0),0)</f>
        <v>71</v>
      </c>
      <c r="P133" s="20">
        <f ca="1">OFFSET('Trans Factors'!$B$13,$O133-1,P$14)*$L133+OFFSET('Trans Factors'!$B$13,$K133-1,P$14)*$H133</f>
        <v>354.23863805992426</v>
      </c>
      <c r="R133" s="20">
        <f ca="1">OFFSET('Trans Factors'!$B$13,$O133-1,R$14)*$L133+OFFSET('Trans Factors'!$B$13,$K133-1,R$14)*$H133</f>
        <v>65.831967530122199</v>
      </c>
      <c r="S133" s="20"/>
      <c r="T133" s="20">
        <f ca="1">OFFSET('Trans Factors'!$B$13,$O133-1,T$14)*$L133+OFFSET('Trans Factors'!$B$13,$K133-1,T$14)*$H133</f>
        <v>842.46364528453819</v>
      </c>
      <c r="U133" s="20"/>
      <c r="V133" s="20">
        <f ca="1">OFFSET('Trans Factors'!$B$13,$O133-1,V$14)*$L133+OFFSET('Trans Factors'!$B$13,$K133-1,V$14)*$H133</f>
        <v>1983.3291254085452</v>
      </c>
      <c r="X133" s="20">
        <f ca="1">OFFSET('Trans Factors'!$B$13,$O133-1,X$14)*$L133+OFFSET('Trans Factors'!$B$13,$K133-1,X$14)*$H133</f>
        <v>28.857502119761179</v>
      </c>
      <c r="Y133" s="9"/>
      <c r="Z133" s="20">
        <f ca="1">OFFSET('Trans Factors'!$B$13,$O133-1,Z$14)*$L133+OFFSET('Trans Factors'!$B$13,$K133-1,Z$14)*$H133</f>
        <v>450.44740408322184</v>
      </c>
      <c r="AA133" s="20"/>
      <c r="AB133" s="20">
        <f ca="1">OFFSET('Trans Factors'!$B$13,$O133-1,AB$14)*$L133+OFFSET('Trans Factors'!$B$13,$K133-1,AB$14)*$H133</f>
        <v>15.4557188856175</v>
      </c>
      <c r="AC133" s="20"/>
      <c r="AD133" s="20">
        <f ca="1">OFFSET('Trans Factors'!$B$13,$O133-1,AD$14)*$L133+OFFSET('Trans Factors'!$B$13,$K133-1,AD$14)*$H133</f>
        <v>0</v>
      </c>
      <c r="AF133" s="20">
        <f t="shared" ref="AF133:AF136" ca="1" si="120">P133+R133+T133+V133+X133+Z133+AB133+AD133</f>
        <v>3740.6240013717302</v>
      </c>
      <c r="AH133" s="25" t="str">
        <f t="shared" ca="1" si="116"/>
        <v/>
      </c>
      <c r="AK133" s="89">
        <f ca="1">Function!AJ133</f>
        <v>1805.5576216432</v>
      </c>
      <c r="AL133" s="96">
        <f t="shared" ca="1" si="107"/>
        <v>0.48268888318662373</v>
      </c>
      <c r="AN133" s="48">
        <f t="shared" ca="1" si="108"/>
        <v>170.98705258669546</v>
      </c>
      <c r="AO133" s="48"/>
      <c r="AP133" s="48">
        <f t="shared" ca="1" si="109"/>
        <v>31.776358885092762</v>
      </c>
      <c r="AQ133" s="48"/>
      <c r="AR133" s="48">
        <f t="shared" ca="1" si="110"/>
        <v>406.64783606772568</v>
      </c>
      <c r="AS133" s="48"/>
      <c r="AT133" s="48">
        <f t="shared" ca="1" si="111"/>
        <v>957.33092053495386</v>
      </c>
      <c r="AU133" s="48"/>
      <c r="AV133" s="48">
        <f t="shared" ca="1" si="112"/>
        <v>13.929195469743151</v>
      </c>
      <c r="AW133" s="48"/>
      <c r="AX133" s="48">
        <f t="shared" ca="1" si="113"/>
        <v>217.42595441124416</v>
      </c>
      <c r="AY133" s="48"/>
      <c r="AZ133" s="48">
        <f t="shared" ca="1" si="113"/>
        <v>7.4603036877451201</v>
      </c>
      <c r="BA133" s="48"/>
      <c r="BB133" s="48">
        <f t="shared" ca="1" si="114"/>
        <v>0</v>
      </c>
      <c r="BD133" s="48">
        <f t="shared" ca="1" si="115"/>
        <v>1805.5576216432005</v>
      </c>
    </row>
    <row r="134" spans="2:56" ht="13" x14ac:dyDescent="0.3">
      <c r="B134" s="18">
        <f>B133+1</f>
        <v>80</v>
      </c>
      <c r="D134" s="35" t="s">
        <v>120</v>
      </c>
      <c r="F134" s="48">
        <f ca="1">Function!T134</f>
        <v>184.23818852302003</v>
      </c>
      <c r="H134" s="76"/>
      <c r="K134" s="70">
        <f>_xlfn.IFNA(MATCH(J134,'Trans Factors'!$B$13:$B$450,0),0)</f>
        <v>0</v>
      </c>
      <c r="L134" s="48">
        <f t="shared" ca="1" si="104"/>
        <v>184.23818852302003</v>
      </c>
      <c r="N134" s="18" t="s">
        <v>250</v>
      </c>
      <c r="O134" s="70">
        <f>_xlfn.IFNA(MATCH(N134,'Trans Factors'!$B$13:$B$450,0),0)</f>
        <v>41</v>
      </c>
      <c r="P134" s="20">
        <f ca="1">OFFSET('Trans Factors'!$B$13,$O134-1,P$14)*$L134+OFFSET('Trans Factors'!$B$13,$K134-1,P$14)*$H134</f>
        <v>0</v>
      </c>
      <c r="R134" s="20">
        <f ca="1">OFFSET('Trans Factors'!$B$13,$O134-1,R$14)*$L134+OFFSET('Trans Factors'!$B$13,$K134-1,R$14)*$H134</f>
        <v>1.998710026332972E-2</v>
      </c>
      <c r="S134" s="20"/>
      <c r="T134" s="20">
        <f ca="1">OFFSET('Trans Factors'!$B$13,$O134-1,T$14)*$L134+OFFSET('Trans Factors'!$B$13,$K134-1,T$14)*$H134</f>
        <v>0.75660422476074085</v>
      </c>
      <c r="U134" s="20"/>
      <c r="V134" s="20">
        <f ca="1">OFFSET('Trans Factors'!$B$13,$O134-1,V$14)*$L134+OFFSET('Trans Factors'!$B$13,$K134-1,V$14)*$H134</f>
        <v>116.66035968609367</v>
      </c>
      <c r="X134" s="20">
        <f ca="1">OFFSET('Trans Factors'!$B$13,$O134-1,X$14)*$L134+OFFSET('Trans Factors'!$B$13,$K134-1,X$14)*$H134</f>
        <v>29.538221622050138</v>
      </c>
      <c r="Y134" s="9"/>
      <c r="Z134" s="20">
        <f ca="1">OFFSET('Trans Factors'!$B$13,$O134-1,Z$14)*$L134+OFFSET('Trans Factors'!$B$13,$K134-1,Z$14)*$H134</f>
        <v>36.514236177723227</v>
      </c>
      <c r="AA134" s="20"/>
      <c r="AB134" s="20">
        <f ca="1">OFFSET('Trans Factors'!$B$13,$O134-1,AB$14)*$L134+OFFSET('Trans Factors'!$B$13,$K134-1,AB$14)*$H134</f>
        <v>0.74877971212893846</v>
      </c>
      <c r="AC134" s="20"/>
      <c r="AD134" s="20">
        <f ca="1">OFFSET('Trans Factors'!$B$13,$O134-1,AD$14)*$L134+OFFSET('Trans Factors'!$B$13,$K134-1,AD$14)*$H134</f>
        <v>0</v>
      </c>
      <c r="AF134" s="20">
        <f t="shared" ca="1" si="120"/>
        <v>184.23818852302006</v>
      </c>
      <c r="AH134" s="25" t="str">
        <f t="shared" ca="1" si="116"/>
        <v/>
      </c>
      <c r="AK134" s="89">
        <f ca="1">Function!AJ134</f>
        <v>131.92818852177001</v>
      </c>
      <c r="AL134" s="96">
        <f t="shared" ca="1" si="107"/>
        <v>0.71607406466269052</v>
      </c>
      <c r="AN134" s="48">
        <f t="shared" ca="1" si="108"/>
        <v>0</v>
      </c>
      <c r="AO134" s="48"/>
      <c r="AP134" s="48">
        <f t="shared" ca="1" si="109"/>
        <v>1.4312244126383244E-2</v>
      </c>
      <c r="AQ134" s="48"/>
      <c r="AR134" s="48">
        <f t="shared" ca="1" si="110"/>
        <v>0.5417846625653876</v>
      </c>
      <c r="AS134" s="48"/>
      <c r="AT134" s="48">
        <f t="shared" ca="1" si="111"/>
        <v>83.537457945432578</v>
      </c>
      <c r="AU134" s="48"/>
      <c r="AV134" s="48">
        <f t="shared" ca="1" si="112"/>
        <v>21.151554419808814</v>
      </c>
      <c r="AW134" s="48"/>
      <c r="AX134" s="48">
        <f t="shared" ca="1" si="113"/>
        <v>26.146897517835736</v>
      </c>
      <c r="AY134" s="48"/>
      <c r="AZ134" s="48">
        <f t="shared" ca="1" si="113"/>
        <v>0.53618173200112829</v>
      </c>
      <c r="BA134" s="48"/>
      <c r="BB134" s="48">
        <f t="shared" ca="1" si="114"/>
        <v>0</v>
      </c>
      <c r="BD134" s="48">
        <f t="shared" ca="1" si="115"/>
        <v>131.92818852177004</v>
      </c>
    </row>
    <row r="135" spans="2:56" ht="13" x14ac:dyDescent="0.3">
      <c r="B135" s="18">
        <f t="shared" ref="B135:B136" si="121">B134+1</f>
        <v>81</v>
      </c>
      <c r="D135" s="35" t="s">
        <v>114</v>
      </c>
      <c r="F135" s="48">
        <f ca="1">Function!T135</f>
        <v>5613.0094337191604</v>
      </c>
      <c r="H135" s="76"/>
      <c r="K135" s="70">
        <f>_xlfn.IFNA(MATCH(J135,'Trans Factors'!$B$13:$B$450,0),0)</f>
        <v>0</v>
      </c>
      <c r="L135" s="48">
        <f t="shared" ca="1" si="104"/>
        <v>5613.0094337191604</v>
      </c>
      <c r="N135" s="18" t="s">
        <v>251</v>
      </c>
      <c r="O135" s="70">
        <f>_xlfn.IFNA(MATCH(N135,'Trans Factors'!$B$13:$B$450,0),0)</f>
        <v>14</v>
      </c>
      <c r="P135" s="20">
        <f ca="1">OFFSET('Trans Factors'!$B$13,$O135-1,P$14)*$L135+OFFSET('Trans Factors'!$B$13,$K135-1,P$14)*$H135</f>
        <v>0</v>
      </c>
      <c r="R135" s="20">
        <f ca="1">OFFSET('Trans Factors'!$B$13,$O135-1,R$14)*$L135+OFFSET('Trans Factors'!$B$13,$K135-1,R$14)*$H135</f>
        <v>0</v>
      </c>
      <c r="S135" s="20"/>
      <c r="T135" s="20">
        <f ca="1">OFFSET('Trans Factors'!$B$13,$O135-1,T$14)*$L135+OFFSET('Trans Factors'!$B$13,$K135-1,T$14)*$H135</f>
        <v>1272.5099354274355</v>
      </c>
      <c r="U135" s="20"/>
      <c r="V135" s="20">
        <f ca="1">OFFSET('Trans Factors'!$B$13,$O135-1,V$14)*$L135+OFFSET('Trans Factors'!$B$13,$K135-1,V$14)*$H135</f>
        <v>4282.7231585394065</v>
      </c>
      <c r="X135" s="20">
        <f ca="1">OFFSET('Trans Factors'!$B$13,$O135-1,X$14)*$L135+OFFSET('Trans Factors'!$B$13,$K135-1,X$14)*$H135</f>
        <v>0</v>
      </c>
      <c r="Y135" s="9"/>
      <c r="Z135" s="20">
        <f ca="1">OFFSET('Trans Factors'!$B$13,$O135-1,Z$14)*$L135+OFFSET('Trans Factors'!$B$13,$K135-1,Z$14)*$H135</f>
        <v>57.776339752317384</v>
      </c>
      <c r="AA135" s="20"/>
      <c r="AB135" s="20">
        <f ca="1">OFFSET('Trans Factors'!$B$13,$O135-1,AB$14)*$L135+OFFSET('Trans Factors'!$B$13,$K135-1,AB$14)*$H135</f>
        <v>0</v>
      </c>
      <c r="AC135" s="20"/>
      <c r="AD135" s="20">
        <f ca="1">OFFSET('Trans Factors'!$B$13,$O135-1,AD$14)*$L135+OFFSET('Trans Factors'!$B$13,$K135-1,AD$14)*$H135</f>
        <v>0</v>
      </c>
      <c r="AF135" s="20">
        <f t="shared" ca="1" si="120"/>
        <v>5613.0094337191595</v>
      </c>
      <c r="AH135" s="25" t="str">
        <f t="shared" ca="1" si="116"/>
        <v/>
      </c>
      <c r="AK135" s="89">
        <f ca="1">Function!AJ135</f>
        <v>740.08452798860003</v>
      </c>
      <c r="AL135" s="96">
        <f t="shared" ca="1" si="107"/>
        <v>0.13185164513401193</v>
      </c>
      <c r="AN135" s="48">
        <f t="shared" ca="1" si="108"/>
        <v>0</v>
      </c>
      <c r="AO135" s="48"/>
      <c r="AP135" s="48">
        <f t="shared" ca="1" si="109"/>
        <v>0</v>
      </c>
      <c r="AQ135" s="48"/>
      <c r="AR135" s="48">
        <f t="shared" ca="1" si="110"/>
        <v>167.78252843548265</v>
      </c>
      <c r="AS135" s="48"/>
      <c r="AT135" s="48">
        <f t="shared" ca="1" si="111"/>
        <v>564.68409410695256</v>
      </c>
      <c r="AU135" s="48"/>
      <c r="AV135" s="48">
        <f t="shared" ca="1" si="112"/>
        <v>0</v>
      </c>
      <c r="AW135" s="48"/>
      <c r="AX135" s="48">
        <f t="shared" ca="1" si="113"/>
        <v>7.6179054461646585</v>
      </c>
      <c r="AY135" s="48"/>
      <c r="AZ135" s="48">
        <f t="shared" ca="1" si="113"/>
        <v>0</v>
      </c>
      <c r="BA135" s="48"/>
      <c r="BB135" s="48">
        <f t="shared" ca="1" si="114"/>
        <v>0</v>
      </c>
      <c r="BD135" s="48">
        <f t="shared" ca="1" si="115"/>
        <v>740.0845279885998</v>
      </c>
    </row>
    <row r="136" spans="2:56" ht="13" x14ac:dyDescent="0.3">
      <c r="B136" s="18">
        <f t="shared" si="121"/>
        <v>82</v>
      </c>
      <c r="D136" s="35" t="s">
        <v>39</v>
      </c>
      <c r="F136" s="48">
        <f ca="1">Function!T136</f>
        <v>2500.134475710754</v>
      </c>
      <c r="H136" s="76"/>
      <c r="K136" s="70">
        <f>_xlfn.IFNA(MATCH(J136,'Trans Factors'!$B$13:$B$450,0),0)</f>
        <v>0</v>
      </c>
      <c r="L136" s="48">
        <f t="shared" ca="1" si="104"/>
        <v>2500.134475710754</v>
      </c>
      <c r="N136" s="18" t="s">
        <v>249</v>
      </c>
      <c r="O136" s="70">
        <f>_xlfn.IFNA(MATCH(N136,'Trans Factors'!$B$13:$B$450,0),0)</f>
        <v>47</v>
      </c>
      <c r="P136" s="20">
        <f ca="1">OFFSET('Trans Factors'!$B$13,$O136-1,P$14)*$L136+OFFSET('Trans Factors'!$B$13,$K136-1,P$14)*$H136</f>
        <v>785.76551205461601</v>
      </c>
      <c r="R136" s="20">
        <f ca="1">OFFSET('Trans Factors'!$B$13,$O136-1,R$14)*$L136+OFFSET('Trans Factors'!$B$13,$K136-1,R$14)*$H136</f>
        <v>146.00725024226153</v>
      </c>
      <c r="S136" s="20"/>
      <c r="T136" s="20">
        <f ca="1">OFFSET('Trans Factors'!$B$13,$O136-1,T$14)*$L136+OFFSET('Trans Factors'!$B$13,$K136-1,T$14)*$H136</f>
        <v>595.47053897337366</v>
      </c>
      <c r="U136" s="20"/>
      <c r="V136" s="20">
        <f ca="1">OFFSET('Trans Factors'!$B$13,$O136-1,V$14)*$L136+OFFSET('Trans Factors'!$B$13,$K136-1,V$14)*$H136</f>
        <v>0</v>
      </c>
      <c r="X136" s="20">
        <f ca="1">OFFSET('Trans Factors'!$B$13,$O136-1,X$14)*$L136+OFFSET('Trans Factors'!$B$13,$K136-1,X$14)*$H136</f>
        <v>34.472949078971709</v>
      </c>
      <c r="Y136" s="9"/>
      <c r="Z136" s="20">
        <f ca="1">OFFSET('Trans Factors'!$B$13,$O136-1,Z$14)*$L136+OFFSET('Trans Factors'!$B$13,$K136-1,Z$14)*$H136</f>
        <v>904.88341892720757</v>
      </c>
      <c r="AA136" s="20"/>
      <c r="AB136" s="20">
        <f ca="1">OFFSET('Trans Factors'!$B$13,$O136-1,AB$14)*$L136+OFFSET('Trans Factors'!$B$13,$K136-1,AB$14)*$H136</f>
        <v>33.534806434323606</v>
      </c>
      <c r="AC136" s="20"/>
      <c r="AD136" s="20">
        <f ca="1">OFFSET('Trans Factors'!$B$13,$O136-1,AD$14)*$L136+OFFSET('Trans Factors'!$B$13,$K136-1,AD$14)*$H136</f>
        <v>0</v>
      </c>
      <c r="AF136" s="20">
        <f t="shared" ca="1" si="120"/>
        <v>2500.134475710754</v>
      </c>
      <c r="AH136" s="25" t="str">
        <f t="shared" ca="1" si="116"/>
        <v/>
      </c>
      <c r="AK136" s="89">
        <f ca="1">Function!AJ136</f>
        <v>1026.9737405468377</v>
      </c>
      <c r="AL136" s="96">
        <f t="shared" ca="1" si="107"/>
        <v>0.41076740092345759</v>
      </c>
      <c r="AN136" s="48">
        <f t="shared" ca="1" si="108"/>
        <v>322.76685712196439</v>
      </c>
      <c r="AO136" s="48"/>
      <c r="AP136" s="48">
        <f t="shared" ca="1" si="109"/>
        <v>59.975018697994642</v>
      </c>
      <c r="AQ136" s="48"/>
      <c r="AR136" s="48">
        <f t="shared" ca="1" si="110"/>
        <v>244.59988562058317</v>
      </c>
      <c r="AS136" s="48"/>
      <c r="AT136" s="48">
        <f t="shared" ca="1" si="111"/>
        <v>0</v>
      </c>
      <c r="AU136" s="48"/>
      <c r="AV136" s="48">
        <f t="shared" ca="1" si="112"/>
        <v>14.16036369533591</v>
      </c>
      <c r="AW136" s="48"/>
      <c r="AX136" s="48">
        <f t="shared" ca="1" si="113"/>
        <v>371.69661013146128</v>
      </c>
      <c r="AY136" s="48"/>
      <c r="AZ136" s="48">
        <f t="shared" ca="1" si="113"/>
        <v>13.77500527949835</v>
      </c>
      <c r="BA136" s="48"/>
      <c r="BB136" s="48">
        <f t="shared" ca="1" si="114"/>
        <v>0</v>
      </c>
      <c r="BD136" s="48">
        <f t="shared" ca="1" si="115"/>
        <v>1026.9737405468377</v>
      </c>
    </row>
    <row r="137" spans="2:56" ht="13" x14ac:dyDescent="0.3">
      <c r="D137" s="1" t="s">
        <v>20</v>
      </c>
      <c r="K137" s="70"/>
      <c r="AH137" s="25" t="str">
        <f t="shared" si="116"/>
        <v/>
      </c>
      <c r="AL137" s="96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D137" s="48"/>
    </row>
    <row r="138" spans="2:56" ht="13" x14ac:dyDescent="0.3">
      <c r="B138" s="18">
        <f>B136+1</f>
        <v>83</v>
      </c>
      <c r="D138" s="1" t="s">
        <v>121</v>
      </c>
      <c r="K138" s="70"/>
      <c r="AH138" s="25" t="str">
        <f t="shared" si="116"/>
        <v/>
      </c>
      <c r="AK138" s="89">
        <f ca="1">Function!AJ138</f>
        <v>0</v>
      </c>
      <c r="AL138" s="96">
        <f t="shared" ca="1" si="107"/>
        <v>0</v>
      </c>
      <c r="AN138" s="48">
        <f t="shared" ca="1" si="108"/>
        <v>0</v>
      </c>
      <c r="AO138" s="48"/>
      <c r="AP138" s="48">
        <f t="shared" ca="1" si="109"/>
        <v>0</v>
      </c>
      <c r="AQ138" s="48"/>
      <c r="AR138" s="48">
        <f t="shared" ca="1" si="110"/>
        <v>0</v>
      </c>
      <c r="AS138" s="48"/>
      <c r="AT138" s="48">
        <f t="shared" ca="1" si="111"/>
        <v>0</v>
      </c>
      <c r="AU138" s="48"/>
      <c r="AV138" s="48">
        <f t="shared" ca="1" si="112"/>
        <v>0</v>
      </c>
      <c r="AW138" s="48"/>
      <c r="AX138" s="48">
        <f t="shared" ca="1" si="113"/>
        <v>0</v>
      </c>
      <c r="AY138" s="48"/>
      <c r="AZ138" s="48">
        <f t="shared" ca="1" si="113"/>
        <v>0</v>
      </c>
      <c r="BA138" s="48"/>
      <c r="BB138" s="48">
        <f t="shared" ca="1" si="114"/>
        <v>0</v>
      </c>
      <c r="BD138" s="48">
        <f t="shared" ca="1" si="115"/>
        <v>0</v>
      </c>
    </row>
    <row r="139" spans="2:56" ht="13" x14ac:dyDescent="0.3">
      <c r="B139" s="18">
        <f>B138+1</f>
        <v>84</v>
      </c>
      <c r="D139" s="35" t="s">
        <v>122</v>
      </c>
      <c r="F139" s="48">
        <f ca="1">Function!T139</f>
        <v>0</v>
      </c>
      <c r="H139" s="76"/>
      <c r="K139" s="70">
        <f>_xlfn.IFNA(MATCH(J139,'Trans Factors'!$B$13:$B$450,0),0)</f>
        <v>0</v>
      </c>
      <c r="L139" s="48">
        <f t="shared" ca="1" si="104"/>
        <v>0</v>
      </c>
      <c r="O139" s="70">
        <f>_xlfn.IFNA(MATCH(N139,'Trans Factors'!$B$13:$B$450,0),0)</f>
        <v>0</v>
      </c>
      <c r="P139" s="20">
        <f ca="1">OFFSET('Trans Factors'!$B$13,$O139-1,P$14)*$L139+OFFSET('Trans Factors'!$B$13,$K139-1,P$14)*$H139</f>
        <v>0</v>
      </c>
      <c r="R139" s="20">
        <f ca="1">OFFSET('Trans Factors'!$B$13,$O139-1,R$14)*$L139+OFFSET('Trans Factors'!$B$13,$K139-1,R$14)*$H139</f>
        <v>0</v>
      </c>
      <c r="S139" s="20"/>
      <c r="T139" s="20">
        <f ca="1">OFFSET('Trans Factors'!$B$13,$O139-1,T$14)*$L139+OFFSET('Trans Factors'!$B$13,$K139-1,T$14)*$H139</f>
        <v>0</v>
      </c>
      <c r="U139" s="20"/>
      <c r="V139" s="20">
        <f ca="1">OFFSET('Trans Factors'!$B$13,$O139-1,V$14)*$L139+OFFSET('Trans Factors'!$B$13,$K139-1,V$14)*$H139</f>
        <v>0</v>
      </c>
      <c r="X139" s="20">
        <f ca="1">OFFSET('Trans Factors'!$B$13,$O139-1,X$14)*$L139+OFFSET('Trans Factors'!$B$13,$K139-1,X$14)*$H139</f>
        <v>0</v>
      </c>
      <c r="Y139" s="9"/>
      <c r="Z139" s="20">
        <f ca="1">OFFSET('Trans Factors'!$B$13,$O139-1,Z$14)*$L139+OFFSET('Trans Factors'!$B$13,$K139-1,Z$14)*$H139</f>
        <v>0</v>
      </c>
      <c r="AA139" s="20"/>
      <c r="AB139" s="20">
        <f ca="1">OFFSET('Trans Factors'!$B$13,$O139-1,AB$14)*$L139+OFFSET('Trans Factors'!$B$13,$K139-1,AB$14)*$H139</f>
        <v>0</v>
      </c>
      <c r="AC139" s="20"/>
      <c r="AD139" s="20">
        <f ca="1">OFFSET('Trans Factors'!$B$13,$O139-1,AD$14)*$L139+OFFSET('Trans Factors'!$B$13,$K139-1,AD$14)*$H139</f>
        <v>0</v>
      </c>
      <c r="AF139" s="20">
        <f t="shared" ref="AF139:AF143" ca="1" si="122">P139+R139+T139+V139+X139+Z139+AB139+AD139</f>
        <v>0</v>
      </c>
      <c r="AH139" s="25" t="str">
        <f t="shared" ca="1" si="116"/>
        <v/>
      </c>
      <c r="AK139" s="89">
        <f ca="1">Function!AJ139</f>
        <v>0</v>
      </c>
      <c r="AL139" s="96">
        <f t="shared" ca="1" si="107"/>
        <v>0</v>
      </c>
      <c r="AN139" s="48">
        <f t="shared" ca="1" si="108"/>
        <v>0</v>
      </c>
      <c r="AO139" s="48"/>
      <c r="AP139" s="48">
        <f t="shared" ca="1" si="109"/>
        <v>0</v>
      </c>
      <c r="AQ139" s="48"/>
      <c r="AR139" s="48">
        <f t="shared" ca="1" si="110"/>
        <v>0</v>
      </c>
      <c r="AS139" s="48"/>
      <c r="AT139" s="48">
        <f t="shared" ca="1" si="111"/>
        <v>0</v>
      </c>
      <c r="AU139" s="48"/>
      <c r="AV139" s="48">
        <f t="shared" ca="1" si="112"/>
        <v>0</v>
      </c>
      <c r="AW139" s="48"/>
      <c r="AX139" s="48">
        <f t="shared" ca="1" si="113"/>
        <v>0</v>
      </c>
      <c r="AY139" s="48"/>
      <c r="AZ139" s="48">
        <f t="shared" ca="1" si="113"/>
        <v>0</v>
      </c>
      <c r="BA139" s="48"/>
      <c r="BB139" s="48">
        <f t="shared" ca="1" si="114"/>
        <v>0</v>
      </c>
      <c r="BD139" s="48">
        <f t="shared" ca="1" si="115"/>
        <v>0</v>
      </c>
    </row>
    <row r="140" spans="2:56" ht="13" x14ac:dyDescent="0.3">
      <c r="B140" s="18">
        <f t="shared" ref="B140:B143" si="123">B139+1</f>
        <v>85</v>
      </c>
      <c r="D140" s="35" t="s">
        <v>123</v>
      </c>
      <c r="F140" s="48">
        <f ca="1">Function!T140</f>
        <v>0</v>
      </c>
      <c r="H140" s="76"/>
      <c r="K140" s="70">
        <f>_xlfn.IFNA(MATCH(J140,'Trans Factors'!$B$13:$B$450,0),0)</f>
        <v>0</v>
      </c>
      <c r="L140" s="48">
        <f t="shared" ca="1" si="104"/>
        <v>0</v>
      </c>
      <c r="O140" s="70">
        <f>_xlfn.IFNA(MATCH(N140,'Trans Factors'!$B$13:$B$450,0),0)</f>
        <v>0</v>
      </c>
      <c r="P140" s="20">
        <f ca="1">OFFSET('Trans Factors'!$B$13,$O140-1,P$14)*$L140+OFFSET('Trans Factors'!$B$13,$K140-1,P$14)*$H140</f>
        <v>0</v>
      </c>
      <c r="R140" s="20">
        <f ca="1">OFFSET('Trans Factors'!$B$13,$O140-1,R$14)*$L140+OFFSET('Trans Factors'!$B$13,$K140-1,R$14)*$H140</f>
        <v>0</v>
      </c>
      <c r="S140" s="20"/>
      <c r="T140" s="20">
        <f ca="1">OFFSET('Trans Factors'!$B$13,$O140-1,T$14)*$L140+OFFSET('Trans Factors'!$B$13,$K140-1,T$14)*$H140</f>
        <v>0</v>
      </c>
      <c r="U140" s="20"/>
      <c r="V140" s="20">
        <f ca="1">OFFSET('Trans Factors'!$B$13,$O140-1,V$14)*$L140+OFFSET('Trans Factors'!$B$13,$K140-1,V$14)*$H140</f>
        <v>0</v>
      </c>
      <c r="X140" s="20">
        <f ca="1">OFFSET('Trans Factors'!$B$13,$O140-1,X$14)*$L140+OFFSET('Trans Factors'!$B$13,$K140-1,X$14)*$H140</f>
        <v>0</v>
      </c>
      <c r="Y140" s="9"/>
      <c r="Z140" s="20">
        <f ca="1">OFFSET('Trans Factors'!$B$13,$O140-1,Z$14)*$L140+OFFSET('Trans Factors'!$B$13,$K140-1,Z$14)*$H140</f>
        <v>0</v>
      </c>
      <c r="AA140" s="20"/>
      <c r="AB140" s="20">
        <f ca="1">OFFSET('Trans Factors'!$B$13,$O140-1,AB$14)*$L140+OFFSET('Trans Factors'!$B$13,$K140-1,AB$14)*$H140</f>
        <v>0</v>
      </c>
      <c r="AC140" s="20"/>
      <c r="AD140" s="20">
        <f ca="1">OFFSET('Trans Factors'!$B$13,$O140-1,AD$14)*$L140+OFFSET('Trans Factors'!$B$13,$K140-1,AD$14)*$H140</f>
        <v>0</v>
      </c>
      <c r="AF140" s="20">
        <f t="shared" ca="1" si="122"/>
        <v>0</v>
      </c>
      <c r="AH140" s="25" t="str">
        <f t="shared" ca="1" si="116"/>
        <v/>
      </c>
      <c r="AK140" s="89">
        <f ca="1">Function!AJ140</f>
        <v>0</v>
      </c>
      <c r="AL140" s="96">
        <f t="shared" ca="1" si="107"/>
        <v>0</v>
      </c>
      <c r="AN140" s="48">
        <f t="shared" ca="1" si="108"/>
        <v>0</v>
      </c>
      <c r="AO140" s="48"/>
      <c r="AP140" s="48">
        <f t="shared" ca="1" si="109"/>
        <v>0</v>
      </c>
      <c r="AQ140" s="48"/>
      <c r="AR140" s="48">
        <f t="shared" ca="1" si="110"/>
        <v>0</v>
      </c>
      <c r="AS140" s="48"/>
      <c r="AT140" s="48">
        <f t="shared" ca="1" si="111"/>
        <v>0</v>
      </c>
      <c r="AU140" s="48"/>
      <c r="AV140" s="48">
        <f t="shared" ca="1" si="112"/>
        <v>0</v>
      </c>
      <c r="AW140" s="48"/>
      <c r="AX140" s="48">
        <f t="shared" ca="1" si="113"/>
        <v>0</v>
      </c>
      <c r="AY140" s="48"/>
      <c r="AZ140" s="48">
        <f t="shared" ca="1" si="113"/>
        <v>0</v>
      </c>
      <c r="BA140" s="48"/>
      <c r="BB140" s="48">
        <f t="shared" ca="1" si="114"/>
        <v>0</v>
      </c>
      <c r="BD140" s="48">
        <f t="shared" ca="1" si="115"/>
        <v>0</v>
      </c>
    </row>
    <row r="141" spans="2:56" ht="13" x14ac:dyDescent="0.3">
      <c r="B141" s="18">
        <f t="shared" si="123"/>
        <v>86</v>
      </c>
      <c r="D141" s="35" t="s">
        <v>124</v>
      </c>
      <c r="F141" s="48">
        <f ca="1">Function!T141</f>
        <v>0</v>
      </c>
      <c r="H141" s="76"/>
      <c r="K141" s="70">
        <f>_xlfn.IFNA(MATCH(J141,'Trans Factors'!$B$13:$B$450,0),0)</f>
        <v>0</v>
      </c>
      <c r="L141" s="48">
        <f t="shared" ca="1" si="104"/>
        <v>0</v>
      </c>
      <c r="O141" s="70">
        <f>_xlfn.IFNA(MATCH(N141,'Trans Factors'!$B$13:$B$450,0),0)</f>
        <v>0</v>
      </c>
      <c r="P141" s="20">
        <f ca="1">OFFSET('Trans Factors'!$B$13,$O141-1,P$14)*$L141+OFFSET('Trans Factors'!$B$13,$K141-1,P$14)*$H141</f>
        <v>0</v>
      </c>
      <c r="R141" s="20">
        <f ca="1">OFFSET('Trans Factors'!$B$13,$O141-1,R$14)*$L141+OFFSET('Trans Factors'!$B$13,$K141-1,R$14)*$H141</f>
        <v>0</v>
      </c>
      <c r="S141" s="20"/>
      <c r="T141" s="20">
        <f ca="1">OFFSET('Trans Factors'!$B$13,$O141-1,T$14)*$L141+OFFSET('Trans Factors'!$B$13,$K141-1,T$14)*$H141</f>
        <v>0</v>
      </c>
      <c r="U141" s="20"/>
      <c r="V141" s="20">
        <f ca="1">OFFSET('Trans Factors'!$B$13,$O141-1,V$14)*$L141+OFFSET('Trans Factors'!$B$13,$K141-1,V$14)*$H141</f>
        <v>0</v>
      </c>
      <c r="X141" s="20">
        <f ca="1">OFFSET('Trans Factors'!$B$13,$O141-1,X$14)*$L141+OFFSET('Trans Factors'!$B$13,$K141-1,X$14)*$H141</f>
        <v>0</v>
      </c>
      <c r="Y141" s="9"/>
      <c r="Z141" s="20">
        <f ca="1">OFFSET('Trans Factors'!$B$13,$O141-1,Z$14)*$L141+OFFSET('Trans Factors'!$B$13,$K141-1,Z$14)*$H141</f>
        <v>0</v>
      </c>
      <c r="AA141" s="20"/>
      <c r="AB141" s="20">
        <f ca="1">OFFSET('Trans Factors'!$B$13,$O141-1,AB$14)*$L141+OFFSET('Trans Factors'!$B$13,$K141-1,AB$14)*$H141</f>
        <v>0</v>
      </c>
      <c r="AC141" s="20"/>
      <c r="AD141" s="20">
        <f ca="1">OFFSET('Trans Factors'!$B$13,$O141-1,AD$14)*$L141+OFFSET('Trans Factors'!$B$13,$K141-1,AD$14)*$H141</f>
        <v>0</v>
      </c>
      <c r="AF141" s="20">
        <f t="shared" ca="1" si="122"/>
        <v>0</v>
      </c>
      <c r="AH141" s="25" t="str">
        <f t="shared" ca="1" si="116"/>
        <v/>
      </c>
      <c r="AK141" s="89">
        <f ca="1">Function!AJ141</f>
        <v>0</v>
      </c>
      <c r="AL141" s="96">
        <f t="shared" ca="1" si="107"/>
        <v>0</v>
      </c>
      <c r="AN141" s="48">
        <f t="shared" ca="1" si="108"/>
        <v>0</v>
      </c>
      <c r="AO141" s="48"/>
      <c r="AP141" s="48">
        <f t="shared" ca="1" si="109"/>
        <v>0</v>
      </c>
      <c r="AQ141" s="48"/>
      <c r="AR141" s="48">
        <f t="shared" ca="1" si="110"/>
        <v>0</v>
      </c>
      <c r="AS141" s="48"/>
      <c r="AT141" s="48">
        <f t="shared" ca="1" si="111"/>
        <v>0</v>
      </c>
      <c r="AU141" s="48"/>
      <c r="AV141" s="48">
        <f t="shared" ca="1" si="112"/>
        <v>0</v>
      </c>
      <c r="AW141" s="48"/>
      <c r="AX141" s="48">
        <f t="shared" ca="1" si="113"/>
        <v>0</v>
      </c>
      <c r="AY141" s="48"/>
      <c r="AZ141" s="48">
        <f t="shared" ca="1" si="113"/>
        <v>0</v>
      </c>
      <c r="BA141" s="48"/>
      <c r="BB141" s="48">
        <f t="shared" ca="1" si="114"/>
        <v>0</v>
      </c>
      <c r="BD141" s="48">
        <f t="shared" ca="1" si="115"/>
        <v>0</v>
      </c>
    </row>
    <row r="142" spans="2:56" ht="13" x14ac:dyDescent="0.3">
      <c r="B142" s="18">
        <f t="shared" si="123"/>
        <v>87</v>
      </c>
      <c r="D142" s="35" t="s">
        <v>39</v>
      </c>
      <c r="F142" s="48">
        <f ca="1">Function!T142</f>
        <v>0</v>
      </c>
      <c r="H142" s="76"/>
      <c r="K142" s="70">
        <f>_xlfn.IFNA(MATCH(J142,'Trans Factors'!$B$13:$B$450,0),0)</f>
        <v>0</v>
      </c>
      <c r="L142" s="48">
        <f t="shared" ca="1" si="104"/>
        <v>0</v>
      </c>
      <c r="O142" s="70">
        <f>_xlfn.IFNA(MATCH(N142,'Trans Factors'!$B$13:$B$450,0),0)</f>
        <v>0</v>
      </c>
      <c r="P142" s="20">
        <f ca="1">OFFSET('Trans Factors'!$B$13,$O142-1,P$14)*$L142+OFFSET('Trans Factors'!$B$13,$K142-1,P$14)*$H142</f>
        <v>0</v>
      </c>
      <c r="R142" s="20">
        <f ca="1">OFFSET('Trans Factors'!$B$13,$O142-1,R$14)*$L142+OFFSET('Trans Factors'!$B$13,$K142-1,R$14)*$H142</f>
        <v>0</v>
      </c>
      <c r="S142" s="20"/>
      <c r="T142" s="20">
        <f ca="1">OFFSET('Trans Factors'!$B$13,$O142-1,T$14)*$L142+OFFSET('Trans Factors'!$B$13,$K142-1,T$14)*$H142</f>
        <v>0</v>
      </c>
      <c r="U142" s="20"/>
      <c r="V142" s="20">
        <f ca="1">OFFSET('Trans Factors'!$B$13,$O142-1,V$14)*$L142+OFFSET('Trans Factors'!$B$13,$K142-1,V$14)*$H142</f>
        <v>0</v>
      </c>
      <c r="X142" s="20">
        <f ca="1">OFFSET('Trans Factors'!$B$13,$O142-1,X$14)*$L142+OFFSET('Trans Factors'!$B$13,$K142-1,X$14)*$H142</f>
        <v>0</v>
      </c>
      <c r="Y142" s="9"/>
      <c r="Z142" s="20">
        <f ca="1">OFFSET('Trans Factors'!$B$13,$O142-1,Z$14)*$L142+OFFSET('Trans Factors'!$B$13,$K142-1,Z$14)*$H142</f>
        <v>0</v>
      </c>
      <c r="AA142" s="20"/>
      <c r="AB142" s="20">
        <f ca="1">OFFSET('Trans Factors'!$B$13,$O142-1,AB$14)*$L142+OFFSET('Trans Factors'!$B$13,$K142-1,AB$14)*$H142</f>
        <v>0</v>
      </c>
      <c r="AC142" s="20"/>
      <c r="AD142" s="20">
        <f ca="1">OFFSET('Trans Factors'!$B$13,$O142-1,AD$14)*$L142+OFFSET('Trans Factors'!$B$13,$K142-1,AD$14)*$H142</f>
        <v>0</v>
      </c>
      <c r="AF142" s="20">
        <f t="shared" ca="1" si="122"/>
        <v>0</v>
      </c>
      <c r="AH142" s="25" t="str">
        <f t="shared" ca="1" si="116"/>
        <v/>
      </c>
      <c r="AK142" s="89">
        <f ca="1">Function!AJ142</f>
        <v>0</v>
      </c>
      <c r="AL142" s="96">
        <f t="shared" ca="1" si="107"/>
        <v>0</v>
      </c>
      <c r="AN142" s="48">
        <f t="shared" ca="1" si="108"/>
        <v>0</v>
      </c>
      <c r="AO142" s="48"/>
      <c r="AP142" s="48">
        <f t="shared" ca="1" si="109"/>
        <v>0</v>
      </c>
      <c r="AQ142" s="48"/>
      <c r="AR142" s="48">
        <f t="shared" ca="1" si="110"/>
        <v>0</v>
      </c>
      <c r="AS142" s="48"/>
      <c r="AT142" s="48">
        <f t="shared" ca="1" si="111"/>
        <v>0</v>
      </c>
      <c r="AU142" s="48"/>
      <c r="AV142" s="48">
        <f t="shared" ca="1" si="112"/>
        <v>0</v>
      </c>
      <c r="AW142" s="48"/>
      <c r="AX142" s="48">
        <f t="shared" ca="1" si="113"/>
        <v>0</v>
      </c>
      <c r="AY142" s="48"/>
      <c r="AZ142" s="48">
        <f t="shared" ca="1" si="113"/>
        <v>0</v>
      </c>
      <c r="BA142" s="48"/>
      <c r="BB142" s="48">
        <f t="shared" ca="1" si="114"/>
        <v>0</v>
      </c>
      <c r="BD142" s="48">
        <f t="shared" ca="1" si="115"/>
        <v>0</v>
      </c>
    </row>
    <row r="143" spans="2:56" ht="13" x14ac:dyDescent="0.3">
      <c r="B143" s="18">
        <f t="shared" si="123"/>
        <v>88</v>
      </c>
      <c r="D143" s="35" t="s">
        <v>125</v>
      </c>
      <c r="F143" s="48">
        <f ca="1">Function!T143</f>
        <v>0</v>
      </c>
      <c r="H143" s="76"/>
      <c r="K143" s="70">
        <f>_xlfn.IFNA(MATCH(J143,'Trans Factors'!$B$13:$B$450,0),0)</f>
        <v>0</v>
      </c>
      <c r="L143" s="48">
        <f t="shared" ca="1" si="104"/>
        <v>0</v>
      </c>
      <c r="O143" s="70">
        <f>_xlfn.IFNA(MATCH(N143,'Trans Factors'!$B$13:$B$450,0),0)</f>
        <v>0</v>
      </c>
      <c r="P143" s="20">
        <f ca="1">OFFSET('Trans Factors'!$B$13,$O143-1,P$14)*$L143+OFFSET('Trans Factors'!$B$13,$K143-1,P$14)*$H143</f>
        <v>0</v>
      </c>
      <c r="R143" s="20">
        <f ca="1">OFFSET('Trans Factors'!$B$13,$O143-1,R$14)*$L143+OFFSET('Trans Factors'!$B$13,$K143-1,R$14)*$H143</f>
        <v>0</v>
      </c>
      <c r="S143" s="20"/>
      <c r="T143" s="20">
        <f ca="1">OFFSET('Trans Factors'!$B$13,$O143-1,T$14)*$L143+OFFSET('Trans Factors'!$B$13,$K143-1,T$14)*$H143</f>
        <v>0</v>
      </c>
      <c r="U143" s="20"/>
      <c r="V143" s="20">
        <f ca="1">OFFSET('Trans Factors'!$B$13,$O143-1,V$14)*$L143+OFFSET('Trans Factors'!$B$13,$K143-1,V$14)*$H143</f>
        <v>0</v>
      </c>
      <c r="X143" s="20">
        <f ca="1">OFFSET('Trans Factors'!$B$13,$O143-1,X$14)*$L143+OFFSET('Trans Factors'!$B$13,$K143-1,X$14)*$H143</f>
        <v>0</v>
      </c>
      <c r="Y143" s="9"/>
      <c r="Z143" s="20">
        <f ca="1">OFFSET('Trans Factors'!$B$13,$O143-1,Z$14)*$L143+OFFSET('Trans Factors'!$B$13,$K143-1,Z$14)*$H143</f>
        <v>0</v>
      </c>
      <c r="AA143" s="20"/>
      <c r="AB143" s="20">
        <f ca="1">OFFSET('Trans Factors'!$B$13,$O143-1,AB$14)*$L143+OFFSET('Trans Factors'!$B$13,$K143-1,AB$14)*$H143</f>
        <v>0</v>
      </c>
      <c r="AC143" s="20"/>
      <c r="AD143" s="20">
        <f ca="1">OFFSET('Trans Factors'!$B$13,$O143-1,AD$14)*$L143+OFFSET('Trans Factors'!$B$13,$K143-1,AD$14)*$H143</f>
        <v>0</v>
      </c>
      <c r="AF143" s="20">
        <f t="shared" ca="1" si="122"/>
        <v>0</v>
      </c>
      <c r="AH143" s="25" t="str">
        <f t="shared" ca="1" si="116"/>
        <v/>
      </c>
      <c r="AK143" s="89">
        <f ca="1">Function!AJ143</f>
        <v>0</v>
      </c>
      <c r="AL143" s="96">
        <f t="shared" ca="1" si="107"/>
        <v>0</v>
      </c>
      <c r="AN143" s="48">
        <f t="shared" ca="1" si="108"/>
        <v>0</v>
      </c>
      <c r="AO143" s="48"/>
      <c r="AP143" s="48">
        <f t="shared" ca="1" si="109"/>
        <v>0</v>
      </c>
      <c r="AQ143" s="48"/>
      <c r="AR143" s="48">
        <f t="shared" ca="1" si="110"/>
        <v>0</v>
      </c>
      <c r="AS143" s="48"/>
      <c r="AT143" s="48">
        <f t="shared" ca="1" si="111"/>
        <v>0</v>
      </c>
      <c r="AU143" s="48"/>
      <c r="AV143" s="48">
        <f t="shared" ca="1" si="112"/>
        <v>0</v>
      </c>
      <c r="AW143" s="48"/>
      <c r="AX143" s="48">
        <f t="shared" ca="1" si="113"/>
        <v>0</v>
      </c>
      <c r="AY143" s="48"/>
      <c r="AZ143" s="48">
        <f t="shared" ca="1" si="113"/>
        <v>0</v>
      </c>
      <c r="BA143" s="48"/>
      <c r="BB143" s="48">
        <f t="shared" ca="1" si="114"/>
        <v>0</v>
      </c>
      <c r="BD143" s="48">
        <f t="shared" ca="1" si="115"/>
        <v>0</v>
      </c>
    </row>
    <row r="144" spans="2:56" ht="13" x14ac:dyDescent="0.3">
      <c r="D144" s="1" t="s">
        <v>126</v>
      </c>
      <c r="K144" s="70"/>
      <c r="O144" s="70"/>
      <c r="AH144" s="25" t="str">
        <f t="shared" si="116"/>
        <v/>
      </c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D144" s="48"/>
    </row>
    <row r="145" spans="2:56" ht="13" x14ac:dyDescent="0.3">
      <c r="B145" s="18">
        <f>B143+1</f>
        <v>89</v>
      </c>
      <c r="D145" s="35" t="s">
        <v>127</v>
      </c>
      <c r="F145" s="48">
        <f ca="1">Function!T145</f>
        <v>17848.649151574664</v>
      </c>
      <c r="H145" s="76"/>
      <c r="K145" s="70">
        <f>_xlfn.IFNA(MATCH(J145,'Trans Factors'!$B$13:$B$450,0),0)</f>
        <v>0</v>
      </c>
      <c r="L145" s="48">
        <f ca="1">F145-H145</f>
        <v>17848.649151574664</v>
      </c>
      <c r="N145" s="18" t="s">
        <v>259</v>
      </c>
      <c r="O145" s="70">
        <f>_xlfn.IFNA(MATCH(N145,'Trans Factors'!$B$13:$B$450,0),0)</f>
        <v>53</v>
      </c>
      <c r="P145" s="20">
        <f ca="1">OFFSET('Trans Factors'!$B$13,$O145-1,P$14)*$L145+OFFSET('Trans Factors'!$B$13,$K145-1,P$14)*$H145</f>
        <v>438.24387166431512</v>
      </c>
      <c r="R145" s="20">
        <f ca="1">OFFSET('Trans Factors'!$B$13,$O145-1,R$14)*$L145+OFFSET('Trans Factors'!$B$13,$K145-1,R$14)*$H145</f>
        <v>46.773330245634234</v>
      </c>
      <c r="S145" s="20"/>
      <c r="T145" s="20">
        <f ca="1">OFFSET('Trans Factors'!$B$13,$O145-1,T$14)*$L145+OFFSET('Trans Factors'!$B$13,$K145-1,T$14)*$H145</f>
        <v>2228.9817058907374</v>
      </c>
      <c r="U145" s="20"/>
      <c r="V145" s="20">
        <f ca="1">OFFSET('Trans Factors'!$B$13,$O145-1,V$14)*$L145+OFFSET('Trans Factors'!$B$13,$K145-1,V$14)*$H145</f>
        <v>10234.420267748448</v>
      </c>
      <c r="X145" s="20">
        <f ca="1">OFFSET('Trans Factors'!$B$13,$O145-1,X$14)*$L145+OFFSET('Trans Factors'!$B$13,$K145-1,X$14)*$H145</f>
        <v>2008.3517134368967</v>
      </c>
      <c r="Y145" s="9"/>
      <c r="Z145" s="20">
        <f ca="1">OFFSET('Trans Factors'!$B$13,$O145-1,Z$14)*$L145+OFFSET('Trans Factors'!$B$13,$K145-1,Z$14)*$H145</f>
        <v>2865.6611148228271</v>
      </c>
      <c r="AA145" s="20"/>
      <c r="AB145" s="20">
        <f ca="1">OFFSET('Trans Factors'!$B$13,$O145-1,AB$14)*$L145+OFFSET('Trans Factors'!$B$13,$K145-1,AB$14)*$H145</f>
        <v>26.217147765807155</v>
      </c>
      <c r="AC145" s="20"/>
      <c r="AD145" s="20">
        <f ca="1">OFFSET('Trans Factors'!$B$13,$O145-1,AD$14)*$L145+OFFSET('Trans Factors'!$B$13,$K145-1,AD$14)*$H145</f>
        <v>0</v>
      </c>
      <c r="AF145" s="20">
        <f ca="1">P145+R145+T145+V145+X145+Z145+AB145+AD145</f>
        <v>17848.649151574664</v>
      </c>
      <c r="AH145" s="25" t="str">
        <f t="shared" ca="1" si="116"/>
        <v/>
      </c>
      <c r="AK145" s="89">
        <f ca="1">Function!AJ145</f>
        <v>7489.8621995264712</v>
      </c>
      <c r="AL145" s="96">
        <f t="shared" ca="1" si="107"/>
        <v>0.41963188003309998</v>
      </c>
      <c r="AN145" s="48">
        <f t="shared" ca="1" si="108"/>
        <v>183.90109977948114</v>
      </c>
      <c r="AO145" s="48"/>
      <c r="AP145" s="48">
        <f t="shared" ca="1" si="109"/>
        <v>19.62758050638455</v>
      </c>
      <c r="AQ145" s="48"/>
      <c r="AR145" s="48">
        <f t="shared" ca="1" si="110"/>
        <v>935.3517838023165</v>
      </c>
      <c r="AS145" s="48"/>
      <c r="AT145" s="48">
        <f t="shared" ca="1" si="111"/>
        <v>4294.6890180041437</v>
      </c>
      <c r="AU145" s="48"/>
      <c r="AV145" s="48">
        <f t="shared" ca="1" si="112"/>
        <v>842.76840527722266</v>
      </c>
      <c r="AW145" s="48"/>
      <c r="AX145" s="48">
        <f t="shared" ca="1" si="113"/>
        <v>1202.5227611508521</v>
      </c>
      <c r="AY145" s="48"/>
      <c r="AZ145" s="48">
        <f t="shared" ca="1" si="113"/>
        <v>11.001551006071244</v>
      </c>
      <c r="BA145" s="48"/>
      <c r="BB145" s="48">
        <f t="shared" ca="1" si="114"/>
        <v>0</v>
      </c>
      <c r="BD145" s="48">
        <f t="shared" ca="1" si="115"/>
        <v>7489.8621995264712</v>
      </c>
    </row>
    <row r="146" spans="2:56" ht="13" x14ac:dyDescent="0.3">
      <c r="D146" s="1" t="s">
        <v>130</v>
      </c>
      <c r="K146" s="70"/>
      <c r="O146" s="70"/>
      <c r="AH146" s="25" t="str">
        <f t="shared" si="116"/>
        <v/>
      </c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D146" s="48"/>
    </row>
    <row r="147" spans="2:56" ht="13" x14ac:dyDescent="0.3">
      <c r="B147" s="18">
        <f>B145+1</f>
        <v>90</v>
      </c>
      <c r="D147" s="35" t="s">
        <v>131</v>
      </c>
      <c r="F147" s="48">
        <f ca="1">Function!T147</f>
        <v>0</v>
      </c>
      <c r="H147" s="76"/>
      <c r="K147" s="70">
        <f>_xlfn.IFNA(MATCH(J147,'Trans Factors'!$B$13:$B$450,0),0)</f>
        <v>0</v>
      </c>
      <c r="L147" s="48">
        <f t="shared" ca="1" si="104"/>
        <v>0</v>
      </c>
      <c r="O147" s="70">
        <f>_xlfn.IFNA(MATCH(N147,'Trans Factors'!$B$13:$B$450,0),0)</f>
        <v>0</v>
      </c>
      <c r="P147" s="20">
        <f ca="1">OFFSET('Trans Factors'!$B$13,$O147-1,P$14)*$L147+OFFSET('Trans Factors'!$B$13,$K147-1,P$14)*$H147</f>
        <v>0</v>
      </c>
      <c r="R147" s="20">
        <f ca="1">OFFSET('Trans Factors'!$B$13,$O147-1,R$14)*$L147+OFFSET('Trans Factors'!$B$13,$K147-1,R$14)*$H147</f>
        <v>0</v>
      </c>
      <c r="S147" s="20"/>
      <c r="T147" s="20">
        <f ca="1">OFFSET('Trans Factors'!$B$13,$O147-1,T$14)*$L147+OFFSET('Trans Factors'!$B$13,$K147-1,T$14)*$H147</f>
        <v>0</v>
      </c>
      <c r="U147" s="20"/>
      <c r="V147" s="20">
        <f ca="1">OFFSET('Trans Factors'!$B$13,$O147-1,V$14)*$L147+OFFSET('Trans Factors'!$B$13,$K147-1,V$14)*$H147</f>
        <v>0</v>
      </c>
      <c r="X147" s="20">
        <f ca="1">OFFSET('Trans Factors'!$B$13,$O147-1,X$14)*$L147+OFFSET('Trans Factors'!$B$13,$K147-1,X$14)*$H147</f>
        <v>0</v>
      </c>
      <c r="Y147" s="9"/>
      <c r="Z147" s="20">
        <f ca="1">OFFSET('Trans Factors'!$B$13,$O147-1,Z$14)*$L147+OFFSET('Trans Factors'!$B$13,$K147-1,Z$14)*$H147</f>
        <v>0</v>
      </c>
      <c r="AA147" s="20"/>
      <c r="AB147" s="20">
        <f ca="1">OFFSET('Trans Factors'!$B$13,$O147-1,AB$14)*$L147+OFFSET('Trans Factors'!$B$13,$K147-1,AB$14)*$H147</f>
        <v>0</v>
      </c>
      <c r="AC147" s="20"/>
      <c r="AD147" s="20">
        <f ca="1">OFFSET('Trans Factors'!$B$13,$O147-1,AD$14)*$L147+OFFSET('Trans Factors'!$B$13,$K147-1,AD$14)*$H147</f>
        <v>0</v>
      </c>
      <c r="AF147" s="20">
        <f t="shared" ref="AF147:AF149" ca="1" si="124">P147+R147+T147+V147+X147+Z147+AB147+AD147</f>
        <v>0</v>
      </c>
      <c r="AH147" s="25" t="str">
        <f t="shared" ca="1" si="116"/>
        <v/>
      </c>
      <c r="AK147" s="89">
        <f ca="1">Function!AJ147</f>
        <v>0</v>
      </c>
      <c r="AL147" s="96">
        <f t="shared" ca="1" si="107"/>
        <v>0</v>
      </c>
      <c r="AN147" s="48">
        <f t="shared" ca="1" si="108"/>
        <v>0</v>
      </c>
      <c r="AO147" s="48"/>
      <c r="AP147" s="48">
        <f t="shared" ca="1" si="109"/>
        <v>0</v>
      </c>
      <c r="AQ147" s="48"/>
      <c r="AR147" s="48">
        <f t="shared" ca="1" si="110"/>
        <v>0</v>
      </c>
      <c r="AS147" s="48"/>
      <c r="AT147" s="48">
        <f t="shared" ca="1" si="111"/>
        <v>0</v>
      </c>
      <c r="AU147" s="48"/>
      <c r="AV147" s="48">
        <f t="shared" ca="1" si="112"/>
        <v>0</v>
      </c>
      <c r="AW147" s="48"/>
      <c r="AX147" s="48">
        <f t="shared" ca="1" si="113"/>
        <v>0</v>
      </c>
      <c r="AY147" s="48"/>
      <c r="AZ147" s="48">
        <f t="shared" ca="1" si="113"/>
        <v>0</v>
      </c>
      <c r="BA147" s="48"/>
      <c r="BB147" s="48">
        <f t="shared" ca="1" si="114"/>
        <v>0</v>
      </c>
      <c r="BD147" s="48">
        <f t="shared" ca="1" si="115"/>
        <v>0</v>
      </c>
    </row>
    <row r="148" spans="2:56" ht="13" x14ac:dyDescent="0.3">
      <c r="B148" s="18">
        <f>B147+1</f>
        <v>91</v>
      </c>
      <c r="D148" s="35" t="s">
        <v>132</v>
      </c>
      <c r="F148" s="48">
        <f ca="1">Function!T148</f>
        <v>0</v>
      </c>
      <c r="H148" s="76"/>
      <c r="K148" s="70">
        <f>_xlfn.IFNA(MATCH(J148,'Trans Factors'!$B$13:$B$450,0),0)</f>
        <v>0</v>
      </c>
      <c r="L148" s="48">
        <f t="shared" ca="1" si="104"/>
        <v>0</v>
      </c>
      <c r="O148" s="70">
        <f>_xlfn.IFNA(MATCH(N148,'Trans Factors'!$B$13:$B$450,0),0)</f>
        <v>0</v>
      </c>
      <c r="P148" s="20">
        <f ca="1">OFFSET('Trans Factors'!$B$13,$O148-1,P$14)*$L148+OFFSET('Trans Factors'!$B$13,$K148-1,P$14)*$H148</f>
        <v>0</v>
      </c>
      <c r="R148" s="20">
        <f ca="1">OFFSET('Trans Factors'!$B$13,$O148-1,R$14)*$L148+OFFSET('Trans Factors'!$B$13,$K148-1,R$14)*$H148</f>
        <v>0</v>
      </c>
      <c r="S148" s="20"/>
      <c r="T148" s="20">
        <f ca="1">OFFSET('Trans Factors'!$B$13,$O148-1,T$14)*$L148+OFFSET('Trans Factors'!$B$13,$K148-1,T$14)*$H148</f>
        <v>0</v>
      </c>
      <c r="U148" s="20"/>
      <c r="V148" s="20">
        <f ca="1">OFFSET('Trans Factors'!$B$13,$O148-1,V$14)*$L148+OFFSET('Trans Factors'!$B$13,$K148-1,V$14)*$H148</f>
        <v>0</v>
      </c>
      <c r="X148" s="20">
        <f ca="1">OFFSET('Trans Factors'!$B$13,$O148-1,X$14)*$L148+OFFSET('Trans Factors'!$B$13,$K148-1,X$14)*$H148</f>
        <v>0</v>
      </c>
      <c r="Y148" s="9"/>
      <c r="Z148" s="20">
        <f ca="1">OFFSET('Trans Factors'!$B$13,$O148-1,Z$14)*$L148+OFFSET('Trans Factors'!$B$13,$K148-1,Z$14)*$H148</f>
        <v>0</v>
      </c>
      <c r="AA148" s="20"/>
      <c r="AB148" s="20">
        <f ca="1">OFFSET('Trans Factors'!$B$13,$O148-1,AB$14)*$L148+OFFSET('Trans Factors'!$B$13,$K148-1,AB$14)*$H148</f>
        <v>0</v>
      </c>
      <c r="AC148" s="20"/>
      <c r="AD148" s="20">
        <f ca="1">OFFSET('Trans Factors'!$B$13,$O148-1,AD$14)*$L148+OFFSET('Trans Factors'!$B$13,$K148-1,AD$14)*$H148</f>
        <v>0</v>
      </c>
      <c r="AF148" s="20">
        <f t="shared" ca="1" si="124"/>
        <v>0</v>
      </c>
      <c r="AH148" s="25" t="str">
        <f t="shared" ca="1" si="116"/>
        <v/>
      </c>
      <c r="AK148" s="89">
        <f ca="1">Function!AJ148</f>
        <v>0</v>
      </c>
      <c r="AL148" s="96">
        <f t="shared" ca="1" si="107"/>
        <v>0</v>
      </c>
      <c r="AN148" s="48">
        <f t="shared" ca="1" si="108"/>
        <v>0</v>
      </c>
      <c r="AO148" s="48"/>
      <c r="AP148" s="48">
        <f t="shared" ca="1" si="109"/>
        <v>0</v>
      </c>
      <c r="AQ148" s="48"/>
      <c r="AR148" s="48">
        <f t="shared" ca="1" si="110"/>
        <v>0</v>
      </c>
      <c r="AS148" s="48"/>
      <c r="AT148" s="48">
        <f t="shared" ca="1" si="111"/>
        <v>0</v>
      </c>
      <c r="AU148" s="48"/>
      <c r="AV148" s="48">
        <f t="shared" ca="1" si="112"/>
        <v>0</v>
      </c>
      <c r="AW148" s="48"/>
      <c r="AX148" s="48">
        <f t="shared" ca="1" si="113"/>
        <v>0</v>
      </c>
      <c r="AY148" s="48"/>
      <c r="AZ148" s="48">
        <f t="shared" ca="1" si="113"/>
        <v>0</v>
      </c>
      <c r="BA148" s="48"/>
      <c r="BB148" s="48">
        <f t="shared" ca="1" si="114"/>
        <v>0</v>
      </c>
      <c r="BD148" s="48">
        <f t="shared" ca="1" si="115"/>
        <v>0</v>
      </c>
    </row>
    <row r="149" spans="2:56" ht="13" x14ac:dyDescent="0.3">
      <c r="B149" s="18">
        <f t="shared" ref="B149" si="125">B148+1</f>
        <v>92</v>
      </c>
      <c r="D149" s="35" t="s">
        <v>133</v>
      </c>
      <c r="F149" s="48">
        <f ca="1">Function!T149</f>
        <v>0</v>
      </c>
      <c r="H149" s="76"/>
      <c r="K149" s="70">
        <f>_xlfn.IFNA(MATCH(J149,'Trans Factors'!$B$13:$B$450,0),0)</f>
        <v>0</v>
      </c>
      <c r="L149" s="48">
        <f t="shared" ca="1" si="104"/>
        <v>0</v>
      </c>
      <c r="O149" s="70">
        <f>_xlfn.IFNA(MATCH(N149,'Trans Factors'!$B$13:$B$450,0),0)</f>
        <v>0</v>
      </c>
      <c r="P149" s="20">
        <f ca="1">OFFSET('Trans Factors'!$B$13,$O149-1,P$14)*$L149+OFFSET('Trans Factors'!$B$13,$K149-1,P$14)*$H149</f>
        <v>0</v>
      </c>
      <c r="R149" s="20">
        <f ca="1">OFFSET('Trans Factors'!$B$13,$O149-1,R$14)*$L149+OFFSET('Trans Factors'!$B$13,$K149-1,R$14)*$H149</f>
        <v>0</v>
      </c>
      <c r="S149" s="20"/>
      <c r="T149" s="20">
        <f ca="1">OFFSET('Trans Factors'!$B$13,$O149-1,T$14)*$L149+OFFSET('Trans Factors'!$B$13,$K149-1,T$14)*$H149</f>
        <v>0</v>
      </c>
      <c r="U149" s="20"/>
      <c r="V149" s="20">
        <f ca="1">OFFSET('Trans Factors'!$B$13,$O149-1,V$14)*$L149+OFFSET('Trans Factors'!$B$13,$K149-1,V$14)*$H149</f>
        <v>0</v>
      </c>
      <c r="X149" s="20">
        <f ca="1">OFFSET('Trans Factors'!$B$13,$O149-1,X$14)*$L149+OFFSET('Trans Factors'!$B$13,$K149-1,X$14)*$H149</f>
        <v>0</v>
      </c>
      <c r="Y149" s="9"/>
      <c r="Z149" s="20">
        <f ca="1">OFFSET('Trans Factors'!$B$13,$O149-1,Z$14)*$L149+OFFSET('Trans Factors'!$B$13,$K149-1,Z$14)*$H149</f>
        <v>0</v>
      </c>
      <c r="AA149" s="20"/>
      <c r="AB149" s="20">
        <f ca="1">OFFSET('Trans Factors'!$B$13,$O149-1,AB$14)*$L149+OFFSET('Trans Factors'!$B$13,$K149-1,AB$14)*$H149</f>
        <v>0</v>
      </c>
      <c r="AC149" s="20"/>
      <c r="AD149" s="20">
        <f ca="1">OFFSET('Trans Factors'!$B$13,$O149-1,AD$14)*$L149+OFFSET('Trans Factors'!$B$13,$K149-1,AD$14)*$H149</f>
        <v>0</v>
      </c>
      <c r="AF149" s="20">
        <f t="shared" ca="1" si="124"/>
        <v>0</v>
      </c>
      <c r="AH149" s="25" t="str">
        <f t="shared" ca="1" si="116"/>
        <v/>
      </c>
      <c r="AK149" s="89">
        <f ca="1">Function!AJ149</f>
        <v>0</v>
      </c>
      <c r="AL149" s="96">
        <f t="shared" ca="1" si="107"/>
        <v>0</v>
      </c>
      <c r="AN149" s="48">
        <f t="shared" ca="1" si="108"/>
        <v>0</v>
      </c>
      <c r="AO149" s="48"/>
      <c r="AP149" s="48">
        <f t="shared" ca="1" si="109"/>
        <v>0</v>
      </c>
      <c r="AQ149" s="48"/>
      <c r="AR149" s="48">
        <f t="shared" ca="1" si="110"/>
        <v>0</v>
      </c>
      <c r="AS149" s="48"/>
      <c r="AT149" s="48">
        <f t="shared" ca="1" si="111"/>
        <v>0</v>
      </c>
      <c r="AU149" s="48"/>
      <c r="AV149" s="48">
        <f t="shared" ca="1" si="112"/>
        <v>0</v>
      </c>
      <c r="AW149" s="48"/>
      <c r="AX149" s="48">
        <f t="shared" ca="1" si="113"/>
        <v>0</v>
      </c>
      <c r="AY149" s="48"/>
      <c r="AZ149" s="48">
        <f t="shared" ca="1" si="113"/>
        <v>0</v>
      </c>
      <c r="BA149" s="48"/>
      <c r="BB149" s="48">
        <f t="shared" ca="1" si="114"/>
        <v>0</v>
      </c>
      <c r="BD149" s="48">
        <f t="shared" ca="1" si="115"/>
        <v>0</v>
      </c>
    </row>
    <row r="150" spans="2:56" ht="13" x14ac:dyDescent="0.3">
      <c r="D150" s="1" t="s">
        <v>134</v>
      </c>
      <c r="K150" s="70"/>
      <c r="O150" s="70"/>
      <c r="AH150" s="25" t="str">
        <f t="shared" si="116"/>
        <v/>
      </c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D150" s="48"/>
    </row>
    <row r="151" spans="2:56" ht="13" x14ac:dyDescent="0.3">
      <c r="B151" s="18">
        <f>B149+1</f>
        <v>93</v>
      </c>
      <c r="D151" s="35" t="s">
        <v>111</v>
      </c>
      <c r="F151" s="48">
        <f ca="1">Function!T151</f>
        <v>0</v>
      </c>
      <c r="H151" s="76"/>
      <c r="K151" s="70">
        <f>_xlfn.IFNA(MATCH(J151,'Trans Factors'!$B$13:$B$450,0),0)</f>
        <v>0</v>
      </c>
      <c r="L151" s="48">
        <f t="shared" ca="1" si="104"/>
        <v>0</v>
      </c>
      <c r="N151" s="18"/>
      <c r="O151" s="70">
        <f>_xlfn.IFNA(MATCH(N151,'Trans Factors'!$B$13:$B$450,0),0)</f>
        <v>0</v>
      </c>
      <c r="P151" s="20">
        <f ca="1">OFFSET('Trans Factors'!$B$13,$O151-1,P$14)*$L151+OFFSET('Trans Factors'!$B$13,$K151-1,P$14)*$H151</f>
        <v>0</v>
      </c>
      <c r="R151" s="20">
        <f ca="1">OFFSET('Trans Factors'!$B$13,$O151-1,R$14)*$L151+OFFSET('Trans Factors'!$B$13,$K151-1,R$14)*$H151</f>
        <v>0</v>
      </c>
      <c r="S151" s="20"/>
      <c r="T151" s="20">
        <f ca="1">OFFSET('Trans Factors'!$B$13,$O151-1,T$14)*$L151+OFFSET('Trans Factors'!$B$13,$K151-1,T$14)*$H151</f>
        <v>0</v>
      </c>
      <c r="U151" s="20"/>
      <c r="V151" s="20">
        <f ca="1">OFFSET('Trans Factors'!$B$13,$O151-1,V$14)*$L151+OFFSET('Trans Factors'!$B$13,$K151-1,V$14)*$H151</f>
        <v>0</v>
      </c>
      <c r="X151" s="20">
        <f ca="1">OFFSET('Trans Factors'!$B$13,$O151-1,X$14)*$L151+OFFSET('Trans Factors'!$B$13,$K151-1,X$14)*$H151</f>
        <v>0</v>
      </c>
      <c r="Y151" s="9"/>
      <c r="Z151" s="20">
        <f ca="1">OFFSET('Trans Factors'!$B$13,$O151-1,Z$14)*$L151+OFFSET('Trans Factors'!$B$13,$K151-1,Z$14)*$H151</f>
        <v>0</v>
      </c>
      <c r="AA151" s="20"/>
      <c r="AB151" s="20">
        <f ca="1">OFFSET('Trans Factors'!$B$13,$O151-1,AB$14)*$L151+OFFSET('Trans Factors'!$B$13,$K151-1,AB$14)*$H151</f>
        <v>0</v>
      </c>
      <c r="AC151" s="20"/>
      <c r="AD151" s="20">
        <f ca="1">OFFSET('Trans Factors'!$B$13,$O151-1,AD$14)*$L151+OFFSET('Trans Factors'!$B$13,$K151-1,AD$14)*$H151</f>
        <v>0</v>
      </c>
      <c r="AF151" s="20">
        <f t="shared" ref="AF151:AF157" ca="1" si="126">P151+R151+T151+V151+X151+Z151+AB151+AD151</f>
        <v>0</v>
      </c>
      <c r="AH151" s="25" t="str">
        <f t="shared" ca="1" si="116"/>
        <v/>
      </c>
      <c r="AK151" s="89">
        <f ca="1">Function!AJ151</f>
        <v>0</v>
      </c>
      <c r="AL151" s="96">
        <f t="shared" ca="1" si="107"/>
        <v>0</v>
      </c>
      <c r="AN151" s="48">
        <f t="shared" ca="1" si="108"/>
        <v>0</v>
      </c>
      <c r="AO151" s="48"/>
      <c r="AP151" s="48">
        <f t="shared" ca="1" si="109"/>
        <v>0</v>
      </c>
      <c r="AQ151" s="48"/>
      <c r="AR151" s="48">
        <f t="shared" ca="1" si="110"/>
        <v>0</v>
      </c>
      <c r="AS151" s="48"/>
      <c r="AT151" s="48">
        <f t="shared" ca="1" si="111"/>
        <v>0</v>
      </c>
      <c r="AU151" s="48"/>
      <c r="AV151" s="48">
        <f t="shared" ca="1" si="112"/>
        <v>0</v>
      </c>
      <c r="AW151" s="48"/>
      <c r="AX151" s="48">
        <f t="shared" ca="1" si="113"/>
        <v>0</v>
      </c>
      <c r="AY151" s="48"/>
      <c r="AZ151" s="48">
        <f t="shared" ca="1" si="113"/>
        <v>0</v>
      </c>
      <c r="BA151" s="48"/>
      <c r="BB151" s="48">
        <f t="shared" ca="1" si="114"/>
        <v>0</v>
      </c>
      <c r="BD151" s="48">
        <f t="shared" ca="1" si="115"/>
        <v>0</v>
      </c>
    </row>
    <row r="152" spans="2:56" ht="13" x14ac:dyDescent="0.3">
      <c r="B152" s="18">
        <f>B151+1</f>
        <v>94</v>
      </c>
      <c r="D152" s="35" t="s">
        <v>136</v>
      </c>
      <c r="F152" s="48">
        <f ca="1">Function!T152</f>
        <v>0</v>
      </c>
      <c r="H152" s="76"/>
      <c r="K152" s="70">
        <f>_xlfn.IFNA(MATCH(J152,'Trans Factors'!$B$13:$B$450,0),0)</f>
        <v>0</v>
      </c>
      <c r="L152" s="48">
        <f t="shared" ca="1" si="104"/>
        <v>0</v>
      </c>
      <c r="O152" s="70">
        <f>_xlfn.IFNA(MATCH(N152,'Trans Factors'!$B$13:$B$450,0),0)</f>
        <v>0</v>
      </c>
      <c r="P152" s="20">
        <f ca="1">OFFSET('Trans Factors'!$B$13,$O152-1,P$14)*$L152+OFFSET('Trans Factors'!$B$13,$K152-1,P$14)*$H152</f>
        <v>0</v>
      </c>
      <c r="R152" s="20">
        <f ca="1">OFFSET('Trans Factors'!$B$13,$O152-1,R$14)*$L152+OFFSET('Trans Factors'!$B$13,$K152-1,R$14)*$H152</f>
        <v>0</v>
      </c>
      <c r="S152" s="20"/>
      <c r="T152" s="20">
        <f ca="1">OFFSET('Trans Factors'!$B$13,$O152-1,T$14)*$L152+OFFSET('Trans Factors'!$B$13,$K152-1,T$14)*$H152</f>
        <v>0</v>
      </c>
      <c r="U152" s="20"/>
      <c r="V152" s="20">
        <f ca="1">OFFSET('Trans Factors'!$B$13,$O152-1,V$14)*$L152+OFFSET('Trans Factors'!$B$13,$K152-1,V$14)*$H152</f>
        <v>0</v>
      </c>
      <c r="X152" s="20">
        <f ca="1">OFFSET('Trans Factors'!$B$13,$O152-1,X$14)*$L152+OFFSET('Trans Factors'!$B$13,$K152-1,X$14)*$H152</f>
        <v>0</v>
      </c>
      <c r="Y152" s="9"/>
      <c r="Z152" s="20">
        <f ca="1">OFFSET('Trans Factors'!$B$13,$O152-1,Z$14)*$L152+OFFSET('Trans Factors'!$B$13,$K152-1,Z$14)*$H152</f>
        <v>0</v>
      </c>
      <c r="AA152" s="20"/>
      <c r="AB152" s="20">
        <f ca="1">OFFSET('Trans Factors'!$B$13,$O152-1,AB$14)*$L152+OFFSET('Trans Factors'!$B$13,$K152-1,AB$14)*$H152</f>
        <v>0</v>
      </c>
      <c r="AC152" s="20"/>
      <c r="AD152" s="20">
        <f ca="1">OFFSET('Trans Factors'!$B$13,$O152-1,AD$14)*$L152+OFFSET('Trans Factors'!$B$13,$K152-1,AD$14)*$H152</f>
        <v>0</v>
      </c>
      <c r="AF152" s="20">
        <f t="shared" ca="1" si="126"/>
        <v>0</v>
      </c>
      <c r="AH152" s="25" t="str">
        <f t="shared" ca="1" si="116"/>
        <v/>
      </c>
      <c r="AK152" s="89">
        <f ca="1">Function!AJ152</f>
        <v>0</v>
      </c>
      <c r="AL152" s="96">
        <f t="shared" ca="1" si="107"/>
        <v>0</v>
      </c>
      <c r="AN152" s="48">
        <f t="shared" ca="1" si="108"/>
        <v>0</v>
      </c>
      <c r="AO152" s="48"/>
      <c r="AP152" s="48">
        <f t="shared" ca="1" si="109"/>
        <v>0</v>
      </c>
      <c r="AQ152" s="48"/>
      <c r="AR152" s="48">
        <f t="shared" ca="1" si="110"/>
        <v>0</v>
      </c>
      <c r="AS152" s="48"/>
      <c r="AT152" s="48">
        <f t="shared" ca="1" si="111"/>
        <v>0</v>
      </c>
      <c r="AU152" s="48"/>
      <c r="AV152" s="48">
        <f t="shared" ca="1" si="112"/>
        <v>0</v>
      </c>
      <c r="AW152" s="48"/>
      <c r="AX152" s="48">
        <f t="shared" ca="1" si="113"/>
        <v>0</v>
      </c>
      <c r="AY152" s="48"/>
      <c r="AZ152" s="48">
        <f t="shared" ca="1" si="113"/>
        <v>0</v>
      </c>
      <c r="BA152" s="48"/>
      <c r="BB152" s="48">
        <f t="shared" ca="1" si="114"/>
        <v>0</v>
      </c>
      <c r="BD152" s="48">
        <f t="shared" ca="1" si="115"/>
        <v>0</v>
      </c>
    </row>
    <row r="153" spans="2:56" ht="13" x14ac:dyDescent="0.3">
      <c r="B153" s="18">
        <f>B152+1</f>
        <v>95</v>
      </c>
      <c r="D153" s="35" t="s">
        <v>137</v>
      </c>
      <c r="F153" s="48">
        <f ca="1">Function!T153</f>
        <v>0</v>
      </c>
      <c r="H153" s="76"/>
      <c r="K153" s="70">
        <f>_xlfn.IFNA(MATCH(J153,'Trans Factors'!$B$13:$B$450,0),0)</f>
        <v>0</v>
      </c>
      <c r="L153" s="48">
        <f t="shared" ca="1" si="104"/>
        <v>0</v>
      </c>
      <c r="O153" s="70">
        <f>_xlfn.IFNA(MATCH(N153,'Trans Factors'!$B$13:$B$450,0),0)</f>
        <v>0</v>
      </c>
      <c r="P153" s="20">
        <f ca="1">OFFSET('Trans Factors'!$B$13,$O153-1,P$14)*$L153+OFFSET('Trans Factors'!$B$13,$K153-1,P$14)*$H153</f>
        <v>0</v>
      </c>
      <c r="R153" s="20">
        <f ca="1">OFFSET('Trans Factors'!$B$13,$O153-1,R$14)*$L153+OFFSET('Trans Factors'!$B$13,$K153-1,R$14)*$H153</f>
        <v>0</v>
      </c>
      <c r="S153" s="20"/>
      <c r="T153" s="20">
        <f ca="1">OFFSET('Trans Factors'!$B$13,$O153-1,T$14)*$L153+OFFSET('Trans Factors'!$B$13,$K153-1,T$14)*$H153</f>
        <v>0</v>
      </c>
      <c r="U153" s="20"/>
      <c r="V153" s="20">
        <f ca="1">OFFSET('Trans Factors'!$B$13,$O153-1,V$14)*$L153+OFFSET('Trans Factors'!$B$13,$K153-1,V$14)*$H153</f>
        <v>0</v>
      </c>
      <c r="X153" s="20">
        <f ca="1">OFFSET('Trans Factors'!$B$13,$O153-1,X$14)*$L153+OFFSET('Trans Factors'!$B$13,$K153-1,X$14)*$H153</f>
        <v>0</v>
      </c>
      <c r="Y153" s="9"/>
      <c r="Z153" s="20">
        <f ca="1">OFFSET('Trans Factors'!$B$13,$O153-1,Z$14)*$L153+OFFSET('Trans Factors'!$B$13,$K153-1,Z$14)*$H153</f>
        <v>0</v>
      </c>
      <c r="AA153" s="20"/>
      <c r="AB153" s="20">
        <f ca="1">OFFSET('Trans Factors'!$B$13,$O153-1,AB$14)*$L153+OFFSET('Trans Factors'!$B$13,$K153-1,AB$14)*$H153</f>
        <v>0</v>
      </c>
      <c r="AC153" s="20"/>
      <c r="AD153" s="20">
        <f ca="1">OFFSET('Trans Factors'!$B$13,$O153-1,AD$14)*$L153+OFFSET('Trans Factors'!$B$13,$K153-1,AD$14)*$H153</f>
        <v>0</v>
      </c>
      <c r="AF153" s="20">
        <f t="shared" ca="1" si="126"/>
        <v>0</v>
      </c>
      <c r="AH153" s="25" t="str">
        <f t="shared" ca="1" si="116"/>
        <v/>
      </c>
      <c r="AK153" s="89">
        <f ca="1">Function!AJ153</f>
        <v>0</v>
      </c>
      <c r="AL153" s="96">
        <f t="shared" ca="1" si="107"/>
        <v>0</v>
      </c>
      <c r="AN153" s="48">
        <f t="shared" ca="1" si="108"/>
        <v>0</v>
      </c>
      <c r="AO153" s="48"/>
      <c r="AP153" s="48">
        <f t="shared" ca="1" si="109"/>
        <v>0</v>
      </c>
      <c r="AQ153" s="48"/>
      <c r="AR153" s="48">
        <f t="shared" ca="1" si="110"/>
        <v>0</v>
      </c>
      <c r="AS153" s="48"/>
      <c r="AT153" s="48">
        <f t="shared" ca="1" si="111"/>
        <v>0</v>
      </c>
      <c r="AU153" s="48"/>
      <c r="AV153" s="48">
        <f t="shared" ca="1" si="112"/>
        <v>0</v>
      </c>
      <c r="AW153" s="48"/>
      <c r="AX153" s="48">
        <f t="shared" ca="1" si="113"/>
        <v>0</v>
      </c>
      <c r="AY153" s="48"/>
      <c r="AZ153" s="48">
        <f t="shared" ca="1" si="113"/>
        <v>0</v>
      </c>
      <c r="BA153" s="48"/>
      <c r="BB153" s="48">
        <f t="shared" ca="1" si="114"/>
        <v>0</v>
      </c>
      <c r="BD153" s="48">
        <f t="shared" ca="1" si="115"/>
        <v>0</v>
      </c>
    </row>
    <row r="154" spans="2:56" ht="13" x14ac:dyDescent="0.3">
      <c r="B154" s="18">
        <f t="shared" ref="B154:B157" si="127">B153+1</f>
        <v>96</v>
      </c>
      <c r="D154" s="35" t="s">
        <v>138</v>
      </c>
      <c r="F154" s="48">
        <f ca="1">Function!T154</f>
        <v>0</v>
      </c>
      <c r="H154" s="76"/>
      <c r="K154" s="70">
        <f>_xlfn.IFNA(MATCH(J154,'Trans Factors'!$B$13:$B$450,0),0)</f>
        <v>0</v>
      </c>
      <c r="L154" s="48">
        <f t="shared" ca="1" si="104"/>
        <v>0</v>
      </c>
      <c r="O154" s="70">
        <f>_xlfn.IFNA(MATCH(N154,'Trans Factors'!$B$13:$B$450,0),0)</f>
        <v>0</v>
      </c>
      <c r="P154" s="20">
        <f ca="1">OFFSET('Trans Factors'!$B$13,$O154-1,P$14)*$L154+OFFSET('Trans Factors'!$B$13,$K154-1,P$14)*$H154</f>
        <v>0</v>
      </c>
      <c r="R154" s="20">
        <f ca="1">OFFSET('Trans Factors'!$B$13,$O154-1,R$14)*$L154+OFFSET('Trans Factors'!$B$13,$K154-1,R$14)*$H154</f>
        <v>0</v>
      </c>
      <c r="S154" s="20"/>
      <c r="T154" s="20">
        <f ca="1">OFFSET('Trans Factors'!$B$13,$O154-1,T$14)*$L154+OFFSET('Trans Factors'!$B$13,$K154-1,T$14)*$H154</f>
        <v>0</v>
      </c>
      <c r="U154" s="20"/>
      <c r="V154" s="20">
        <f ca="1">OFFSET('Trans Factors'!$B$13,$O154-1,V$14)*$L154+OFFSET('Trans Factors'!$B$13,$K154-1,V$14)*$H154</f>
        <v>0</v>
      </c>
      <c r="X154" s="20">
        <f ca="1">OFFSET('Trans Factors'!$B$13,$O154-1,X$14)*$L154+OFFSET('Trans Factors'!$B$13,$K154-1,X$14)*$H154</f>
        <v>0</v>
      </c>
      <c r="Y154" s="9"/>
      <c r="Z154" s="20">
        <f ca="1">OFFSET('Trans Factors'!$B$13,$O154-1,Z$14)*$L154+OFFSET('Trans Factors'!$B$13,$K154-1,Z$14)*$H154</f>
        <v>0</v>
      </c>
      <c r="AA154" s="20"/>
      <c r="AB154" s="20">
        <f ca="1">OFFSET('Trans Factors'!$B$13,$O154-1,AB$14)*$L154+OFFSET('Trans Factors'!$B$13,$K154-1,AB$14)*$H154</f>
        <v>0</v>
      </c>
      <c r="AC154" s="20"/>
      <c r="AD154" s="20">
        <f ca="1">OFFSET('Trans Factors'!$B$13,$O154-1,AD$14)*$L154+OFFSET('Trans Factors'!$B$13,$K154-1,AD$14)*$H154</f>
        <v>0</v>
      </c>
      <c r="AF154" s="20">
        <f t="shared" ca="1" si="126"/>
        <v>0</v>
      </c>
      <c r="AH154" s="25" t="str">
        <f t="shared" ca="1" si="116"/>
        <v/>
      </c>
      <c r="AK154" s="89">
        <f ca="1">Function!AJ154</f>
        <v>0</v>
      </c>
      <c r="AL154" s="96">
        <f t="shared" ca="1" si="107"/>
        <v>0</v>
      </c>
      <c r="AN154" s="48">
        <f t="shared" ca="1" si="108"/>
        <v>0</v>
      </c>
      <c r="AO154" s="48"/>
      <c r="AP154" s="48">
        <f t="shared" ca="1" si="109"/>
        <v>0</v>
      </c>
      <c r="AQ154" s="48"/>
      <c r="AR154" s="48">
        <f t="shared" ca="1" si="110"/>
        <v>0</v>
      </c>
      <c r="AS154" s="48"/>
      <c r="AT154" s="48">
        <f t="shared" ca="1" si="111"/>
        <v>0</v>
      </c>
      <c r="AU154" s="48"/>
      <c r="AV154" s="48">
        <f t="shared" ca="1" si="112"/>
        <v>0</v>
      </c>
      <c r="AW154" s="48"/>
      <c r="AX154" s="48">
        <f t="shared" ca="1" si="113"/>
        <v>0</v>
      </c>
      <c r="AY154" s="48"/>
      <c r="AZ154" s="48">
        <f t="shared" ca="1" si="113"/>
        <v>0</v>
      </c>
      <c r="BA154" s="48"/>
      <c r="BB154" s="48">
        <f t="shared" ca="1" si="114"/>
        <v>0</v>
      </c>
      <c r="BD154" s="48">
        <f t="shared" ca="1" si="115"/>
        <v>0</v>
      </c>
    </row>
    <row r="155" spans="2:56" ht="13" x14ac:dyDescent="0.3">
      <c r="B155" s="18">
        <f t="shared" si="127"/>
        <v>97</v>
      </c>
      <c r="D155" s="35" t="s">
        <v>139</v>
      </c>
      <c r="F155" s="48">
        <f ca="1">Function!T155</f>
        <v>0</v>
      </c>
      <c r="H155" s="76"/>
      <c r="K155" s="70">
        <f>_xlfn.IFNA(MATCH(J155,'Trans Factors'!$B$13:$B$450,0),0)</f>
        <v>0</v>
      </c>
      <c r="L155" s="48">
        <f t="shared" ca="1" si="104"/>
        <v>0</v>
      </c>
      <c r="O155" s="70">
        <f>_xlfn.IFNA(MATCH(N155,'Trans Factors'!$B$13:$B$450,0),0)</f>
        <v>0</v>
      </c>
      <c r="P155" s="20">
        <f ca="1">OFFSET('Trans Factors'!$B$13,$O155-1,P$14)*$L155+OFFSET('Trans Factors'!$B$13,$K155-1,P$14)*$H155</f>
        <v>0</v>
      </c>
      <c r="R155" s="20">
        <f ca="1">OFFSET('Trans Factors'!$B$13,$O155-1,R$14)*$L155+OFFSET('Trans Factors'!$B$13,$K155-1,R$14)*$H155</f>
        <v>0</v>
      </c>
      <c r="S155" s="20"/>
      <c r="T155" s="20">
        <f ca="1">OFFSET('Trans Factors'!$B$13,$O155-1,T$14)*$L155+OFFSET('Trans Factors'!$B$13,$K155-1,T$14)*$H155</f>
        <v>0</v>
      </c>
      <c r="U155" s="20"/>
      <c r="V155" s="20">
        <f ca="1">OFFSET('Trans Factors'!$B$13,$O155-1,V$14)*$L155+OFFSET('Trans Factors'!$B$13,$K155-1,V$14)*$H155</f>
        <v>0</v>
      </c>
      <c r="X155" s="20">
        <f ca="1">OFFSET('Trans Factors'!$B$13,$O155-1,X$14)*$L155+OFFSET('Trans Factors'!$B$13,$K155-1,X$14)*$H155</f>
        <v>0</v>
      </c>
      <c r="Y155" s="9"/>
      <c r="Z155" s="20">
        <f ca="1">OFFSET('Trans Factors'!$B$13,$O155-1,Z$14)*$L155+OFFSET('Trans Factors'!$B$13,$K155-1,Z$14)*$H155</f>
        <v>0</v>
      </c>
      <c r="AA155" s="20"/>
      <c r="AB155" s="20">
        <f ca="1">OFFSET('Trans Factors'!$B$13,$O155-1,AB$14)*$L155+OFFSET('Trans Factors'!$B$13,$K155-1,AB$14)*$H155</f>
        <v>0</v>
      </c>
      <c r="AC155" s="20"/>
      <c r="AD155" s="20">
        <f ca="1">OFFSET('Trans Factors'!$B$13,$O155-1,AD$14)*$L155+OFFSET('Trans Factors'!$B$13,$K155-1,AD$14)*$H155</f>
        <v>0</v>
      </c>
      <c r="AF155" s="20">
        <f t="shared" ca="1" si="126"/>
        <v>0</v>
      </c>
      <c r="AH155" s="25" t="str">
        <f t="shared" ca="1" si="116"/>
        <v/>
      </c>
      <c r="AK155" s="89">
        <f ca="1">Function!AJ155</f>
        <v>0</v>
      </c>
      <c r="AL155" s="96">
        <f t="shared" ca="1" si="107"/>
        <v>0</v>
      </c>
      <c r="AN155" s="48">
        <f t="shared" ca="1" si="108"/>
        <v>0</v>
      </c>
      <c r="AO155" s="48"/>
      <c r="AP155" s="48">
        <f t="shared" ca="1" si="109"/>
        <v>0</v>
      </c>
      <c r="AQ155" s="48"/>
      <c r="AR155" s="48">
        <f t="shared" ca="1" si="110"/>
        <v>0</v>
      </c>
      <c r="AS155" s="48"/>
      <c r="AT155" s="48">
        <f t="shared" ca="1" si="111"/>
        <v>0</v>
      </c>
      <c r="AU155" s="48"/>
      <c r="AV155" s="48">
        <f t="shared" ca="1" si="112"/>
        <v>0</v>
      </c>
      <c r="AW155" s="48"/>
      <c r="AX155" s="48">
        <f t="shared" ca="1" si="113"/>
        <v>0</v>
      </c>
      <c r="AY155" s="48"/>
      <c r="AZ155" s="48">
        <f t="shared" ca="1" si="113"/>
        <v>0</v>
      </c>
      <c r="BA155" s="48"/>
      <c r="BB155" s="48">
        <f t="shared" ca="1" si="114"/>
        <v>0</v>
      </c>
      <c r="BD155" s="48">
        <f t="shared" ca="1" si="115"/>
        <v>0</v>
      </c>
    </row>
    <row r="156" spans="2:56" ht="13" x14ac:dyDescent="0.3">
      <c r="B156" s="18">
        <f t="shared" si="127"/>
        <v>98</v>
      </c>
      <c r="D156" s="35" t="s">
        <v>140</v>
      </c>
      <c r="F156" s="48">
        <f ca="1">Function!T156</f>
        <v>0</v>
      </c>
      <c r="H156" s="76"/>
      <c r="K156" s="70">
        <f>_xlfn.IFNA(MATCH(J156,'Trans Factors'!$B$13:$B$450,0),0)</f>
        <v>0</v>
      </c>
      <c r="L156" s="48">
        <f t="shared" ca="1" si="104"/>
        <v>0</v>
      </c>
      <c r="O156" s="70">
        <f>_xlfn.IFNA(MATCH(N156,'Trans Factors'!$B$13:$B$450,0),0)</f>
        <v>0</v>
      </c>
      <c r="P156" s="20">
        <f ca="1">OFFSET('Trans Factors'!$B$13,$O156-1,P$14)*$L156+OFFSET('Trans Factors'!$B$13,$K156-1,P$14)*$H156</f>
        <v>0</v>
      </c>
      <c r="R156" s="20">
        <f ca="1">OFFSET('Trans Factors'!$B$13,$O156-1,R$14)*$L156+OFFSET('Trans Factors'!$B$13,$K156-1,R$14)*$H156</f>
        <v>0</v>
      </c>
      <c r="S156" s="20"/>
      <c r="T156" s="20">
        <f ca="1">OFFSET('Trans Factors'!$B$13,$O156-1,T$14)*$L156+OFFSET('Trans Factors'!$B$13,$K156-1,T$14)*$H156</f>
        <v>0</v>
      </c>
      <c r="U156" s="20"/>
      <c r="V156" s="20">
        <f ca="1">OFFSET('Trans Factors'!$B$13,$O156-1,V$14)*$L156+OFFSET('Trans Factors'!$B$13,$K156-1,V$14)*$H156</f>
        <v>0</v>
      </c>
      <c r="X156" s="20">
        <f ca="1">OFFSET('Trans Factors'!$B$13,$O156-1,X$14)*$L156+OFFSET('Trans Factors'!$B$13,$K156-1,X$14)*$H156</f>
        <v>0</v>
      </c>
      <c r="Y156" s="9"/>
      <c r="Z156" s="20">
        <f ca="1">OFFSET('Trans Factors'!$B$13,$O156-1,Z$14)*$L156+OFFSET('Trans Factors'!$B$13,$K156-1,Z$14)*$H156</f>
        <v>0</v>
      </c>
      <c r="AA156" s="20"/>
      <c r="AB156" s="20">
        <f ca="1">OFFSET('Trans Factors'!$B$13,$O156-1,AB$14)*$L156+OFFSET('Trans Factors'!$B$13,$K156-1,AB$14)*$H156</f>
        <v>0</v>
      </c>
      <c r="AC156" s="20"/>
      <c r="AD156" s="20">
        <f ca="1">OFFSET('Trans Factors'!$B$13,$O156-1,AD$14)*$L156+OFFSET('Trans Factors'!$B$13,$K156-1,AD$14)*$H156</f>
        <v>0</v>
      </c>
      <c r="AF156" s="20">
        <f t="shared" ca="1" si="126"/>
        <v>0</v>
      </c>
      <c r="AH156" s="25" t="str">
        <f t="shared" ca="1" si="116"/>
        <v/>
      </c>
      <c r="AK156" s="89">
        <f ca="1">Function!AJ156</f>
        <v>0</v>
      </c>
      <c r="AL156" s="96">
        <f t="shared" ca="1" si="107"/>
        <v>0</v>
      </c>
      <c r="AN156" s="48">
        <f t="shared" ca="1" si="108"/>
        <v>0</v>
      </c>
      <c r="AO156" s="48"/>
      <c r="AP156" s="48">
        <f t="shared" ca="1" si="109"/>
        <v>0</v>
      </c>
      <c r="AQ156" s="48"/>
      <c r="AR156" s="48">
        <f t="shared" ca="1" si="110"/>
        <v>0</v>
      </c>
      <c r="AS156" s="48"/>
      <c r="AT156" s="48">
        <f t="shared" ca="1" si="111"/>
        <v>0</v>
      </c>
      <c r="AU156" s="48"/>
      <c r="AV156" s="48">
        <f t="shared" ca="1" si="112"/>
        <v>0</v>
      </c>
      <c r="AW156" s="48"/>
      <c r="AX156" s="48">
        <f t="shared" ca="1" si="113"/>
        <v>0</v>
      </c>
      <c r="AY156" s="48"/>
      <c r="AZ156" s="48">
        <f t="shared" ca="1" si="113"/>
        <v>0</v>
      </c>
      <c r="BA156" s="48"/>
      <c r="BB156" s="48">
        <f t="shared" ca="1" si="114"/>
        <v>0</v>
      </c>
      <c r="BD156" s="48">
        <f t="shared" ca="1" si="115"/>
        <v>0</v>
      </c>
    </row>
    <row r="157" spans="2:56" ht="13" x14ac:dyDescent="0.3">
      <c r="B157" s="18">
        <f t="shared" si="127"/>
        <v>99</v>
      </c>
      <c r="D157" s="35" t="s">
        <v>141</v>
      </c>
      <c r="F157" s="48">
        <f ca="1">Function!T157</f>
        <v>0</v>
      </c>
      <c r="H157" s="76"/>
      <c r="K157" s="70">
        <f>_xlfn.IFNA(MATCH(J157,'Trans Factors'!$B$13:$B$450,0),0)</f>
        <v>0</v>
      </c>
      <c r="L157" s="48">
        <f t="shared" ca="1" si="104"/>
        <v>0</v>
      </c>
      <c r="O157" s="70">
        <f>_xlfn.IFNA(MATCH(N157,'Trans Factors'!$B$13:$B$450,0),0)</f>
        <v>0</v>
      </c>
      <c r="P157" s="20">
        <f ca="1">OFFSET('Trans Factors'!$B$13,$O157-1,P$14)*$L157+OFFSET('Trans Factors'!$B$13,$K157-1,P$14)*$H157</f>
        <v>0</v>
      </c>
      <c r="R157" s="20">
        <f ca="1">OFFSET('Trans Factors'!$B$13,$O157-1,R$14)*$L157+OFFSET('Trans Factors'!$B$13,$K157-1,R$14)*$H157</f>
        <v>0</v>
      </c>
      <c r="S157" s="20"/>
      <c r="T157" s="20">
        <f ca="1">OFFSET('Trans Factors'!$B$13,$O157-1,T$14)*$L157+OFFSET('Trans Factors'!$B$13,$K157-1,T$14)*$H157</f>
        <v>0</v>
      </c>
      <c r="U157" s="20"/>
      <c r="V157" s="20">
        <f ca="1">OFFSET('Trans Factors'!$B$13,$O157-1,V$14)*$L157+OFFSET('Trans Factors'!$B$13,$K157-1,V$14)*$H157</f>
        <v>0</v>
      </c>
      <c r="X157" s="20">
        <f ca="1">OFFSET('Trans Factors'!$B$13,$O157-1,X$14)*$L157+OFFSET('Trans Factors'!$B$13,$K157-1,X$14)*$H157</f>
        <v>0</v>
      </c>
      <c r="Y157" s="9"/>
      <c r="Z157" s="20">
        <f ca="1">OFFSET('Trans Factors'!$B$13,$O157-1,Z$14)*$L157+OFFSET('Trans Factors'!$B$13,$K157-1,Z$14)*$H157</f>
        <v>0</v>
      </c>
      <c r="AA157" s="20"/>
      <c r="AB157" s="20">
        <f ca="1">OFFSET('Trans Factors'!$B$13,$O157-1,AB$14)*$L157+OFFSET('Trans Factors'!$B$13,$K157-1,AB$14)*$H157</f>
        <v>0</v>
      </c>
      <c r="AC157" s="20"/>
      <c r="AD157" s="20">
        <f ca="1">OFFSET('Trans Factors'!$B$13,$O157-1,AD$14)*$L157+OFFSET('Trans Factors'!$B$13,$K157-1,AD$14)*$H157</f>
        <v>0</v>
      </c>
      <c r="AF157" s="20">
        <f t="shared" ca="1" si="126"/>
        <v>0</v>
      </c>
      <c r="AH157" s="25" t="str">
        <f t="shared" ca="1" si="116"/>
        <v/>
      </c>
      <c r="AK157" s="89">
        <f ca="1">Function!AJ157</f>
        <v>0</v>
      </c>
      <c r="AL157" s="96">
        <f t="shared" ca="1" si="107"/>
        <v>0</v>
      </c>
      <c r="AN157" s="48">
        <f t="shared" ca="1" si="108"/>
        <v>0</v>
      </c>
      <c r="AO157" s="48"/>
      <c r="AP157" s="48">
        <f t="shared" ca="1" si="109"/>
        <v>0</v>
      </c>
      <c r="AQ157" s="48"/>
      <c r="AR157" s="48">
        <f t="shared" ca="1" si="110"/>
        <v>0</v>
      </c>
      <c r="AS157" s="48"/>
      <c r="AT157" s="48">
        <f t="shared" ca="1" si="111"/>
        <v>0</v>
      </c>
      <c r="AU157" s="48"/>
      <c r="AV157" s="48">
        <f t="shared" ca="1" si="112"/>
        <v>0</v>
      </c>
      <c r="AW157" s="48"/>
      <c r="AX157" s="48">
        <f t="shared" ca="1" si="113"/>
        <v>0</v>
      </c>
      <c r="AY157" s="48"/>
      <c r="AZ157" s="48">
        <f t="shared" ca="1" si="113"/>
        <v>0</v>
      </c>
      <c r="BA157" s="48"/>
      <c r="BB157" s="48">
        <f t="shared" ca="1" si="114"/>
        <v>0</v>
      </c>
      <c r="BD157" s="48">
        <f t="shared" ca="1" si="115"/>
        <v>0</v>
      </c>
    </row>
    <row r="158" spans="2:56" ht="13" x14ac:dyDescent="0.3">
      <c r="D158" s="1" t="s">
        <v>143</v>
      </c>
      <c r="K158" s="70"/>
      <c r="O158" s="70"/>
      <c r="AH158" s="25" t="str">
        <f t="shared" si="116"/>
        <v/>
      </c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D158" s="48"/>
    </row>
    <row r="159" spans="2:56" ht="13" x14ac:dyDescent="0.3">
      <c r="B159" s="18">
        <f>B157+1</f>
        <v>100</v>
      </c>
      <c r="D159" s="35" t="s">
        <v>144</v>
      </c>
      <c r="F159" s="48">
        <f ca="1">Function!T159</f>
        <v>12393.267122205594</v>
      </c>
      <c r="H159" s="76"/>
      <c r="K159" s="70">
        <f>_xlfn.IFNA(MATCH(J159,'Trans Factors'!$B$13:$B$450,0),0)</f>
        <v>0</v>
      </c>
      <c r="L159" s="48">
        <f t="shared" ca="1" si="104"/>
        <v>12393.267122205594</v>
      </c>
      <c r="N159" s="18" t="s">
        <v>268</v>
      </c>
      <c r="O159" s="70">
        <f>_xlfn.IFNA(MATCH(N159,'Trans Factors'!$B$13:$B$450,0),0)</f>
        <v>26</v>
      </c>
      <c r="P159" s="20">
        <f ca="1">OFFSET('Trans Factors'!$B$13,$O159-1,P$14)*$L159+OFFSET('Trans Factors'!$B$13,$K159-1,P$14)*$H159</f>
        <v>622.27508812461429</v>
      </c>
      <c r="R159" s="20">
        <f ca="1">OFFSET('Trans Factors'!$B$13,$O159-1,R$14)*$L159+OFFSET('Trans Factors'!$B$13,$K159-1,R$14)*$H159</f>
        <v>102.19508532059669</v>
      </c>
      <c r="S159" s="20"/>
      <c r="T159" s="20">
        <f ca="1">OFFSET('Trans Factors'!$B$13,$O159-1,T$14)*$L159+OFFSET('Trans Factors'!$B$13,$K159-1,T$14)*$H159</f>
        <v>1712.5079687339639</v>
      </c>
      <c r="U159" s="20"/>
      <c r="V159" s="20">
        <f ca="1">OFFSET('Trans Factors'!$B$13,$O159-1,V$14)*$L159+OFFSET('Trans Factors'!$B$13,$K159-1,V$14)*$H159</f>
        <v>7159.58134422898</v>
      </c>
      <c r="X159" s="20">
        <f ca="1">OFFSET('Trans Factors'!$B$13,$O159-1,X$14)*$L159+OFFSET('Trans Factors'!$B$13,$K159-1,X$14)*$H159</f>
        <v>821.92342627756386</v>
      </c>
      <c r="Y159" s="9"/>
      <c r="Z159" s="20">
        <f ca="1">OFFSET('Trans Factors'!$B$13,$O159-1,Z$14)*$L159+OFFSET('Trans Factors'!$B$13,$K159-1,Z$14)*$H159</f>
        <v>1944.7334585979238</v>
      </c>
      <c r="AA159" s="20"/>
      <c r="AB159" s="20">
        <f ca="1">OFFSET('Trans Factors'!$B$13,$O159-1,AB$14)*$L159+OFFSET('Trans Factors'!$B$13,$K159-1,AB$14)*$H159</f>
        <v>30.050750921951636</v>
      </c>
      <c r="AC159" s="20"/>
      <c r="AD159" s="20">
        <f ca="1">OFFSET('Trans Factors'!$B$13,$O159-1,AD$14)*$L159+OFFSET('Trans Factors'!$B$13,$K159-1,AD$14)*$H159</f>
        <v>0</v>
      </c>
      <c r="AF159" s="20">
        <f t="shared" ref="AF159:AF160" ca="1" si="128">P159+R159+T159+V159+X159+Z159+AB159+AD159</f>
        <v>12393.267122205594</v>
      </c>
      <c r="AH159" s="25" t="str">
        <f ca="1">IF(ROUND(F159,4)=ROUND(AF159,4), "", "check")</f>
        <v/>
      </c>
      <c r="AK159" s="89"/>
      <c r="AL159" s="96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D159" s="48"/>
    </row>
    <row r="160" spans="2:56" ht="13" x14ac:dyDescent="0.3">
      <c r="B160" s="18">
        <f>B159+1</f>
        <v>101</v>
      </c>
      <c r="D160" s="35" t="s">
        <v>147</v>
      </c>
      <c r="F160" s="48">
        <f ca="1">Function!T160</f>
        <v>15289.379593203619</v>
      </c>
      <c r="H160" s="37"/>
      <c r="K160" s="70">
        <f>_xlfn.IFNA(MATCH(J160,'Trans Factors'!$B$13:$B$450,0),0)</f>
        <v>0</v>
      </c>
      <c r="L160" s="48">
        <f t="shared" ca="1" si="104"/>
        <v>15289.379593203619</v>
      </c>
      <c r="N160" s="18" t="s">
        <v>269</v>
      </c>
      <c r="O160" s="70">
        <f>_xlfn.IFNA(MATCH(N160,'Trans Factors'!$B$13:$B$450,0),0)</f>
        <v>56</v>
      </c>
      <c r="P160" s="22">
        <f ca="1">OFFSET('Trans Factors'!$B$13,$O160-1,P$14)*$L160+OFFSET('Trans Factors'!$B$13,$K160-1,P$14)*$H160</f>
        <v>707.45307143123716</v>
      </c>
      <c r="R160" s="22">
        <f ca="1">OFFSET('Trans Factors'!$B$13,$O160-1,R$14)*$L160+OFFSET('Trans Factors'!$B$13,$K160-1,R$14)*$H160</f>
        <v>116.00360259243389</v>
      </c>
      <c r="S160" s="22"/>
      <c r="T160" s="22">
        <f ca="1">OFFSET('Trans Factors'!$B$13,$O160-1,T$14)*$L160+OFFSET('Trans Factors'!$B$13,$K160-1,T$14)*$H160</f>
        <v>2138.7942869325329</v>
      </c>
      <c r="U160" s="22"/>
      <c r="V160" s="22">
        <f ca="1">OFFSET('Trans Factors'!$B$13,$O160-1,V$14)*$L160+OFFSET('Trans Factors'!$B$13,$K160-1,V$14)*$H160</f>
        <v>9074.34447367957</v>
      </c>
      <c r="X160" s="22">
        <f ca="1">OFFSET('Trans Factors'!$B$13,$O160-1,X$14)*$L160+OFFSET('Trans Factors'!$B$13,$K160-1,X$14)*$H160</f>
        <v>939.77066594133203</v>
      </c>
      <c r="Y160" s="9"/>
      <c r="Z160" s="22">
        <f ca="1">OFFSET('Trans Factors'!$B$13,$O160-1,Z$14)*$L160+OFFSET('Trans Factors'!$B$13,$K160-1,Z$14)*$H160</f>
        <v>2278.9329044573128</v>
      </c>
      <c r="AA160" s="22"/>
      <c r="AB160" s="22">
        <f ca="1">OFFSET('Trans Factors'!$B$13,$O160-1,AB$14)*$L160+OFFSET('Trans Factors'!$B$13,$K160-1,AB$14)*$H160</f>
        <v>34.080588169201093</v>
      </c>
      <c r="AC160" s="20"/>
      <c r="AD160" s="22">
        <f ca="1">OFFSET('Trans Factors'!$B$13,$O160-1,AD$14)*$L160+OFFSET('Trans Factors'!$B$13,$K160-1,AD$14)*$H160</f>
        <v>0</v>
      </c>
      <c r="AF160" s="20">
        <f t="shared" ca="1" si="128"/>
        <v>15289.379593203621</v>
      </c>
      <c r="AH160" s="25" t="str">
        <f t="shared" ca="1" si="116"/>
        <v/>
      </c>
      <c r="AK160" s="89">
        <f>Function!AJ160</f>
        <v>8764.4492229631633</v>
      </c>
      <c r="AL160" s="96">
        <f t="shared" ref="AL160" ca="1" si="129">IFERROR(AK160/F160,0)</f>
        <v>0.57323772815864327</v>
      </c>
      <c r="AN160" s="48">
        <f t="shared" ca="1" si="108"/>
        <v>405.53879144609675</v>
      </c>
      <c r="AO160" s="48"/>
      <c r="AP160" s="48">
        <f t="shared" ca="1" si="109"/>
        <v>66.497641608304903</v>
      </c>
      <c r="AQ160" s="48"/>
      <c r="AR160" s="48">
        <f t="shared" ca="1" si="110"/>
        <v>1226.0375780398906</v>
      </c>
      <c r="AS160" s="48"/>
      <c r="AT160" s="48">
        <f t="shared" ca="1" si="111"/>
        <v>5201.7566106210161</v>
      </c>
      <c r="AU160" s="48"/>
      <c r="AV160" s="48">
        <f t="shared" ca="1" si="112"/>
        <v>538.71200153434449</v>
      </c>
      <c r="AW160" s="48"/>
      <c r="AX160" s="48">
        <f t="shared" ca="1" si="113"/>
        <v>1306.3703207770884</v>
      </c>
      <c r="AY160" s="48"/>
      <c r="AZ160" s="48">
        <f t="shared" ca="1" si="113"/>
        <v>19.536278936423169</v>
      </c>
      <c r="BA160" s="48"/>
      <c r="BB160" s="48">
        <f t="shared" ca="1" si="114"/>
        <v>0</v>
      </c>
      <c r="BD160" s="48">
        <f t="shared" ca="1" si="115"/>
        <v>8764.4492229631633</v>
      </c>
    </row>
    <row r="161" spans="2:56" ht="13" x14ac:dyDescent="0.3">
      <c r="S161" s="20"/>
      <c r="U161" s="20"/>
      <c r="AH161" s="25" t="str">
        <f t="shared" si="116"/>
        <v/>
      </c>
    </row>
    <row r="162" spans="2:56" ht="13" x14ac:dyDescent="0.3">
      <c r="B162" s="18">
        <f>B160+1</f>
        <v>102</v>
      </c>
      <c r="D162" s="1" t="s">
        <v>150</v>
      </c>
      <c r="F162" s="78">
        <f ca="1">SUM(F115:F160)</f>
        <v>109276.40884090039</v>
      </c>
      <c r="H162" s="78">
        <f>SUM(H115:H160)</f>
        <v>0</v>
      </c>
      <c r="L162" s="78">
        <f ca="1">SUM(L115:L160)</f>
        <v>109276.40884090039</v>
      </c>
      <c r="P162" s="11">
        <f ca="1">SUM(P115:P160)</f>
        <v>2907.9761813347068</v>
      </c>
      <c r="R162" s="11">
        <f ca="1">SUM(R115:R160)</f>
        <v>476.83122303131182</v>
      </c>
      <c r="S162" s="20"/>
      <c r="T162" s="11">
        <f ca="1">SUM(T115:T160)</f>
        <v>8791.4846854673415</v>
      </c>
      <c r="U162" s="20"/>
      <c r="V162" s="11">
        <f ca="1">SUM(V115:V160)</f>
        <v>52521.373719708354</v>
      </c>
      <c r="X162" s="11">
        <f ca="1">SUM(X115:X160)</f>
        <v>3862.9144784765758</v>
      </c>
      <c r="Z162" s="11">
        <f ca="1">SUM(Z115:Z160)</f>
        <v>9367.5225575240529</v>
      </c>
      <c r="AA162" s="13"/>
      <c r="AB162" s="11">
        <f ca="1">SUM(AB115:AB160)</f>
        <v>1434.6097346753797</v>
      </c>
      <c r="AD162" s="11">
        <f ca="1">SUM(AD115:AD160)</f>
        <v>29913.696260682678</v>
      </c>
      <c r="AF162" s="11">
        <f ca="1">SUM(AF115:AF160)</f>
        <v>109276.40884090039</v>
      </c>
      <c r="AH162" s="25" t="str">
        <f t="shared" ca="1" si="116"/>
        <v/>
      </c>
      <c r="AK162" s="90">
        <f ca="1">SUM(AK116:AK161)</f>
        <v>21572.951217688635</v>
      </c>
      <c r="AN162" s="90">
        <f ca="1">SUM(AN116:AN161)</f>
        <v>1083.1938009342377</v>
      </c>
      <c r="AP162" s="90">
        <f ca="1">SUM(AP116:AP161)</f>
        <v>177.89091194190325</v>
      </c>
      <c r="AR162" s="90">
        <f ca="1">SUM(AR116:AR161)</f>
        <v>2980.9613966285642</v>
      </c>
      <c r="AT162" s="90">
        <f ca="1">SUM(AT116:AT161)</f>
        <v>12462.678126366231</v>
      </c>
      <c r="AV162" s="90">
        <f ca="1">SUM(AV116:AV161)</f>
        <v>1430.7215203964552</v>
      </c>
      <c r="AX162" s="90">
        <f ca="1">SUM(AX116:AX161)</f>
        <v>3385.1961407795061</v>
      </c>
      <c r="AY162" s="37"/>
      <c r="AZ162" s="90">
        <f ca="1">SUM(AZ116:AZ161)</f>
        <v>52.309320641739006</v>
      </c>
      <c r="BB162" s="90">
        <f ca="1">SUM(BB116:BB161)</f>
        <v>0</v>
      </c>
      <c r="BD162" s="90">
        <f ca="1">SUM(BD116:BD161)</f>
        <v>21572.951217688635</v>
      </c>
    </row>
    <row r="163" spans="2:56" ht="13" x14ac:dyDescent="0.3">
      <c r="S163" s="20"/>
      <c r="U163" s="20"/>
      <c r="AH163" s="25" t="str">
        <f t="shared" si="116"/>
        <v/>
      </c>
      <c r="AK163" s="98"/>
      <c r="AN163" s="98"/>
      <c r="AP163" s="98"/>
      <c r="AR163" s="98"/>
      <c r="AT163" s="98"/>
      <c r="AV163" s="98"/>
      <c r="AX163" s="98"/>
      <c r="AY163" s="37"/>
      <c r="AZ163" s="98"/>
      <c r="BB163" s="98"/>
      <c r="BD163" s="98"/>
    </row>
    <row r="164" spans="2:56" ht="13.5" thickBot="1" x14ac:dyDescent="0.35">
      <c r="B164" s="18">
        <f>B162+1</f>
        <v>103</v>
      </c>
      <c r="D164" s="1" t="s">
        <v>151</v>
      </c>
      <c r="F164" s="80">
        <f ca="1">F162+F104+F109+F108+F97</f>
        <v>403717.30409028684</v>
      </c>
      <c r="H164" s="80">
        <f>H162+H104+H109+H108+H97</f>
        <v>0</v>
      </c>
      <c r="L164" s="80">
        <f ca="1">L162+L104+L109+L108+L97</f>
        <v>403717.30409028684</v>
      </c>
      <c r="P164" s="34">
        <f ca="1">P162+P104+P109+P108+P97</f>
        <v>12889.72691135346</v>
      </c>
      <c r="R164" s="34">
        <f ca="1">R162+R104+R109+R108+R97</f>
        <v>1418.3718363261082</v>
      </c>
      <c r="S164" s="20"/>
      <c r="T164" s="34">
        <f ca="1">T162+T104+T109+T108+T97</f>
        <v>46033.650718814592</v>
      </c>
      <c r="U164" s="20"/>
      <c r="V164" s="34">
        <f ca="1">V162+V104+V109+V108+V97</f>
        <v>229743.82612937456</v>
      </c>
      <c r="X164" s="34">
        <f ca="1">X162+X104+X109+X108+X97</f>
        <v>30569.722628306641</v>
      </c>
      <c r="Z164" s="34">
        <f ca="1">Z162+Z104+Z109+Z108+Z97</f>
        <v>51106.232348853373</v>
      </c>
      <c r="AA164" s="8"/>
      <c r="AB164" s="34">
        <f ca="1">AB162+AB104+AB109+AB108+AB97</f>
        <v>2042.0772565754232</v>
      </c>
      <c r="AD164" s="34">
        <f ca="1">AD162+AD104+AD109+AD108+AD97</f>
        <v>29913.696260682678</v>
      </c>
      <c r="AF164" s="34">
        <f ca="1">AF162+AF104+AF109+AF108+AF97</f>
        <v>403717.30409028684</v>
      </c>
      <c r="AH164" s="25" t="str">
        <f t="shared" ca="1" si="116"/>
        <v/>
      </c>
    </row>
    <row r="165" spans="2:56" ht="13.5" thickTop="1" x14ac:dyDescent="0.3">
      <c r="F165" s="48"/>
      <c r="H165" s="48"/>
      <c r="L165" s="48"/>
      <c r="P165" s="21"/>
      <c r="R165" s="21"/>
      <c r="S165" s="20"/>
      <c r="T165" s="21"/>
      <c r="U165" s="20"/>
      <c r="V165" s="21"/>
      <c r="X165" s="21"/>
      <c r="Z165" s="21"/>
      <c r="AB165" s="21"/>
      <c r="AD165" s="21"/>
      <c r="AF165" s="21"/>
      <c r="AH165" s="25" t="str">
        <f t="shared" si="116"/>
        <v/>
      </c>
    </row>
    <row r="166" spans="2:56" ht="13" x14ac:dyDescent="0.3">
      <c r="F166" s="48"/>
      <c r="H166" s="48"/>
      <c r="L166" s="48"/>
      <c r="S166" s="20"/>
      <c r="U166" s="20"/>
      <c r="AH166" s="25" t="str">
        <f t="shared" si="116"/>
        <v/>
      </c>
    </row>
    <row r="167" spans="2:56" ht="13" x14ac:dyDescent="0.3">
      <c r="F167" s="48"/>
      <c r="H167" s="48"/>
      <c r="L167" s="48"/>
      <c r="S167" s="20"/>
      <c r="U167" s="20"/>
      <c r="AH167" s="25" t="str">
        <f t="shared" si="116"/>
        <v/>
      </c>
    </row>
    <row r="168" spans="2:56" ht="13" x14ac:dyDescent="0.3">
      <c r="D168" s="6" t="s">
        <v>152</v>
      </c>
      <c r="S168" s="20"/>
      <c r="U168" s="20"/>
      <c r="AH168" s="25" t="str">
        <f t="shared" si="116"/>
        <v/>
      </c>
    </row>
    <row r="169" spans="2:56" ht="13" x14ac:dyDescent="0.3">
      <c r="D169" s="6"/>
      <c r="F169" s="48"/>
      <c r="H169" s="76"/>
      <c r="K169" s="70"/>
      <c r="L169" s="48"/>
      <c r="O169" s="70"/>
      <c r="P169" s="20"/>
      <c r="R169" s="20"/>
      <c r="S169" s="20"/>
      <c r="T169" s="20"/>
      <c r="U169" s="20"/>
      <c r="V169" s="20"/>
      <c r="X169" s="20"/>
      <c r="Y169" s="20"/>
      <c r="Z169" s="20"/>
      <c r="AA169" s="20"/>
      <c r="AB169" s="20"/>
      <c r="AC169" s="20"/>
      <c r="AD169" s="20"/>
      <c r="AF169" s="20"/>
      <c r="AH169" s="25" t="str">
        <f t="shared" si="116"/>
        <v/>
      </c>
    </row>
    <row r="170" spans="2:56" ht="13" x14ac:dyDescent="0.3">
      <c r="B170" s="18">
        <f>B164+1</f>
        <v>104</v>
      </c>
      <c r="D170" s="1" t="s">
        <v>153</v>
      </c>
      <c r="F170" s="48">
        <f ca="1">Function!T170</f>
        <v>0</v>
      </c>
      <c r="H170" s="76"/>
      <c r="K170" s="70">
        <f>_xlfn.IFNA(MATCH(J170,'Trans Factors'!$B$70:$B$520,0),0)</f>
        <v>0</v>
      </c>
      <c r="L170" s="48">
        <f t="shared" ref="L170:L176" ca="1" si="130">F170-H170</f>
        <v>0</v>
      </c>
      <c r="O170" s="70">
        <f>_xlfn.IFNA(MATCH(N170,'Trans Factors'!$B$13:$B$450,0),0)</f>
        <v>0</v>
      </c>
      <c r="P170" s="20">
        <f ca="1">OFFSET('Trans Factors'!$B$13,$O170-1,P$14)*$L170+OFFSET('Trans Factors'!$B$13,$K170-1,P$14)*$H170</f>
        <v>0</v>
      </c>
      <c r="R170" s="20">
        <f ca="1">OFFSET('Trans Factors'!$B$13,$O170-1,R$14)*$L170+OFFSET('Trans Factors'!$B$13,$K170-1,R$14)*$H170</f>
        <v>0</v>
      </c>
      <c r="S170" s="20"/>
      <c r="T170" s="20">
        <f ca="1">OFFSET('Trans Factors'!$B$13,$O170-1,T$14)*$L170+OFFSET('Trans Factors'!$B$13,$K170-1,T$14)*$H170</f>
        <v>0</v>
      </c>
      <c r="U170" s="20"/>
      <c r="V170" s="20">
        <f ca="1">OFFSET('Trans Factors'!$B$13,$O170-1,V$14)*$L170+OFFSET('Trans Factors'!$B$13,$K170-1,V$14)*$H170</f>
        <v>0</v>
      </c>
      <c r="X170" s="20">
        <f ca="1">OFFSET('Trans Factors'!$B$13,$O170-1,X$14)*$L170+OFFSET('Trans Factors'!$B$13,$K170-1,X$14)*$H170</f>
        <v>0</v>
      </c>
      <c r="Y170" s="9"/>
      <c r="Z170" s="20">
        <f ca="1">OFFSET('Trans Factors'!$B$13,$O170-1,Z$14)*$L170+OFFSET('Trans Factors'!$B$13,$K170-1,Z$14)*$H170</f>
        <v>0</v>
      </c>
      <c r="AA170" s="20"/>
      <c r="AB170" s="20">
        <f ca="1">OFFSET('Trans Factors'!$B$13,$O170-1,AB$14)*$L170+OFFSET('Trans Factors'!$B$13,$K170-1,AB$14)*$H170</f>
        <v>0</v>
      </c>
      <c r="AC170" s="20"/>
      <c r="AD170" s="20">
        <f ca="1">OFFSET('Trans Factors'!$B$13,$O170-1,AD$14)*$L170+OFFSET('Trans Factors'!$B$13,$K170-1,AD$14)*$H170</f>
        <v>0</v>
      </c>
      <c r="AF170" s="20">
        <f t="shared" ref="AF170:AF176" ca="1" si="131">P170+R170+T170+V170+X170+Z170+AD170</f>
        <v>0</v>
      </c>
      <c r="AH170" s="25" t="str">
        <f t="shared" ca="1" si="116"/>
        <v/>
      </c>
    </row>
    <row r="171" spans="2:56" ht="13" x14ac:dyDescent="0.3">
      <c r="B171" s="18">
        <f t="shared" ref="B171:B176" si="132">B170+1</f>
        <v>105</v>
      </c>
      <c r="D171" s="1" t="s">
        <v>154</v>
      </c>
      <c r="F171" s="48">
        <f ca="1">Function!T171</f>
        <v>0</v>
      </c>
      <c r="H171" s="76"/>
      <c r="J171" s="2"/>
      <c r="K171" s="70">
        <f>_xlfn.IFNA(MATCH(J171,'Trans Factors'!$B$70:$B$520,0),0)</f>
        <v>0</v>
      </c>
      <c r="L171" s="48">
        <f t="shared" ca="1" si="130"/>
        <v>0</v>
      </c>
      <c r="O171" s="70">
        <f>_xlfn.IFNA(MATCH(N171,'Trans Factors'!$B$13:$B$450,0),0)</f>
        <v>0</v>
      </c>
      <c r="P171" s="20">
        <f ca="1">OFFSET('Trans Factors'!$B$13,$O171-1,P$14)*$L171+OFFSET('Trans Factors'!$B$13,$K171-1,P$14)*$H171</f>
        <v>0</v>
      </c>
      <c r="R171" s="20">
        <f ca="1">OFFSET('Trans Factors'!$B$13,$O171-1,R$14)*$L171+OFFSET('Trans Factors'!$B$13,$K171-1,R$14)*$H171</f>
        <v>0</v>
      </c>
      <c r="S171" s="20"/>
      <c r="T171" s="20">
        <f ca="1">OFFSET('Trans Factors'!$B$13,$O171-1,T$14)*$L171+OFFSET('Trans Factors'!$B$13,$K171-1,T$14)*$H171</f>
        <v>0</v>
      </c>
      <c r="U171" s="20"/>
      <c r="V171" s="20">
        <f ca="1">OFFSET('Trans Factors'!$B$13,$O171-1,V$14)*$L171+OFFSET('Trans Factors'!$B$13,$K171-1,V$14)*$H171</f>
        <v>0</v>
      </c>
      <c r="X171" s="20">
        <f ca="1">OFFSET('Trans Factors'!$B$13,$O171-1,X$14)*$L171+OFFSET('Trans Factors'!$B$13,$K171-1,X$14)*$H171</f>
        <v>0</v>
      </c>
      <c r="Y171" s="9"/>
      <c r="Z171" s="20">
        <f ca="1">OFFSET('Trans Factors'!$B$13,$O171-1,Z$14)*$L171+OFFSET('Trans Factors'!$B$13,$K171-1,Z$14)*$H171</f>
        <v>0</v>
      </c>
      <c r="AA171" s="20"/>
      <c r="AB171" s="20">
        <f ca="1">OFFSET('Trans Factors'!$B$13,$O171-1,AB$14)*$L171+OFFSET('Trans Factors'!$B$13,$K171-1,AB$14)*$H171</f>
        <v>0</v>
      </c>
      <c r="AC171" s="20"/>
      <c r="AD171" s="20">
        <f ca="1">OFFSET('Trans Factors'!$B$13,$O171-1,AD$14)*$L171+OFFSET('Trans Factors'!$B$13,$K171-1,AD$14)*$H171</f>
        <v>0</v>
      </c>
      <c r="AF171" s="20">
        <f t="shared" ca="1" si="131"/>
        <v>0</v>
      </c>
      <c r="AH171" s="25" t="str">
        <f t="shared" ca="1" si="116"/>
        <v/>
      </c>
    </row>
    <row r="172" spans="2:56" ht="13" x14ac:dyDescent="0.3">
      <c r="B172" s="18">
        <f t="shared" si="132"/>
        <v>106</v>
      </c>
      <c r="D172" s="1" t="s">
        <v>155</v>
      </c>
      <c r="F172" s="48">
        <f ca="1">Function!T172</f>
        <v>0</v>
      </c>
      <c r="H172" s="76"/>
      <c r="J172" s="2"/>
      <c r="K172" s="70">
        <f>_xlfn.IFNA(MATCH(J172,'Trans Factors'!$B$70:$B$520,0),0)</f>
        <v>0</v>
      </c>
      <c r="L172" s="48">
        <f t="shared" ca="1" si="130"/>
        <v>0</v>
      </c>
      <c r="O172" s="70">
        <f>_xlfn.IFNA(MATCH(N172,'Trans Factors'!$B$13:$B$450,0),0)</f>
        <v>0</v>
      </c>
      <c r="P172" s="20">
        <f ca="1">OFFSET('Trans Factors'!$B$13,$O172-1,P$14)*$L172+OFFSET('Trans Factors'!$B$13,$K172-1,P$14)*$H172</f>
        <v>0</v>
      </c>
      <c r="R172" s="20">
        <f ca="1">OFFSET('Trans Factors'!$B$13,$O172-1,R$14)*$L172+OFFSET('Trans Factors'!$B$13,$K172-1,R$14)*$H172</f>
        <v>0</v>
      </c>
      <c r="S172" s="20"/>
      <c r="T172" s="20">
        <f ca="1">OFFSET('Trans Factors'!$B$13,$O172-1,T$14)*$L172+OFFSET('Trans Factors'!$B$13,$K172-1,T$14)*$H172</f>
        <v>0</v>
      </c>
      <c r="U172" s="20"/>
      <c r="V172" s="20">
        <f ca="1">OFFSET('Trans Factors'!$B$13,$O172-1,V$14)*$L172+OFFSET('Trans Factors'!$B$13,$K172-1,V$14)*$H172</f>
        <v>0</v>
      </c>
      <c r="X172" s="20">
        <f ca="1">OFFSET('Trans Factors'!$B$13,$O172-1,X$14)*$L172+OFFSET('Trans Factors'!$B$13,$K172-1,X$14)*$H172</f>
        <v>0</v>
      </c>
      <c r="Y172" s="9"/>
      <c r="Z172" s="20">
        <f ca="1">OFFSET('Trans Factors'!$B$13,$O172-1,Z$14)*$L172+OFFSET('Trans Factors'!$B$13,$K172-1,Z$14)*$H172</f>
        <v>0</v>
      </c>
      <c r="AA172" s="20"/>
      <c r="AB172" s="20">
        <f ca="1">OFFSET('Trans Factors'!$B$13,$O172-1,AB$14)*$L172+OFFSET('Trans Factors'!$B$13,$K172-1,AB$14)*$H172</f>
        <v>0</v>
      </c>
      <c r="AC172" s="20"/>
      <c r="AD172" s="20">
        <f ca="1">OFFSET('Trans Factors'!$B$13,$O172-1,AD$14)*$L172+OFFSET('Trans Factors'!$B$13,$K172-1,AD$14)*$H172</f>
        <v>0</v>
      </c>
      <c r="AF172" s="20">
        <f t="shared" ca="1" si="131"/>
        <v>0</v>
      </c>
      <c r="AH172" s="25" t="str">
        <f t="shared" ca="1" si="116"/>
        <v/>
      </c>
    </row>
    <row r="173" spans="2:56" ht="13" x14ac:dyDescent="0.3">
      <c r="B173" s="18">
        <f t="shared" si="132"/>
        <v>107</v>
      </c>
      <c r="D173" s="1" t="s">
        <v>156</v>
      </c>
      <c r="F173" s="48">
        <f ca="1">Function!T173</f>
        <v>0</v>
      </c>
      <c r="H173" s="76"/>
      <c r="J173" s="2"/>
      <c r="K173" s="70">
        <f>_xlfn.IFNA(MATCH(J173,'Trans Factors'!$B$70:$B$520,0),0)</f>
        <v>0</v>
      </c>
      <c r="L173" s="48">
        <f t="shared" ca="1" si="130"/>
        <v>0</v>
      </c>
      <c r="O173" s="70">
        <f>_xlfn.IFNA(MATCH(N173,'Trans Factors'!$B$13:$B$450,0),0)</f>
        <v>0</v>
      </c>
      <c r="P173" s="20">
        <f ca="1">OFFSET('Trans Factors'!$B$13,$O173-1,P$14)*$L173+OFFSET('Trans Factors'!$B$13,$K173-1,P$14)*$H173</f>
        <v>0</v>
      </c>
      <c r="R173" s="20">
        <f ca="1">OFFSET('Trans Factors'!$B$13,$O173-1,R$14)*$L173+OFFSET('Trans Factors'!$B$13,$K173-1,R$14)*$H173</f>
        <v>0</v>
      </c>
      <c r="S173" s="20"/>
      <c r="T173" s="20">
        <f ca="1">OFFSET('Trans Factors'!$B$13,$O173-1,T$14)*$L173+OFFSET('Trans Factors'!$B$13,$K173-1,T$14)*$H173</f>
        <v>0</v>
      </c>
      <c r="U173" s="20"/>
      <c r="V173" s="20">
        <f ca="1">OFFSET('Trans Factors'!$B$13,$O173-1,V$14)*$L173+OFFSET('Trans Factors'!$B$13,$K173-1,V$14)*$H173</f>
        <v>0</v>
      </c>
      <c r="X173" s="20">
        <f ca="1">OFFSET('Trans Factors'!$B$13,$O173-1,X$14)*$L173+OFFSET('Trans Factors'!$B$13,$K173-1,X$14)*$H173</f>
        <v>0</v>
      </c>
      <c r="Y173" s="9"/>
      <c r="Z173" s="20">
        <f ca="1">OFFSET('Trans Factors'!$B$13,$O173-1,Z$14)*$L173+OFFSET('Trans Factors'!$B$13,$K173-1,Z$14)*$H173</f>
        <v>0</v>
      </c>
      <c r="AA173" s="20"/>
      <c r="AB173" s="20">
        <f ca="1">OFFSET('Trans Factors'!$B$13,$O173-1,AB$14)*$L173+OFFSET('Trans Factors'!$B$13,$K173-1,AB$14)*$H173</f>
        <v>0</v>
      </c>
      <c r="AC173" s="20"/>
      <c r="AD173" s="20">
        <f ca="1">OFFSET('Trans Factors'!$B$13,$O173-1,AD$14)*$L173+OFFSET('Trans Factors'!$B$13,$K173-1,AD$14)*$H173</f>
        <v>0</v>
      </c>
      <c r="AF173" s="20">
        <f t="shared" ca="1" si="131"/>
        <v>0</v>
      </c>
      <c r="AH173" s="25" t="str">
        <f t="shared" ca="1" si="116"/>
        <v/>
      </c>
    </row>
    <row r="174" spans="2:56" ht="13" x14ac:dyDescent="0.3">
      <c r="B174" s="18">
        <f t="shared" si="132"/>
        <v>108</v>
      </c>
      <c r="D174" s="1" t="s">
        <v>157</v>
      </c>
      <c r="F174" s="48">
        <f ca="1">Function!T174</f>
        <v>0</v>
      </c>
      <c r="H174" s="76"/>
      <c r="J174" s="2"/>
      <c r="K174" s="70">
        <f>_xlfn.IFNA(MATCH(J174,'Trans Factors'!$B$70:$B$520,0),0)</f>
        <v>0</v>
      </c>
      <c r="L174" s="48">
        <f t="shared" ca="1" si="130"/>
        <v>0</v>
      </c>
      <c r="O174" s="70">
        <f>_xlfn.IFNA(MATCH(N174,'Trans Factors'!$B$13:$B$450,0),0)</f>
        <v>0</v>
      </c>
      <c r="P174" s="20">
        <f ca="1">OFFSET('Trans Factors'!$B$13,$O174-1,P$14)*$L174+OFFSET('Trans Factors'!$B$13,$K174-1,P$14)*$H174</f>
        <v>0</v>
      </c>
      <c r="R174" s="20">
        <f ca="1">OFFSET('Trans Factors'!$B$13,$O174-1,R$14)*$L174+OFFSET('Trans Factors'!$B$13,$K174-1,R$14)*$H174</f>
        <v>0</v>
      </c>
      <c r="S174" s="20"/>
      <c r="T174" s="20">
        <f ca="1">OFFSET('Trans Factors'!$B$13,$O174-1,T$14)*$L174+OFFSET('Trans Factors'!$B$13,$K174-1,T$14)*$H174</f>
        <v>0</v>
      </c>
      <c r="U174" s="20"/>
      <c r="V174" s="20">
        <f ca="1">OFFSET('Trans Factors'!$B$13,$O174-1,V$14)*$L174+OFFSET('Trans Factors'!$B$13,$K174-1,V$14)*$H174</f>
        <v>0</v>
      </c>
      <c r="X174" s="20">
        <f ca="1">OFFSET('Trans Factors'!$B$13,$O174-1,X$14)*$L174+OFFSET('Trans Factors'!$B$13,$K174-1,X$14)*$H174</f>
        <v>0</v>
      </c>
      <c r="Y174" s="9"/>
      <c r="Z174" s="20">
        <f ca="1">OFFSET('Trans Factors'!$B$13,$O174-1,Z$14)*$L174+OFFSET('Trans Factors'!$B$13,$K174-1,Z$14)*$H174</f>
        <v>0</v>
      </c>
      <c r="AA174" s="20"/>
      <c r="AB174" s="20">
        <f ca="1">OFFSET('Trans Factors'!$B$13,$O174-1,AB$14)*$L174+OFFSET('Trans Factors'!$B$13,$K174-1,AB$14)*$H174</f>
        <v>0</v>
      </c>
      <c r="AC174" s="20"/>
      <c r="AD174" s="20">
        <f ca="1">OFFSET('Trans Factors'!$B$13,$O174-1,AD$14)*$L174+OFFSET('Trans Factors'!$B$13,$K174-1,AD$14)*$H174</f>
        <v>0</v>
      </c>
      <c r="AF174" s="20">
        <f t="shared" ca="1" si="131"/>
        <v>0</v>
      </c>
      <c r="AH174" s="25" t="str">
        <f t="shared" ca="1" si="116"/>
        <v/>
      </c>
    </row>
    <row r="175" spans="2:56" ht="13" x14ac:dyDescent="0.3">
      <c r="B175" s="18">
        <f t="shared" si="132"/>
        <v>109</v>
      </c>
      <c r="D175" s="1" t="s">
        <v>158</v>
      </c>
      <c r="F175" s="48">
        <f ca="1">Function!T175</f>
        <v>0</v>
      </c>
      <c r="H175" s="76"/>
      <c r="J175" s="2"/>
      <c r="K175" s="70">
        <f>_xlfn.IFNA(MATCH(J175,'Trans Factors'!$B$70:$B$520,0),0)</f>
        <v>0</v>
      </c>
      <c r="L175" s="48">
        <f t="shared" ca="1" si="130"/>
        <v>0</v>
      </c>
      <c r="O175" s="70">
        <f>_xlfn.IFNA(MATCH(N175,'Trans Factors'!$B$13:$B$450,0),0)</f>
        <v>0</v>
      </c>
      <c r="P175" s="20">
        <f ca="1">OFFSET('Trans Factors'!$B$13,$O175-1,P$14)*$L175+OFFSET('Trans Factors'!$B$13,$K175-1,P$14)*$H175</f>
        <v>0</v>
      </c>
      <c r="R175" s="20">
        <f ca="1">OFFSET('Trans Factors'!$B$13,$O175-1,R$14)*$L175+OFFSET('Trans Factors'!$B$13,$K175-1,R$14)*$H175</f>
        <v>0</v>
      </c>
      <c r="S175" s="20"/>
      <c r="T175" s="20">
        <f ca="1">OFFSET('Trans Factors'!$B$13,$O175-1,T$14)*$L175+OFFSET('Trans Factors'!$B$13,$K175-1,T$14)*$H175</f>
        <v>0</v>
      </c>
      <c r="U175" s="20"/>
      <c r="V175" s="20">
        <f ca="1">OFFSET('Trans Factors'!$B$13,$O175-1,V$14)*$L175+OFFSET('Trans Factors'!$B$13,$K175-1,V$14)*$H175</f>
        <v>0</v>
      </c>
      <c r="X175" s="20">
        <f ca="1">OFFSET('Trans Factors'!$B$13,$O175-1,X$14)*$L175+OFFSET('Trans Factors'!$B$13,$K175-1,X$14)*$H175</f>
        <v>0</v>
      </c>
      <c r="Y175" s="9"/>
      <c r="Z175" s="20">
        <f ca="1">OFFSET('Trans Factors'!$B$13,$O175-1,Z$14)*$L175+OFFSET('Trans Factors'!$B$13,$K175-1,Z$14)*$H175</f>
        <v>0</v>
      </c>
      <c r="AA175" s="20"/>
      <c r="AB175" s="20">
        <f ca="1">OFFSET('Trans Factors'!$B$13,$O175-1,AB$14)*$L175+OFFSET('Trans Factors'!$B$13,$K175-1,AB$14)*$H175</f>
        <v>0</v>
      </c>
      <c r="AC175" s="20"/>
      <c r="AD175" s="20">
        <f ca="1">OFFSET('Trans Factors'!$B$13,$O175-1,AD$14)*$L175+OFFSET('Trans Factors'!$B$13,$K175-1,AD$14)*$H175</f>
        <v>0</v>
      </c>
      <c r="AF175" s="20">
        <f t="shared" ca="1" si="131"/>
        <v>0</v>
      </c>
      <c r="AH175" s="25" t="str">
        <f t="shared" ca="1" si="116"/>
        <v/>
      </c>
    </row>
    <row r="176" spans="2:56" ht="13" x14ac:dyDescent="0.3">
      <c r="B176" s="18">
        <f t="shared" si="132"/>
        <v>110</v>
      </c>
      <c r="D176" s="1" t="s">
        <v>159</v>
      </c>
      <c r="F176" s="48">
        <f ca="1">Function!T176</f>
        <v>0</v>
      </c>
      <c r="H176" s="76"/>
      <c r="J176" s="2"/>
      <c r="K176" s="70">
        <f>_xlfn.IFNA(MATCH(J176,'Trans Factors'!$B$70:$B$520,0),0)</f>
        <v>0</v>
      </c>
      <c r="L176" s="48">
        <f t="shared" ca="1" si="130"/>
        <v>0</v>
      </c>
      <c r="O176" s="70">
        <f>_xlfn.IFNA(MATCH(N176,'Trans Factors'!$B$13:$B$450,0),0)</f>
        <v>0</v>
      </c>
      <c r="P176" s="20">
        <f ca="1">OFFSET('Trans Factors'!$B$13,$O176-1,P$14)*$L176+OFFSET('Trans Factors'!$B$13,$K176-1,P$14)*$H176</f>
        <v>0</v>
      </c>
      <c r="R176" s="20">
        <f ca="1">OFFSET('Trans Factors'!$B$13,$O176-1,R$14)*$L176+OFFSET('Trans Factors'!$B$13,$K176-1,R$14)*$H176</f>
        <v>0</v>
      </c>
      <c r="S176" s="20"/>
      <c r="T176" s="20">
        <f ca="1">OFFSET('Trans Factors'!$B$13,$O176-1,T$14)*$L176+OFFSET('Trans Factors'!$B$13,$K176-1,T$14)*$H176</f>
        <v>0</v>
      </c>
      <c r="U176" s="20"/>
      <c r="V176" s="20">
        <f ca="1">OFFSET('Trans Factors'!$B$13,$O176-1,V$14)*$L176+OFFSET('Trans Factors'!$B$13,$K176-1,V$14)*$H176</f>
        <v>0</v>
      </c>
      <c r="X176" s="20">
        <f ca="1">OFFSET('Trans Factors'!$B$13,$O176-1,X$14)*$L176+OFFSET('Trans Factors'!$B$13,$K176-1,X$14)*$H176</f>
        <v>0</v>
      </c>
      <c r="Y176" s="9"/>
      <c r="Z176" s="20">
        <f ca="1">OFFSET('Trans Factors'!$B$13,$O176-1,Z$14)*$L176+OFFSET('Trans Factors'!$B$13,$K176-1,Z$14)*$H176</f>
        <v>0</v>
      </c>
      <c r="AA176" s="20"/>
      <c r="AB176" s="20">
        <f ca="1">OFFSET('Trans Factors'!$B$13,$O176-1,AB$14)*$L176+OFFSET('Trans Factors'!$B$13,$K176-1,AB$14)*$H176</f>
        <v>0</v>
      </c>
      <c r="AC176" s="20"/>
      <c r="AD176" s="20">
        <f ca="1">OFFSET('Trans Factors'!$B$13,$O176-1,AD$14)*$L176+OFFSET('Trans Factors'!$B$13,$K176-1,AD$14)*$H176</f>
        <v>0</v>
      </c>
      <c r="AF176" s="20">
        <f t="shared" ca="1" si="131"/>
        <v>0</v>
      </c>
      <c r="AH176" s="25" t="str">
        <f t="shared" ca="1" si="116"/>
        <v/>
      </c>
    </row>
    <row r="177" spans="2:34" ht="13" x14ac:dyDescent="0.3">
      <c r="O177" s="70"/>
      <c r="S177" s="20"/>
      <c r="U177" s="20"/>
      <c r="AH177" s="25" t="str">
        <f t="shared" si="116"/>
        <v/>
      </c>
    </row>
    <row r="178" spans="2:34" ht="13" x14ac:dyDescent="0.3">
      <c r="B178" s="18">
        <f>B176+1</f>
        <v>111</v>
      </c>
      <c r="D178" s="1" t="s">
        <v>160</v>
      </c>
      <c r="F178" s="40">
        <f ca="1">SUM(F170:F176)</f>
        <v>0</v>
      </c>
      <c r="H178" s="40">
        <f>SUM(H170:H176)</f>
        <v>0</v>
      </c>
      <c r="J178" s="2"/>
      <c r="L178" s="40">
        <f ca="1">SUM(L170:L176)</f>
        <v>0</v>
      </c>
      <c r="O178" s="70"/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A178" s="8"/>
      <c r="AB178" s="10">
        <f ca="1">SUM(AB170:AB176)</f>
        <v>0</v>
      </c>
      <c r="AD178" s="10">
        <f ca="1">SUM(AD170:AD176)</f>
        <v>0</v>
      </c>
      <c r="AF178" s="10">
        <f ca="1">SUM(AF170:AF176)</f>
        <v>0</v>
      </c>
      <c r="AH178" s="25" t="str">
        <f t="shared" ca="1" si="116"/>
        <v/>
      </c>
    </row>
    <row r="179" spans="2:34" ht="13" x14ac:dyDescent="0.3">
      <c r="S179" s="20"/>
      <c r="U179" s="20"/>
      <c r="AH179" s="25" t="str">
        <f t="shared" si="116"/>
        <v/>
      </c>
    </row>
    <row r="180" spans="2:34" ht="13.5" thickBot="1" x14ac:dyDescent="0.35">
      <c r="B180" s="18">
        <f>B178+1</f>
        <v>112</v>
      </c>
      <c r="D180" s="1" t="s">
        <v>161</v>
      </c>
      <c r="F180" s="80">
        <f ca="1">F164-F178</f>
        <v>403717.30409028684</v>
      </c>
      <c r="H180" s="80">
        <f>H164-H178</f>
        <v>0</v>
      </c>
      <c r="L180" s="80">
        <f ca="1">L164-L178</f>
        <v>403717.30409028684</v>
      </c>
      <c r="P180" s="34">
        <f ca="1">P164-P178</f>
        <v>12889.72691135346</v>
      </c>
      <c r="R180" s="34">
        <f ca="1">R164-R178</f>
        <v>1418.3718363261082</v>
      </c>
      <c r="S180" s="20"/>
      <c r="T180" s="34">
        <f ca="1">T164-T178</f>
        <v>46033.650718814592</v>
      </c>
      <c r="U180" s="20"/>
      <c r="V180" s="34">
        <f ca="1">V164-V178</f>
        <v>229743.82612937456</v>
      </c>
      <c r="X180" s="34">
        <f ca="1">X164-X178</f>
        <v>30569.722628306641</v>
      </c>
      <c r="Z180" s="34">
        <f ca="1">Z164-Z178</f>
        <v>51106.232348853373</v>
      </c>
      <c r="AA180" s="8"/>
      <c r="AB180" s="34">
        <f ca="1">AB164-AB178</f>
        <v>2042.0772565754232</v>
      </c>
      <c r="AD180" s="34">
        <f ca="1">AD164-AD178</f>
        <v>29913.696260682678</v>
      </c>
      <c r="AF180" s="34">
        <f ca="1">AF164-AF178</f>
        <v>403717.30409028684</v>
      </c>
      <c r="AH180" s="25" t="str">
        <f t="shared" ca="1" si="116"/>
        <v/>
      </c>
    </row>
    <row r="181" spans="2:34" ht="13" thickTop="1" x14ac:dyDescent="0.25">
      <c r="D181" s="1" t="s">
        <v>162</v>
      </c>
    </row>
  </sheetData>
  <mergeCells count="4">
    <mergeCell ref="B5:AF5"/>
    <mergeCell ref="B6:AF6"/>
    <mergeCell ref="B7:AF7"/>
    <mergeCell ref="P10:AC10"/>
  </mergeCells>
  <phoneticPr fontId="12" type="noConversion"/>
  <pageMargins left="0.7" right="0.7" top="0.75" bottom="0.75" header="0.3" footer="0.3"/>
  <pageSetup scale="45" fitToHeight="4" orientation="landscape" r:id="rId1"/>
  <ignoredErrors>
    <ignoredError sqref="F92 F97 AE133:AE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sheetPr>
    <pageSetUpPr fitToPage="1"/>
  </sheetPr>
  <dimension ref="A6:BH156"/>
  <sheetViews>
    <sheetView zoomScale="80" zoomScaleNormal="80" workbookViewId="0">
      <selection activeCell="G67" sqref="G67"/>
    </sheetView>
  </sheetViews>
  <sheetFormatPr defaultColWidth="9.1796875" defaultRowHeight="12.5" x14ac:dyDescent="0.25"/>
  <cols>
    <col min="1" max="1" width="6.453125" style="1" customWidth="1"/>
    <col min="2" max="2" width="30.7265625" style="1" customWidth="1"/>
    <col min="3" max="3" width="8.26953125" style="18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1.7265625" style="1" customWidth="1"/>
    <col min="14" max="14" width="15.7265625" style="1" customWidth="1"/>
    <col min="15" max="15" width="1.7265625" style="1" customWidth="1"/>
    <col min="16" max="16" width="15.7265625" style="1" customWidth="1"/>
    <col min="17" max="17" width="1.7265625" style="1" customWidth="1"/>
    <col min="18" max="18" width="15.7265625" style="1" customWidth="1"/>
    <col min="19" max="19" width="1.7265625" style="1" customWidth="1"/>
    <col min="20" max="20" width="15.7265625" style="1" customWidth="1"/>
    <col min="21" max="22" width="9.1796875" style="1"/>
    <col min="23" max="23" width="9.1796875" style="1" customWidth="1"/>
    <col min="24" max="24" width="28" style="1" bestFit="1" customWidth="1"/>
    <col min="25" max="25" width="1.7265625" style="1" customWidth="1"/>
    <col min="26" max="26" width="11" style="1" customWidth="1"/>
    <col min="27" max="27" width="1.7265625" style="1" customWidth="1"/>
    <col min="28" max="28" width="11" style="1" customWidth="1"/>
    <col min="29" max="29" width="1.7265625" style="1" customWidth="1"/>
    <col min="30" max="30" width="11" style="1" customWidth="1"/>
    <col min="31" max="31" width="1.7265625" style="1" customWidth="1"/>
    <col min="32" max="32" width="11" style="1" customWidth="1"/>
    <col min="33" max="33" width="1.7265625" style="1" customWidth="1"/>
    <col min="34" max="34" width="11" style="1" customWidth="1"/>
    <col min="35" max="35" width="1.7265625" style="1" customWidth="1"/>
    <col min="36" max="36" width="11" style="1" customWidth="1"/>
    <col min="37" max="37" width="1.7265625" style="1" customWidth="1"/>
    <col min="38" max="38" width="11" style="1" customWidth="1"/>
    <col min="39" max="39" width="1.7265625" style="1" customWidth="1"/>
    <col min="40" max="40" width="11.1796875" style="1" customWidth="1"/>
    <col min="41" max="41" width="9.1796875" style="1"/>
    <col min="42" max="43" width="9.1796875" style="1" customWidth="1"/>
    <col min="44" max="44" width="9.1796875" style="1"/>
    <col min="45" max="46" width="9.1796875" style="1" customWidth="1"/>
    <col min="47" max="16384" width="9.1796875" style="1"/>
  </cols>
  <sheetData>
    <row r="6" spans="1:60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</row>
    <row r="7" spans="1:60" x14ac:dyDescent="0.25">
      <c r="B7" s="155" t="s">
        <v>270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</row>
    <row r="9" spans="1:60" x14ac:dyDescent="0.25">
      <c r="A9" s="18" t="s">
        <v>6</v>
      </c>
      <c r="B9" s="18" t="s">
        <v>19</v>
      </c>
      <c r="F9" s="18" t="s">
        <v>233</v>
      </c>
      <c r="H9" s="18" t="s">
        <v>234</v>
      </c>
      <c r="J9" s="18" t="s">
        <v>235</v>
      </c>
      <c r="L9" s="18" t="s">
        <v>233</v>
      </c>
      <c r="N9" s="18"/>
      <c r="P9" s="18"/>
      <c r="Q9" s="18"/>
      <c r="R9" s="18"/>
      <c r="T9" s="18" t="s">
        <v>19</v>
      </c>
      <c r="AO9" s="18"/>
      <c r="AQ9" s="18"/>
      <c r="AV9" s="18"/>
      <c r="AX9" s="18"/>
      <c r="AZ9" s="18"/>
      <c r="BB9" s="18"/>
      <c r="BD9" s="18"/>
      <c r="BF9" s="18"/>
      <c r="BH9" s="18"/>
    </row>
    <row r="10" spans="1:60" x14ac:dyDescent="0.25">
      <c r="A10" s="4" t="s">
        <v>11</v>
      </c>
      <c r="B10" s="4" t="s">
        <v>191</v>
      </c>
      <c r="C10" s="4"/>
      <c r="D10" s="4" t="s">
        <v>2</v>
      </c>
      <c r="F10" s="4" t="s">
        <v>237</v>
      </c>
      <c r="H10" s="16" t="s">
        <v>237</v>
      </c>
      <c r="J10" s="4" t="s">
        <v>237</v>
      </c>
      <c r="L10" s="4" t="s">
        <v>235</v>
      </c>
      <c r="N10" s="4" t="s">
        <v>238</v>
      </c>
      <c r="P10" s="4" t="s">
        <v>239</v>
      </c>
      <c r="Q10" s="18"/>
      <c r="R10" s="4" t="s">
        <v>240</v>
      </c>
      <c r="T10" s="4" t="s">
        <v>175</v>
      </c>
      <c r="AO10" s="18"/>
      <c r="AQ10" s="18"/>
      <c r="AR10" s="18"/>
      <c r="AT10" s="18"/>
      <c r="AV10" s="18"/>
      <c r="AX10" s="108"/>
      <c r="AZ10" s="18"/>
      <c r="BB10" s="18"/>
      <c r="BD10" s="18"/>
      <c r="BF10" s="18"/>
      <c r="BH10" s="18"/>
    </row>
    <row r="11" spans="1:60" x14ac:dyDescent="0.25">
      <c r="A11" s="18"/>
      <c r="B11" s="18"/>
      <c r="D11" s="18" t="s">
        <v>22</v>
      </c>
      <c r="E11" s="18"/>
      <c r="F11" s="55" t="s">
        <v>23</v>
      </c>
      <c r="G11" s="18"/>
      <c r="H11" s="55" t="s">
        <v>24</v>
      </c>
      <c r="I11" s="18"/>
      <c r="J11" s="55" t="s">
        <v>165</v>
      </c>
      <c r="K11" s="18"/>
      <c r="L11" s="55" t="s">
        <v>26</v>
      </c>
      <c r="N11" s="55" t="s">
        <v>27</v>
      </c>
      <c r="O11" s="18"/>
      <c r="P11" s="55" t="s">
        <v>28</v>
      </c>
      <c r="Q11" s="55"/>
      <c r="R11" s="55" t="s">
        <v>29</v>
      </c>
      <c r="T11" s="55" t="s">
        <v>30</v>
      </c>
      <c r="AO11" s="18"/>
      <c r="AR11" s="31"/>
      <c r="AT11" s="18"/>
      <c r="AU11" s="18"/>
      <c r="AV11" s="55"/>
      <c r="AW11" s="18"/>
      <c r="AX11" s="55"/>
      <c r="AY11" s="18"/>
      <c r="AZ11" s="55"/>
      <c r="BA11" s="18"/>
      <c r="BB11" s="55"/>
      <c r="BD11" s="55"/>
      <c r="BE11" s="18"/>
      <c r="BF11" s="55"/>
      <c r="BH11" s="55"/>
    </row>
    <row r="12" spans="1:60" x14ac:dyDescent="0.25">
      <c r="AO12" s="18"/>
      <c r="AR12" s="31"/>
    </row>
    <row r="13" spans="1:60" x14ac:dyDescent="0.25">
      <c r="A13" s="18">
        <v>1</v>
      </c>
      <c r="B13" s="18"/>
      <c r="C13" s="2" t="s">
        <v>166</v>
      </c>
      <c r="D13" s="64">
        <f>SUM(F13:T13)</f>
        <v>1</v>
      </c>
      <c r="E13" s="14"/>
      <c r="F13" s="64">
        <v>0</v>
      </c>
      <c r="G13" s="64"/>
      <c r="H13" s="64">
        <v>0</v>
      </c>
      <c r="I13" s="64"/>
      <c r="J13" s="64">
        <v>0</v>
      </c>
      <c r="K13" s="64"/>
      <c r="L13" s="64">
        <v>0.84299834963035125</v>
      </c>
      <c r="M13" s="64"/>
      <c r="N13" s="64">
        <v>0</v>
      </c>
      <c r="O13" s="64"/>
      <c r="P13" s="64">
        <v>0.15700165036964869</v>
      </c>
      <c r="Q13" s="64"/>
      <c r="R13" s="64">
        <v>0</v>
      </c>
      <c r="S13" s="64"/>
      <c r="T13" s="64">
        <v>0</v>
      </c>
      <c r="AO13" s="18"/>
      <c r="AQ13" s="18"/>
      <c r="AR13" s="56"/>
      <c r="AT13" s="64"/>
      <c r="AU13" s="1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</row>
    <row r="14" spans="1:60" x14ac:dyDescent="0.25">
      <c r="A14" s="18">
        <v>2</v>
      </c>
      <c r="B14" s="18" t="s">
        <v>266</v>
      </c>
      <c r="C14" s="2"/>
      <c r="D14" s="42">
        <f>SUM(F14:T14)</f>
        <v>1</v>
      </c>
      <c r="F14" s="24">
        <f>IFERROR(F13/$D13,0)</f>
        <v>0</v>
      </c>
      <c r="H14" s="24">
        <f>IFERROR(H13/$D13,0)</f>
        <v>0</v>
      </c>
      <c r="J14" s="24">
        <f>IFERROR(J13/$D13,0)</f>
        <v>0</v>
      </c>
      <c r="L14" s="24">
        <f>IFERROR(L13/$D13,0)</f>
        <v>0.84299834963035125</v>
      </c>
      <c r="N14" s="24">
        <f>IFERROR(N13/$D13,0)</f>
        <v>0</v>
      </c>
      <c r="P14" s="24">
        <f>IFERROR(P13/$D13,0)</f>
        <v>0.15700165036964869</v>
      </c>
      <c r="Q14" s="24"/>
      <c r="R14" s="24">
        <f>IFERROR(R13/$D13,0)</f>
        <v>0</v>
      </c>
      <c r="T14" s="24">
        <f>IFERROR(T13/$D13,0)</f>
        <v>0</v>
      </c>
      <c r="AO14" s="18"/>
      <c r="AQ14" s="18"/>
      <c r="AR14" s="56"/>
      <c r="AT14" s="42"/>
      <c r="AV14" s="61"/>
      <c r="AX14" s="61"/>
      <c r="AZ14" s="61"/>
      <c r="BB14" s="61"/>
      <c r="BD14" s="61"/>
      <c r="BF14" s="61"/>
      <c r="BH14" s="61"/>
    </row>
    <row r="15" spans="1:60" x14ac:dyDescent="0.25">
      <c r="A15" s="18"/>
      <c r="C15" s="2"/>
      <c r="D15" s="42"/>
      <c r="F15" s="24"/>
      <c r="H15" s="24"/>
      <c r="J15" s="24"/>
      <c r="L15" s="24"/>
      <c r="N15" s="24"/>
      <c r="P15" s="24"/>
      <c r="Q15" s="24"/>
      <c r="R15" s="24"/>
      <c r="T15" s="24"/>
      <c r="AO15" s="18"/>
      <c r="AR15" s="31"/>
      <c r="AT15" s="42"/>
      <c r="AV15" s="61"/>
      <c r="AX15" s="61"/>
      <c r="AZ15" s="61"/>
      <c r="BB15" s="61"/>
      <c r="BD15" s="61"/>
      <c r="BF15" s="61"/>
      <c r="BH15" s="61"/>
    </row>
    <row r="16" spans="1:60" x14ac:dyDescent="0.25">
      <c r="A16" s="18">
        <v>3</v>
      </c>
      <c r="B16" s="18"/>
      <c r="C16" s="2" t="s">
        <v>167</v>
      </c>
      <c r="D16" s="37">
        <f>SUM(F16:T16)</f>
        <v>1</v>
      </c>
      <c r="E16" s="8"/>
      <c r="F16" s="37">
        <v>0</v>
      </c>
      <c r="G16" s="37"/>
      <c r="H16" s="37">
        <v>0</v>
      </c>
      <c r="I16" s="37"/>
      <c r="J16" s="37">
        <v>0</v>
      </c>
      <c r="K16" s="37"/>
      <c r="L16" s="37">
        <v>1</v>
      </c>
      <c r="M16" s="64"/>
      <c r="N16" s="64">
        <v>0</v>
      </c>
      <c r="O16" s="64"/>
      <c r="P16" s="64">
        <v>0</v>
      </c>
      <c r="Q16" s="64"/>
      <c r="R16" s="64">
        <v>0</v>
      </c>
      <c r="S16" s="64"/>
      <c r="T16" s="64">
        <v>0</v>
      </c>
      <c r="AO16" s="18"/>
      <c r="AQ16" s="18"/>
      <c r="AR16" s="31"/>
      <c r="AT16" s="37"/>
      <c r="AU16" s="8"/>
      <c r="AV16" s="37"/>
      <c r="AW16" s="37"/>
      <c r="AX16" s="37"/>
      <c r="AY16" s="37"/>
      <c r="AZ16" s="37"/>
      <c r="BA16" s="37"/>
      <c r="BB16" s="37"/>
      <c r="BC16" s="64"/>
      <c r="BD16" s="64"/>
      <c r="BE16" s="64"/>
      <c r="BF16" s="64"/>
      <c r="BG16" s="64"/>
      <c r="BH16" s="64"/>
    </row>
    <row r="17" spans="1:60" x14ac:dyDescent="0.25">
      <c r="A17" s="18">
        <v>4</v>
      </c>
      <c r="B17" s="18" t="s">
        <v>264</v>
      </c>
      <c r="C17" s="2"/>
      <c r="D17" s="42">
        <f>SUM(F17:T17)</f>
        <v>1</v>
      </c>
      <c r="F17" s="24">
        <f>IFERROR(F16/$D16,0)</f>
        <v>0</v>
      </c>
      <c r="H17" s="24">
        <f>IFERROR(H16/$D16,0)</f>
        <v>0</v>
      </c>
      <c r="J17" s="24">
        <f>IFERROR(J16/$D16,0)</f>
        <v>0</v>
      </c>
      <c r="L17" s="24">
        <f>IFERROR(L16/$D16,0)</f>
        <v>1</v>
      </c>
      <c r="N17" s="24">
        <f>IFERROR(N16/$D16,0)</f>
        <v>0</v>
      </c>
      <c r="P17" s="24">
        <f>IFERROR(P16/$D16,0)</f>
        <v>0</v>
      </c>
      <c r="Q17" s="24"/>
      <c r="R17" s="24">
        <f>IFERROR(R16/$D16,0)</f>
        <v>0</v>
      </c>
      <c r="T17" s="24">
        <f>IFERROR(T16/$D16,0)</f>
        <v>0</v>
      </c>
      <c r="AO17" s="18"/>
      <c r="AQ17" s="18"/>
      <c r="AR17" s="31"/>
      <c r="AT17" s="42"/>
      <c r="AV17" s="61"/>
      <c r="AX17" s="61"/>
      <c r="AZ17" s="61"/>
      <c r="BB17" s="61"/>
      <c r="BD17" s="61"/>
      <c r="BF17" s="61"/>
      <c r="BH17" s="61"/>
    </row>
    <row r="18" spans="1:60" x14ac:dyDescent="0.25">
      <c r="A18" s="18"/>
      <c r="C18" s="2"/>
      <c r="D18" s="42"/>
      <c r="F18" s="24"/>
      <c r="H18" s="24"/>
      <c r="J18" s="24"/>
      <c r="L18" s="24"/>
      <c r="N18" s="24"/>
      <c r="P18" s="24"/>
      <c r="Q18" s="24"/>
      <c r="R18" s="24"/>
      <c r="T18" s="24"/>
      <c r="AO18" s="18"/>
      <c r="AR18" s="31"/>
    </row>
    <row r="19" spans="1:60" x14ac:dyDescent="0.25">
      <c r="A19" s="18">
        <v>5</v>
      </c>
      <c r="B19" s="18"/>
      <c r="C19" s="2" t="s">
        <v>167</v>
      </c>
      <c r="D19" s="37">
        <f>SUM(F19:T19)</f>
        <v>1</v>
      </c>
      <c r="E19" s="8"/>
      <c r="F19" s="37">
        <v>0</v>
      </c>
      <c r="G19" s="37"/>
      <c r="H19" s="37">
        <v>0</v>
      </c>
      <c r="I19" s="37"/>
      <c r="J19" s="37">
        <v>0</v>
      </c>
      <c r="K19" s="37"/>
      <c r="L19" s="37">
        <v>0</v>
      </c>
      <c r="M19" s="37"/>
      <c r="N19" s="37">
        <v>0</v>
      </c>
      <c r="O19" s="37"/>
      <c r="P19" s="37">
        <v>0</v>
      </c>
      <c r="Q19" s="37"/>
      <c r="R19" s="37">
        <v>1</v>
      </c>
      <c r="S19" s="64"/>
      <c r="T19" s="64">
        <v>0</v>
      </c>
      <c r="AO19" s="18"/>
      <c r="AQ19" s="18"/>
      <c r="AR19" s="31"/>
      <c r="AT19" s="37"/>
      <c r="AU19" s="8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64"/>
      <c r="BH19" s="64"/>
    </row>
    <row r="20" spans="1:60" x14ac:dyDescent="0.25">
      <c r="A20" s="18">
        <v>6</v>
      </c>
      <c r="B20" s="18" t="s">
        <v>265</v>
      </c>
      <c r="C20" s="2"/>
      <c r="D20" s="42">
        <f>SUM(F20:T20)</f>
        <v>1</v>
      </c>
      <c r="F20" s="24">
        <f>IFERROR(F19/$D19,0)</f>
        <v>0</v>
      </c>
      <c r="H20" s="24">
        <f>IFERROR(H19/$D19,0)</f>
        <v>0</v>
      </c>
      <c r="J20" s="24">
        <f>IFERROR(J19/$D19,0)</f>
        <v>0</v>
      </c>
      <c r="L20" s="24">
        <f>IFERROR(L19/$D19,0)</f>
        <v>0</v>
      </c>
      <c r="N20" s="24">
        <f>IFERROR(N19/$D19,0)</f>
        <v>0</v>
      </c>
      <c r="P20" s="24">
        <f>IFERROR(P19/$D19,0)</f>
        <v>0</v>
      </c>
      <c r="Q20" s="24"/>
      <c r="R20" s="24">
        <f>IFERROR(R19/$D19,0)</f>
        <v>1</v>
      </c>
      <c r="T20" s="24">
        <f>IFERROR(T19/$D19,0)</f>
        <v>0</v>
      </c>
      <c r="AO20" s="18"/>
      <c r="AQ20" s="18"/>
      <c r="AR20" s="31"/>
      <c r="AT20" s="42"/>
      <c r="AV20" s="61"/>
      <c r="AX20" s="61"/>
      <c r="AZ20" s="61"/>
      <c r="BB20" s="61"/>
      <c r="BD20" s="61"/>
      <c r="BF20" s="61"/>
      <c r="BH20" s="61"/>
    </row>
    <row r="21" spans="1:60" x14ac:dyDescent="0.25">
      <c r="A21" s="18"/>
      <c r="B21" s="18"/>
      <c r="C21" s="2"/>
      <c r="D21" s="42"/>
      <c r="F21" s="24"/>
      <c r="H21" s="24"/>
      <c r="J21" s="24"/>
      <c r="L21" s="24"/>
      <c r="N21" s="24"/>
      <c r="P21" s="24"/>
      <c r="Q21" s="24"/>
      <c r="R21" s="24"/>
      <c r="T21" s="24"/>
      <c r="AO21" s="18"/>
      <c r="AQ21" s="18"/>
      <c r="AR21" s="31"/>
    </row>
    <row r="22" spans="1:60" x14ac:dyDescent="0.25">
      <c r="A22" s="18">
        <v>7</v>
      </c>
      <c r="B22" s="18"/>
      <c r="C22" s="2" t="s">
        <v>167</v>
      </c>
      <c r="D22" s="37">
        <f>SUM(F22:T22)</f>
        <v>1</v>
      </c>
      <c r="E22" s="8"/>
      <c r="F22" s="37">
        <v>0</v>
      </c>
      <c r="G22" s="37"/>
      <c r="H22" s="37">
        <v>0</v>
      </c>
      <c r="I22" s="37"/>
      <c r="J22" s="37">
        <v>0</v>
      </c>
      <c r="K22" s="37"/>
      <c r="L22" s="37">
        <v>0</v>
      </c>
      <c r="M22" s="37"/>
      <c r="N22" s="37">
        <v>0</v>
      </c>
      <c r="O22" s="37"/>
      <c r="P22" s="37">
        <v>0</v>
      </c>
      <c r="Q22" s="37"/>
      <c r="R22" s="37">
        <v>0</v>
      </c>
      <c r="S22" s="37"/>
      <c r="T22" s="37">
        <v>1</v>
      </c>
      <c r="AO22" s="18"/>
      <c r="AQ22" s="18"/>
      <c r="AR22" s="31"/>
      <c r="AT22" s="37"/>
      <c r="AU22" s="8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</row>
    <row r="23" spans="1:60" x14ac:dyDescent="0.25">
      <c r="A23" s="18">
        <v>8</v>
      </c>
      <c r="B23" s="18" t="s">
        <v>263</v>
      </c>
      <c r="C23" s="2"/>
      <c r="D23" s="42">
        <f>SUM(F23:T23)</f>
        <v>1</v>
      </c>
      <c r="F23" s="24">
        <f>IFERROR(F22/$D22,0)</f>
        <v>0</v>
      </c>
      <c r="H23" s="24">
        <f>IFERROR(H22/$D22,0)</f>
        <v>0</v>
      </c>
      <c r="J23" s="24">
        <f>IFERROR(J22/$D22,0)</f>
        <v>0</v>
      </c>
      <c r="L23" s="24">
        <f>IFERROR(L22/$D22,0)</f>
        <v>0</v>
      </c>
      <c r="N23" s="24">
        <f>IFERROR(N22/$D22,0)</f>
        <v>0</v>
      </c>
      <c r="P23" s="24">
        <f>IFERROR(P22/$D22,0)</f>
        <v>0</v>
      </c>
      <c r="Q23" s="24"/>
      <c r="R23" s="24">
        <f>IFERROR(R22/$D22,0)</f>
        <v>0</v>
      </c>
      <c r="T23" s="24">
        <f>IFERROR(T22/$D22,0)</f>
        <v>1</v>
      </c>
      <c r="AO23" s="18"/>
      <c r="AQ23" s="18"/>
      <c r="AR23" s="31"/>
      <c r="AT23" s="42"/>
      <c r="AV23" s="61"/>
      <c r="AX23" s="61"/>
      <c r="AZ23" s="61"/>
      <c r="BB23" s="61"/>
      <c r="BD23" s="61"/>
      <c r="BF23" s="61"/>
      <c r="BH23" s="61"/>
    </row>
    <row r="24" spans="1:60" x14ac:dyDescent="0.25">
      <c r="A24" s="18"/>
      <c r="B24" s="18"/>
      <c r="C24" s="2"/>
      <c r="D24" s="42"/>
      <c r="F24" s="24"/>
      <c r="H24" s="24"/>
      <c r="J24" s="24"/>
      <c r="L24" s="24"/>
      <c r="N24" s="24"/>
      <c r="P24" s="24"/>
      <c r="Q24" s="24"/>
      <c r="R24" s="24"/>
      <c r="T24" s="24"/>
      <c r="AO24" s="18"/>
      <c r="AQ24" s="18"/>
      <c r="AR24" s="31"/>
    </row>
    <row r="25" spans="1:60" x14ac:dyDescent="0.25">
      <c r="A25" s="18">
        <v>9</v>
      </c>
      <c r="B25" s="18"/>
      <c r="C25" s="2" t="s">
        <v>166</v>
      </c>
      <c r="D25" s="37">
        <f>SUM(F25:T25)</f>
        <v>1377669.9119118382</v>
      </c>
      <c r="E25" s="30"/>
      <c r="F25" s="37">
        <v>0</v>
      </c>
      <c r="G25" s="37"/>
      <c r="H25" s="37">
        <v>0</v>
      </c>
      <c r="I25" s="37"/>
      <c r="J25" s="37">
        <v>312327.75774717645</v>
      </c>
      <c r="K25" s="37"/>
      <c r="L25" s="37">
        <v>1051161.3967942926</v>
      </c>
      <c r="M25" s="37"/>
      <c r="N25" s="37">
        <v>0</v>
      </c>
      <c r="O25" s="37"/>
      <c r="P25" s="37">
        <v>14180.757370368967</v>
      </c>
      <c r="Q25" s="37"/>
      <c r="R25" s="37">
        <v>0</v>
      </c>
      <c r="S25" s="37"/>
      <c r="T25" s="37">
        <v>0</v>
      </c>
      <c r="AO25" s="18"/>
      <c r="AQ25" s="18"/>
      <c r="AR25" s="56"/>
      <c r="AT25" s="37"/>
      <c r="AU25" s="30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</row>
    <row r="26" spans="1:60" x14ac:dyDescent="0.25">
      <c r="A26" s="18">
        <v>10</v>
      </c>
      <c r="B26" s="18" t="s">
        <v>251</v>
      </c>
      <c r="C26" s="2"/>
      <c r="D26" s="42">
        <f>SUM(F26:T26)</f>
        <v>0.99999999999999989</v>
      </c>
      <c r="F26" s="24">
        <f>IFERROR(F25/$D25,0)</f>
        <v>0</v>
      </c>
      <c r="H26" s="24">
        <f>IFERROR(H25/$D25,0)</f>
        <v>0</v>
      </c>
      <c r="J26" s="24">
        <f>IFERROR(J25/$D25,0)</f>
        <v>0.22670725044270501</v>
      </c>
      <c r="L26" s="24">
        <f>IFERROR(L25/$D25,0)</f>
        <v>0.76299945851002948</v>
      </c>
      <c r="N26" s="24">
        <f>IFERROR(N25/$D25,0)</f>
        <v>0</v>
      </c>
      <c r="P26" s="24">
        <f>IFERROR(P25/$D25,0)</f>
        <v>1.0293291047265349E-2</v>
      </c>
      <c r="Q26" s="24"/>
      <c r="R26" s="24">
        <f>IFERROR(R25/$D25,0)</f>
        <v>0</v>
      </c>
      <c r="T26" s="24">
        <f>IFERROR(T25/$D25,0)</f>
        <v>0</v>
      </c>
      <c r="AO26" s="18"/>
      <c r="AQ26" s="18"/>
      <c r="AR26" s="56"/>
      <c r="AT26" s="42"/>
      <c r="AV26" s="61"/>
      <c r="AX26" s="61"/>
      <c r="AZ26" s="61"/>
      <c r="BB26" s="61"/>
      <c r="BD26" s="61"/>
      <c r="BF26" s="61"/>
      <c r="BH26" s="61"/>
    </row>
    <row r="27" spans="1:60" x14ac:dyDescent="0.25">
      <c r="A27" s="18"/>
      <c r="C27" s="2"/>
      <c r="D27" s="42"/>
      <c r="F27" s="24"/>
      <c r="H27" s="24"/>
      <c r="J27" s="24"/>
      <c r="L27" s="24"/>
      <c r="N27" s="24"/>
      <c r="P27" s="24"/>
      <c r="Q27" s="24"/>
      <c r="R27" s="24"/>
      <c r="T27" s="24"/>
      <c r="AO27" s="18"/>
      <c r="AR27" s="31"/>
    </row>
    <row r="28" spans="1:60" x14ac:dyDescent="0.25">
      <c r="A28" s="18">
        <v>11</v>
      </c>
      <c r="B28" s="18"/>
      <c r="C28" s="2" t="s">
        <v>166</v>
      </c>
      <c r="D28" s="37">
        <f>SUM(F28:T28)</f>
        <v>-529309.68232222286</v>
      </c>
      <c r="F28" s="37">
        <v>0</v>
      </c>
      <c r="G28" s="37"/>
      <c r="H28" s="37">
        <v>0</v>
      </c>
      <c r="I28" s="37"/>
      <c r="J28" s="37">
        <v>-125363.51856244406</v>
      </c>
      <c r="K28" s="37"/>
      <c r="L28" s="37">
        <v>-394898.99494617968</v>
      </c>
      <c r="M28" s="37"/>
      <c r="N28" s="37">
        <v>0</v>
      </c>
      <c r="O28" s="37"/>
      <c r="P28" s="37">
        <v>-9047.1688135990662</v>
      </c>
      <c r="Q28" s="37"/>
      <c r="R28" s="37">
        <v>0</v>
      </c>
      <c r="S28" s="37"/>
      <c r="T28" s="37">
        <v>0</v>
      </c>
      <c r="AO28" s="18"/>
      <c r="AQ28" s="18"/>
      <c r="AR28" s="56"/>
      <c r="AT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</row>
    <row r="29" spans="1:60" x14ac:dyDescent="0.25">
      <c r="A29" s="18">
        <v>12</v>
      </c>
      <c r="B29" s="18" t="s">
        <v>258</v>
      </c>
      <c r="C29" s="2"/>
      <c r="D29" s="42">
        <f>SUM(F29:T29)</f>
        <v>0.99999999999999989</v>
      </c>
      <c r="F29" s="24">
        <f>IFERROR(F28/$D28,0)</f>
        <v>0</v>
      </c>
      <c r="H29" s="24">
        <f>IFERROR(H28/$D28,0)</f>
        <v>0</v>
      </c>
      <c r="J29" s="24">
        <f>IFERROR(J28/$D28,0)</f>
        <v>0.2368434259740741</v>
      </c>
      <c r="L29" s="24">
        <f>IFERROR(L28/$D28,0)</f>
        <v>0.74606418158393095</v>
      </c>
      <c r="N29" s="24">
        <f>IFERROR(N28/$D28,0)</f>
        <v>0</v>
      </c>
      <c r="P29" s="24">
        <f>IFERROR(P28/$D28,0)</f>
        <v>1.7092392441994866E-2</v>
      </c>
      <c r="Q29" s="24"/>
      <c r="R29" s="24">
        <f>IFERROR(R28/$D28,0)</f>
        <v>0</v>
      </c>
      <c r="T29" s="24">
        <f>IFERROR(T28/$D28,0)</f>
        <v>0</v>
      </c>
      <c r="AO29" s="18"/>
      <c r="AQ29" s="18"/>
      <c r="AR29" s="56"/>
      <c r="AT29" s="42"/>
      <c r="AV29" s="61"/>
      <c r="AX29" s="61"/>
      <c r="AZ29" s="61"/>
      <c r="BB29" s="61"/>
      <c r="BD29" s="61"/>
      <c r="BF29" s="61"/>
      <c r="BH29" s="61"/>
    </row>
    <row r="30" spans="1:60" x14ac:dyDescent="0.25">
      <c r="A30" s="18"/>
      <c r="C30" s="2"/>
      <c r="D30" s="42"/>
      <c r="F30" s="24"/>
      <c r="H30" s="24"/>
      <c r="J30" s="24"/>
      <c r="L30" s="24"/>
      <c r="N30" s="24"/>
      <c r="P30" s="24"/>
      <c r="Q30" s="24"/>
      <c r="R30" s="24"/>
      <c r="T30" s="24"/>
      <c r="AO30" s="18"/>
      <c r="AR30" s="31"/>
    </row>
    <row r="31" spans="1:60" x14ac:dyDescent="0.25">
      <c r="A31" s="18">
        <v>13</v>
      </c>
      <c r="B31" s="18"/>
      <c r="C31" s="2" t="s">
        <v>166</v>
      </c>
      <c r="D31" s="37">
        <f>SUM(F31:T31)</f>
        <v>82704.555380633625</v>
      </c>
      <c r="E31" s="30"/>
      <c r="F31" s="37">
        <v>2865.4413980866079</v>
      </c>
      <c r="G31" s="37"/>
      <c r="H31" s="37">
        <v>418.34955602151706</v>
      </c>
      <c r="I31" s="37"/>
      <c r="J31" s="37">
        <v>12951.820774894552</v>
      </c>
      <c r="K31" s="37"/>
      <c r="L31" s="37">
        <v>52670.010764900748</v>
      </c>
      <c r="M31" s="37"/>
      <c r="N31" s="37">
        <v>4950.701381548829</v>
      </c>
      <c r="O31" s="37"/>
      <c r="P31" s="37">
        <v>8638.3069913944437</v>
      </c>
      <c r="Q31" s="37"/>
      <c r="R31" s="37">
        <v>209.92451378691209</v>
      </c>
      <c r="S31" s="37"/>
      <c r="T31" s="37">
        <v>0</v>
      </c>
      <c r="AO31" s="18"/>
      <c r="AQ31" s="18"/>
      <c r="AR31" s="56"/>
      <c r="AT31" s="37"/>
      <c r="AU31" s="30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</row>
    <row r="32" spans="1:60" x14ac:dyDescent="0.25">
      <c r="A32" s="18">
        <v>14</v>
      </c>
      <c r="B32" s="18" t="s">
        <v>260</v>
      </c>
      <c r="C32" s="2"/>
      <c r="D32" s="42">
        <f>SUM(F32:T32)</f>
        <v>0.99999999999999989</v>
      </c>
      <c r="F32" s="24">
        <f>IFERROR(F31/$D31,0)</f>
        <v>3.4646717885114094E-2</v>
      </c>
      <c r="H32" s="24">
        <f>IFERROR(H31/$D31,0)</f>
        <v>5.0583617080840896E-3</v>
      </c>
      <c r="J32" s="24">
        <f>IFERROR(J31/$D31,0)</f>
        <v>0.15660347504784958</v>
      </c>
      <c r="L32" s="24">
        <f>IFERROR(L31/$D31,0)</f>
        <v>0.63684534089441625</v>
      </c>
      <c r="N32" s="24">
        <f>IFERROR(N31/$D31,0)</f>
        <v>5.9860080968503725E-2</v>
      </c>
      <c r="P32" s="24">
        <f>IFERROR(P31/$D31,0)</f>
        <v>0.10444777741247877</v>
      </c>
      <c r="Q32" s="24"/>
      <c r="R32" s="24">
        <f>IFERROR(R31/$D31,0)</f>
        <v>2.5382460835533215E-3</v>
      </c>
      <c r="T32" s="24">
        <f>IFERROR(T31/$D31,0)</f>
        <v>0</v>
      </c>
      <c r="AO32" s="18"/>
      <c r="AQ32" s="18"/>
      <c r="AR32" s="56"/>
      <c r="AT32" s="42"/>
      <c r="AV32" s="61"/>
      <c r="AX32" s="61"/>
      <c r="AZ32" s="61"/>
      <c r="BB32" s="61"/>
      <c r="BD32" s="61"/>
      <c r="BF32" s="61"/>
      <c r="BH32" s="61"/>
    </row>
    <row r="33" spans="1:60" x14ac:dyDescent="0.25">
      <c r="A33" s="18"/>
      <c r="C33" s="2"/>
      <c r="D33" s="42"/>
      <c r="F33" s="24"/>
      <c r="H33" s="24"/>
      <c r="J33" s="24"/>
      <c r="L33" s="24"/>
      <c r="N33" s="24"/>
      <c r="P33" s="24"/>
      <c r="Q33" s="24"/>
      <c r="R33" s="24"/>
      <c r="T33" s="24"/>
      <c r="AO33" s="18"/>
      <c r="AR33" s="31"/>
      <c r="AT33" s="42"/>
      <c r="AV33" s="61"/>
      <c r="AX33" s="61"/>
      <c r="AZ33" s="61"/>
      <c r="BB33" s="61"/>
      <c r="BD33" s="61"/>
      <c r="BF33" s="61"/>
      <c r="BH33" s="61"/>
    </row>
    <row r="34" spans="1:60" x14ac:dyDescent="0.25">
      <c r="A34" s="18">
        <v>15</v>
      </c>
      <c r="B34" s="18"/>
      <c r="C34" s="2" t="s">
        <v>167</v>
      </c>
      <c r="D34" s="64">
        <f ca="1">SUM(F34:T34)</f>
        <v>100.00000000000001</v>
      </c>
      <c r="E34" s="65"/>
      <c r="F34" s="64">
        <f ca="1">+Z44*100</f>
        <v>3.5305576955673876</v>
      </c>
      <c r="G34" s="64"/>
      <c r="H34" s="64">
        <f ca="1">+AB44*100</f>
        <v>0.50795141745633254</v>
      </c>
      <c r="I34" s="64"/>
      <c r="J34" s="64">
        <f ca="1">+AD44*100</f>
        <v>13.231137161233839</v>
      </c>
      <c r="K34" s="64"/>
      <c r="L34" s="64">
        <f ca="1">+AF44*100</f>
        <v>58.335470325063241</v>
      </c>
      <c r="M34" s="64"/>
      <c r="N34" s="64">
        <f ca="1">+AH44*100</f>
        <v>8.7243845198878045</v>
      </c>
      <c r="O34" s="64"/>
      <c r="P34" s="64">
        <f ca="1">+AJ44*100</f>
        <v>15.485976991019907</v>
      </c>
      <c r="Q34" s="64"/>
      <c r="R34" s="64">
        <f ca="1">+AL44*100</f>
        <v>0.18452188977148606</v>
      </c>
      <c r="S34" s="64"/>
      <c r="T34" s="64">
        <f ca="1">+AN44*100</f>
        <v>0</v>
      </c>
      <c r="X34" s="74" t="s">
        <v>253</v>
      </c>
      <c r="AO34" s="18"/>
      <c r="AQ34" s="18"/>
      <c r="AR34" s="31"/>
      <c r="AT34" s="64"/>
      <c r="AU34" s="65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</row>
    <row r="35" spans="1:60" x14ac:dyDescent="0.25">
      <c r="A35" s="18">
        <v>16</v>
      </c>
      <c r="B35" s="18" t="s">
        <v>253</v>
      </c>
      <c r="C35" s="2"/>
      <c r="D35" s="42">
        <f ca="1">SUM(F35:T35)</f>
        <v>0.99999999999999978</v>
      </c>
      <c r="F35" s="24">
        <f ca="1">IFERROR(F34/$D34,0)</f>
        <v>3.5305576955673872E-2</v>
      </c>
      <c r="H35" s="24">
        <f ca="1">IFERROR(H34/$D34,0)</f>
        <v>5.079514174563325E-3</v>
      </c>
      <c r="J35" s="24">
        <f ca="1">IFERROR(J34/$D34,0)</f>
        <v>0.13231137161233839</v>
      </c>
      <c r="L35" s="24">
        <f ca="1">IFERROR(L34/$D34,0)</f>
        <v>0.58335470325063232</v>
      </c>
      <c r="N35" s="24">
        <f ca="1">IFERROR(N34/$D34,0)</f>
        <v>8.7243845198878039E-2</v>
      </c>
      <c r="P35" s="24">
        <f ca="1">IFERROR(P34/$D34,0)</f>
        <v>0.15485976991019904</v>
      </c>
      <c r="Q35" s="24"/>
      <c r="R35" s="24">
        <f ca="1">IFERROR(R34/$D34,0)</f>
        <v>1.8452188977148604E-3</v>
      </c>
      <c r="T35" s="24">
        <f ca="1">IFERROR(T34/$D34,0)</f>
        <v>0</v>
      </c>
      <c r="Z35" s="18" t="s">
        <v>233</v>
      </c>
      <c r="AB35" s="18" t="s">
        <v>234</v>
      </c>
      <c r="AD35" s="18" t="s">
        <v>235</v>
      </c>
      <c r="AF35" s="18" t="s">
        <v>233</v>
      </c>
      <c r="AH35" s="18"/>
      <c r="AJ35" s="18"/>
      <c r="AK35" s="18"/>
      <c r="AL35" s="18"/>
      <c r="AN35" s="18" t="s">
        <v>19</v>
      </c>
      <c r="AO35" s="18"/>
      <c r="AQ35" s="18"/>
      <c r="AR35" s="31"/>
      <c r="AT35" s="42"/>
      <c r="AV35" s="61"/>
      <c r="AX35" s="61"/>
      <c r="AZ35" s="61"/>
      <c r="BB35" s="61"/>
      <c r="BD35" s="61"/>
      <c r="BF35" s="61"/>
      <c r="BH35" s="61"/>
    </row>
    <row r="36" spans="1:60" x14ac:dyDescent="0.25">
      <c r="A36" s="18"/>
      <c r="B36" s="18"/>
      <c r="C36" s="2"/>
      <c r="D36" s="42"/>
      <c r="F36" s="24"/>
      <c r="H36" s="24"/>
      <c r="J36" s="24"/>
      <c r="L36" s="24"/>
      <c r="N36" s="24"/>
      <c r="P36" s="24"/>
      <c r="Q36" s="24"/>
      <c r="R36" s="24"/>
      <c r="T36" s="24"/>
      <c r="Z36" s="4" t="s">
        <v>237</v>
      </c>
      <c r="AB36" s="16" t="s">
        <v>237</v>
      </c>
      <c r="AD36" s="4" t="s">
        <v>237</v>
      </c>
      <c r="AF36" s="4" t="s">
        <v>235</v>
      </c>
      <c r="AH36" s="4" t="s">
        <v>238</v>
      </c>
      <c r="AJ36" s="4" t="s">
        <v>239</v>
      </c>
      <c r="AK36" s="18"/>
      <c r="AL36" s="4" t="s">
        <v>240</v>
      </c>
      <c r="AN36" s="4" t="s">
        <v>175</v>
      </c>
      <c r="AO36" s="18"/>
      <c r="AQ36" s="18"/>
      <c r="AR36" s="31"/>
    </row>
    <row r="37" spans="1:60" x14ac:dyDescent="0.25">
      <c r="A37" s="18">
        <v>17</v>
      </c>
      <c r="B37" s="18"/>
      <c r="C37" s="2" t="s">
        <v>167</v>
      </c>
      <c r="D37" s="37">
        <f ca="1">SUM(F37:T37)</f>
        <v>21572.951217688635</v>
      </c>
      <c r="E37" s="30"/>
      <c r="F37" s="37">
        <f ca="1">'Transmission Class'!AN162</f>
        <v>1083.1938009342377</v>
      </c>
      <c r="G37" s="37"/>
      <c r="H37" s="37">
        <f ca="1">'Transmission Class'!AP162</f>
        <v>177.89091194190325</v>
      </c>
      <c r="I37" s="37"/>
      <c r="J37" s="37">
        <f ca="1">'Transmission Class'!AR162</f>
        <v>2980.9613966285642</v>
      </c>
      <c r="K37" s="37"/>
      <c r="L37" s="37">
        <f ca="1">'Transmission Class'!AT162</f>
        <v>12462.678126366231</v>
      </c>
      <c r="M37" s="37"/>
      <c r="N37" s="37">
        <f ca="1">'Transmission Class'!AV162</f>
        <v>1430.7215203964552</v>
      </c>
      <c r="O37" s="37"/>
      <c r="P37" s="37">
        <f ca="1">'Transmission Class'!AX162</f>
        <v>3385.1961407795061</v>
      </c>
      <c r="Q37" s="37"/>
      <c r="R37" s="37">
        <f ca="1">'Transmission Class'!AZ162</f>
        <v>52.309320641739006</v>
      </c>
      <c r="S37" s="37"/>
      <c r="T37" s="37">
        <f ca="1">'Transmission Class'!BB162</f>
        <v>0</v>
      </c>
      <c r="AO37" s="18"/>
      <c r="AQ37" s="18"/>
      <c r="AR37" s="31"/>
      <c r="AT37" s="37"/>
      <c r="AU37" s="30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</row>
    <row r="38" spans="1:60" x14ac:dyDescent="0.25">
      <c r="A38" s="18">
        <v>18</v>
      </c>
      <c r="B38" s="18" t="s">
        <v>268</v>
      </c>
      <c r="C38" s="2"/>
      <c r="D38" s="42">
        <f ca="1">SUM(F38:T38)</f>
        <v>1</v>
      </c>
      <c r="F38" s="24">
        <f ca="1">IFERROR(F37/$D37,0)</f>
        <v>5.0210737974787534E-2</v>
      </c>
      <c r="H38" s="24">
        <f ca="1">IFERROR(H37/$D37,0)</f>
        <v>8.2460165114563687E-3</v>
      </c>
      <c r="J38" s="24">
        <f ca="1">IFERROR(J37/$D37,0)</f>
        <v>0.1381805097757946</v>
      </c>
      <c r="L38" s="24">
        <f ca="1">IFERROR(L37/$D37,0)</f>
        <v>0.57769926796791338</v>
      </c>
      <c r="N38" s="24">
        <f ca="1">IFERROR(N37/$D37,0)</f>
        <v>6.6320157402634E-2</v>
      </c>
      <c r="P38" s="24">
        <f ca="1">IFERROR(P37/$D37,0)</f>
        <v>0.15691854612844214</v>
      </c>
      <c r="Q38" s="24"/>
      <c r="R38" s="24">
        <f ca="1">IFERROR(R37/$D37,0)</f>
        <v>2.4247642389720065E-3</v>
      </c>
      <c r="T38" s="24">
        <f ca="1">IFERROR(T37/$D37,0)</f>
        <v>0</v>
      </c>
      <c r="X38" s="1" t="s">
        <v>271</v>
      </c>
      <c r="Z38" s="45">
        <f ca="1">'Transmission Class'!P75-'Transmission Class'!P74-'Transmission Class'!P70</f>
        <v>62470.34920450981</v>
      </c>
      <c r="AA38" s="20"/>
      <c r="AB38" s="45">
        <f ca="1">'Transmission Class'!R75-'Transmission Class'!R74-'Transmission Class'!R70</f>
        <v>6600.7037036665752</v>
      </c>
      <c r="AC38" s="20"/>
      <c r="AD38" s="45">
        <f ca="1">'Transmission Class'!T75-'Transmission Class'!T74-'Transmission Class'!T70</f>
        <v>320138.13045010203</v>
      </c>
      <c r="AE38" s="20"/>
      <c r="AF38" s="45">
        <f ca="1">'Transmission Class'!V75-'Transmission Class'!V74-'Transmission Class'!V70</f>
        <v>1471150.0374508221</v>
      </c>
      <c r="AG38" s="20"/>
      <c r="AH38" s="45">
        <f ca="1">'Transmission Class'!X75-'Transmission Class'!X74-'Transmission Class'!X70</f>
        <v>290076.06216115074</v>
      </c>
      <c r="AI38" s="20"/>
      <c r="AJ38" s="45">
        <f ca="1">'Transmission Class'!Z75-'Transmission Class'!Z74-'Transmission Class'!Z70</f>
        <v>412356.69915237755</v>
      </c>
      <c r="AK38" s="20"/>
      <c r="AL38" s="45">
        <f ca="1">'Transmission Class'!AB75-'Transmission Class'!AB74-'Transmission Class'!AB70</f>
        <v>3750.7483685975367</v>
      </c>
      <c r="AM38" s="20"/>
      <c r="AN38" s="45">
        <f ca="1">'Transmission Class'!AD75-'Transmission Class'!AD74-'Transmission Class'!AD70</f>
        <v>0</v>
      </c>
      <c r="AO38" s="18"/>
      <c r="AQ38" s="18"/>
      <c r="AR38" s="31"/>
      <c r="AT38" s="42"/>
      <c r="AV38" s="61"/>
      <c r="AX38" s="61"/>
      <c r="AZ38" s="61"/>
      <c r="BB38" s="61"/>
      <c r="BD38" s="61"/>
      <c r="BF38" s="61"/>
      <c r="BH38" s="61"/>
    </row>
    <row r="39" spans="1:60" x14ac:dyDescent="0.25">
      <c r="A39" s="18"/>
      <c r="C39" s="2"/>
      <c r="D39" s="42"/>
      <c r="F39" s="24"/>
      <c r="H39" s="24"/>
      <c r="J39" s="24"/>
      <c r="L39" s="24"/>
      <c r="N39" s="24"/>
      <c r="P39" s="24"/>
      <c r="Q39" s="24"/>
      <c r="R39" s="24"/>
      <c r="T39" s="24"/>
      <c r="Z39" s="24">
        <f ca="1">Z38/SUM($Z$38:$AN$38)</f>
        <v>2.4340272407057582E-2</v>
      </c>
      <c r="AA39" s="24"/>
      <c r="AB39" s="24">
        <f ca="1">AB38/SUM($Z$38:$AN$38)</f>
        <v>2.5718269270362886E-3</v>
      </c>
      <c r="AC39" s="24"/>
      <c r="AD39" s="24">
        <f ca="1">AD38/SUM($Z$38:$AN$38)</f>
        <v>0.12473516479845588</v>
      </c>
      <c r="AE39" s="24"/>
      <c r="AF39" s="24">
        <f ca="1">AF38/SUM($Z$38:$AN$38)</f>
        <v>0.57320301741839685</v>
      </c>
      <c r="AG39" s="17"/>
      <c r="AH39" s="24">
        <f ca="1">AH38/SUM($Z$38:$AN$38)</f>
        <v>0.1130221050734781</v>
      </c>
      <c r="AI39" s="17"/>
      <c r="AJ39" s="24">
        <f ca="1">AJ38/SUM($Z$38:$AN$38)</f>
        <v>0.16066621227594138</v>
      </c>
      <c r="AK39" s="24"/>
      <c r="AL39" s="24">
        <f ca="1">AL38/SUM($Z$38:$AN$38)</f>
        <v>1.4614010996340039E-3</v>
      </c>
      <c r="AM39" s="17"/>
      <c r="AN39" s="24">
        <f ca="1">AN38/SUM($Z$38:$AN$38)</f>
        <v>0</v>
      </c>
      <c r="AO39" s="18"/>
      <c r="AR39" s="31"/>
    </row>
    <row r="40" spans="1:60" ht="14.5" x14ac:dyDescent="0.35">
      <c r="A40" s="18">
        <v>19</v>
      </c>
      <c r="B40" s="18"/>
      <c r="C40" s="2" t="s">
        <v>166</v>
      </c>
      <c r="D40" s="37">
        <f>SUM(F40:T40)</f>
        <v>79166.942309318169</v>
      </c>
      <c r="E40" s="30"/>
      <c r="F40" s="37">
        <v>3031.2129016562203</v>
      </c>
      <c r="G40" s="37"/>
      <c r="H40" s="37">
        <v>0</v>
      </c>
      <c r="I40" s="37"/>
      <c r="J40" s="37">
        <v>31159.855072747298</v>
      </c>
      <c r="K40" s="37"/>
      <c r="L40" s="37">
        <v>39457.139453762713</v>
      </c>
      <c r="M40" s="37"/>
      <c r="N40" s="37">
        <v>42.9775025</v>
      </c>
      <c r="O40" s="37"/>
      <c r="P40" s="37">
        <v>5464.8697086519451</v>
      </c>
      <c r="Q40" s="37"/>
      <c r="R40" s="37">
        <v>10.88767</v>
      </c>
      <c r="S40" s="37"/>
      <c r="T40" s="37">
        <v>0</v>
      </c>
      <c r="X40"/>
      <c r="Y40"/>
      <c r="Z40"/>
      <c r="AA40"/>
      <c r="AB40"/>
      <c r="AC40"/>
      <c r="AD40"/>
      <c r="AE40"/>
      <c r="AF40"/>
      <c r="AO40" s="18"/>
      <c r="AQ40" s="18"/>
      <c r="AR40" s="56"/>
      <c r="AT40" s="37"/>
      <c r="AU40" s="30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</row>
    <row r="41" spans="1:60" x14ac:dyDescent="0.25">
      <c r="A41" s="18">
        <v>20</v>
      </c>
      <c r="B41" s="18" t="s">
        <v>246</v>
      </c>
      <c r="C41" s="2"/>
      <c r="D41" s="42">
        <f>SUM(F41:T41)</f>
        <v>1</v>
      </c>
      <c r="F41" s="24">
        <f>IFERROR(F40/$D40,0)</f>
        <v>3.828887175928529E-2</v>
      </c>
      <c r="H41" s="24">
        <f>IFERROR(H40/$D40,0)</f>
        <v>0</v>
      </c>
      <c r="J41" s="24">
        <f>IFERROR(J40/$D40,0)</f>
        <v>0.39359679891387817</v>
      </c>
      <c r="L41" s="24">
        <f>IFERROR(L40/$D40,0)</f>
        <v>0.49840423670270384</v>
      </c>
      <c r="N41" s="24">
        <f>IFERROR(N40/$D40,0)</f>
        <v>5.4287182561731236E-4</v>
      </c>
      <c r="P41" s="24">
        <f>IFERROR(P40/$D40,0)</f>
        <v>6.9029692814202764E-2</v>
      </c>
      <c r="Q41" s="24"/>
      <c r="R41" s="24">
        <f>IFERROR(R40/$D40,0)</f>
        <v>1.3752798431269578E-4</v>
      </c>
      <c r="T41" s="24">
        <f>IFERROR(T40/$D40,0)</f>
        <v>0</v>
      </c>
      <c r="X41" s="1" t="s">
        <v>149</v>
      </c>
      <c r="Z41" s="45">
        <f ca="1">+'Transmission Class'!P162-'Transmission Class'!P157-'Transmission Class'!P148-SUM('Transmission Class'!P116:P122)</f>
        <v>2907.9761813347068</v>
      </c>
      <c r="AA41" s="20"/>
      <c r="AB41" s="45">
        <f ca="1">+'Transmission Class'!R162-'Transmission Class'!R157-'Transmission Class'!R148-SUM('Transmission Class'!R116:R122)</f>
        <v>476.83122303131182</v>
      </c>
      <c r="AC41" s="20"/>
      <c r="AD41" s="45">
        <f ca="1">+'Transmission Class'!T162-'Transmission Class'!T157-'Transmission Class'!T148-SUM('Transmission Class'!T116:T122)</f>
        <v>8791.4846854673415</v>
      </c>
      <c r="AE41" s="20"/>
      <c r="AF41" s="45">
        <f ca="1">+'Transmission Class'!V162-'Transmission Class'!V157-'Transmission Class'!V148-SUM('Transmission Class'!V116:V122)</f>
        <v>37299.968939708357</v>
      </c>
      <c r="AG41" s="20"/>
      <c r="AH41" s="45">
        <f ca="1">+'Transmission Class'!X162-'Transmission Class'!X157-'Transmission Class'!X148-SUM('Transmission Class'!X116:X122)</f>
        <v>3862.9144784765758</v>
      </c>
      <c r="AI41" s="20"/>
      <c r="AJ41" s="45">
        <f ca="1">+'Transmission Class'!Z162-'Transmission Class'!Z157-'Transmission Class'!Z148-SUM('Transmission Class'!Z116:Z122)</f>
        <v>9367.5225575240529</v>
      </c>
      <c r="AK41" s="20"/>
      <c r="AL41" s="45">
        <f ca="1">+'Transmission Class'!AB162-'Transmission Class'!AB157-'Transmission Class'!AB148-SUM('Transmission Class'!AB116:AB122)</f>
        <v>140.08779188902986</v>
      </c>
      <c r="AM41" s="20"/>
      <c r="AN41" s="45">
        <f ca="1">+'Transmission Class'!AD162-'Transmission Class'!AD157-'Transmission Class'!AD148-SUM('Transmission Class'!AD116:AD122)</f>
        <v>0</v>
      </c>
      <c r="AO41" s="18"/>
      <c r="AQ41" s="18"/>
      <c r="AR41" s="56"/>
      <c r="AT41" s="42"/>
      <c r="AV41" s="61"/>
      <c r="AX41" s="61"/>
      <c r="AZ41" s="61"/>
      <c r="BB41" s="61"/>
      <c r="BD41" s="61"/>
      <c r="BF41" s="61"/>
      <c r="BH41" s="61"/>
    </row>
    <row r="42" spans="1:60" x14ac:dyDescent="0.25">
      <c r="A42" s="18"/>
      <c r="C42" s="2"/>
      <c r="D42" s="42"/>
      <c r="F42" s="24"/>
      <c r="H42" s="24"/>
      <c r="J42" s="24"/>
      <c r="L42" s="24"/>
      <c r="N42" s="24"/>
      <c r="P42" s="24"/>
      <c r="Q42" s="24"/>
      <c r="R42" s="24"/>
      <c r="T42" s="24"/>
      <c r="Z42" s="24">
        <f ca="1">Z41/SUM($Z$41:$AN$41)</f>
        <v>4.6270881504290172E-2</v>
      </c>
      <c r="AA42" s="24"/>
      <c r="AB42" s="24">
        <f ca="1">AB41/SUM($Z$41:$AN$41)</f>
        <v>7.5872014220903618E-3</v>
      </c>
      <c r="AC42" s="24"/>
      <c r="AD42" s="24">
        <f ca="1">AD41/SUM($Z$41:$AN$41)</f>
        <v>0.13988757842622088</v>
      </c>
      <c r="AE42" s="24"/>
      <c r="AF42" s="24">
        <f ca="1">AF41/SUM($Z$41:$AN$41)</f>
        <v>0.59350638908286801</v>
      </c>
      <c r="AG42" s="17"/>
      <c r="AH42" s="24">
        <f ca="1">AH41/SUM($Z$41:$AN$41)</f>
        <v>6.146558532427799E-2</v>
      </c>
      <c r="AI42" s="17"/>
      <c r="AJ42" s="24">
        <f ca="1">AJ41/SUM($Z$41:$AN$41)</f>
        <v>0.14905332754445677</v>
      </c>
      <c r="AK42" s="24"/>
      <c r="AL42" s="24">
        <f ca="1">AL41/SUM($Z$41:$AN$41)</f>
        <v>2.2290366957957173E-3</v>
      </c>
      <c r="AM42" s="17"/>
      <c r="AN42" s="24">
        <f ca="1">AN41/SUM($Z$41:$AN$41)</f>
        <v>0</v>
      </c>
      <c r="AO42" s="18"/>
      <c r="AR42" s="31"/>
    </row>
    <row r="43" spans="1:60" x14ac:dyDescent="0.25">
      <c r="A43" s="18">
        <v>21</v>
      </c>
      <c r="B43" s="18"/>
      <c r="C43" s="2" t="s">
        <v>166</v>
      </c>
      <c r="D43" s="37">
        <f>SUM(F43:T43)</f>
        <v>66946.675245760765</v>
      </c>
      <c r="E43" s="30"/>
      <c r="F43" s="37">
        <v>0</v>
      </c>
      <c r="G43" s="37"/>
      <c r="H43" s="37">
        <v>0</v>
      </c>
      <c r="I43" s="37"/>
      <c r="J43" s="37">
        <v>449.29173225577097</v>
      </c>
      <c r="K43" s="37"/>
      <c r="L43" s="37">
        <v>36010.838755091441</v>
      </c>
      <c r="M43" s="37"/>
      <c r="N43" s="37">
        <v>19861.049589999999</v>
      </c>
      <c r="O43" s="37"/>
      <c r="P43" s="37">
        <v>10100.296498413565</v>
      </c>
      <c r="Q43" s="37"/>
      <c r="R43" s="37">
        <v>525.19866999999999</v>
      </c>
      <c r="S43" s="37"/>
      <c r="T43" s="37">
        <v>0</v>
      </c>
      <c r="AO43" s="18"/>
      <c r="AQ43" s="18"/>
      <c r="AR43" s="56"/>
      <c r="AT43" s="37"/>
      <c r="AU43" s="30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</row>
    <row r="44" spans="1:60" ht="13" x14ac:dyDescent="0.3">
      <c r="A44" s="18">
        <v>22</v>
      </c>
      <c r="B44" s="18" t="s">
        <v>247</v>
      </c>
      <c r="C44" s="2"/>
      <c r="D44" s="42">
        <f>SUM(F44:T44)</f>
        <v>1.0000000000000002</v>
      </c>
      <c r="F44" s="24">
        <f>IFERROR(F43/$D43,0)</f>
        <v>0</v>
      </c>
      <c r="H44" s="24">
        <f>IFERROR(H43/$D43,0)</f>
        <v>0</v>
      </c>
      <c r="J44" s="24">
        <f>IFERROR(J43/$D43,0)</f>
        <v>6.7111881300516308E-3</v>
      </c>
      <c r="L44" s="24">
        <f>IFERROR(L43/$D43,0)</f>
        <v>0.53790331816921322</v>
      </c>
      <c r="N44" s="24">
        <f>IFERROR(N43/$D43,0)</f>
        <v>0.29666969296220058</v>
      </c>
      <c r="P44" s="24">
        <f>IFERROR(P43/$D43,0)</f>
        <v>0.15087077082372574</v>
      </c>
      <c r="Q44" s="24"/>
      <c r="R44" s="24">
        <f>IFERROR(R43/$D43,0)</f>
        <v>7.8450299148090548E-3</v>
      </c>
      <c r="T44" s="24">
        <f>IFERROR(T43/$D43,0)</f>
        <v>0</v>
      </c>
      <c r="X44" s="31" t="s">
        <v>272</v>
      </c>
      <c r="Y44" s="110"/>
      <c r="Z44" s="103">
        <f ca="1">0.5*Z39+0.5*Z42</f>
        <v>3.5305576955673879E-2</v>
      </c>
      <c r="AA44" s="102"/>
      <c r="AB44" s="103">
        <f ca="1">0.5*AB39+0.5*AB42</f>
        <v>5.079514174563325E-3</v>
      </c>
      <c r="AC44" s="101"/>
      <c r="AD44" s="103">
        <f ca="1">0.5*AD39+0.5*AD42</f>
        <v>0.13231137161233839</v>
      </c>
      <c r="AE44" s="101"/>
      <c r="AF44" s="103">
        <f ca="1">0.5*AF39+0.5*AF42</f>
        <v>0.58335470325063243</v>
      </c>
      <c r="AG44" s="110"/>
      <c r="AH44" s="103">
        <f ca="1">0.5*AH39+0.5*AH42</f>
        <v>8.7243845198878039E-2</v>
      </c>
      <c r="AI44" s="110"/>
      <c r="AJ44" s="103">
        <f ca="1">0.5*AJ39+0.5*AJ42</f>
        <v>0.15485976991019906</v>
      </c>
      <c r="AK44" s="42"/>
      <c r="AL44" s="103">
        <f ca="1">0.5*AL39+0.5*AL42</f>
        <v>1.8452188977148606E-3</v>
      </c>
      <c r="AM44" s="110"/>
      <c r="AN44" s="103">
        <f ca="1">0.5*AN39+0.5*AN42</f>
        <v>0</v>
      </c>
      <c r="AO44" s="18"/>
      <c r="AQ44" s="18"/>
      <c r="AR44" s="56"/>
      <c r="AT44" s="42"/>
      <c r="AV44" s="61"/>
      <c r="AX44" s="61"/>
      <c r="AZ44" s="61"/>
      <c r="BB44" s="61"/>
      <c r="BD44" s="61"/>
      <c r="BF44" s="61"/>
      <c r="BH44" s="61"/>
    </row>
    <row r="45" spans="1:60" x14ac:dyDescent="0.25">
      <c r="A45" s="18"/>
      <c r="C45" s="2"/>
      <c r="D45" s="42"/>
      <c r="F45" s="24"/>
      <c r="H45" s="24"/>
      <c r="J45" s="24"/>
      <c r="L45" s="24"/>
      <c r="N45" s="24"/>
      <c r="P45" s="24"/>
      <c r="Q45" s="24"/>
      <c r="R45" s="24"/>
      <c r="T45" s="24"/>
      <c r="AO45" s="18"/>
      <c r="AR45" s="31"/>
    </row>
    <row r="46" spans="1:60" x14ac:dyDescent="0.25">
      <c r="A46" s="18">
        <v>23</v>
      </c>
      <c r="B46" s="18"/>
      <c r="C46" s="2" t="s">
        <v>166</v>
      </c>
      <c r="D46" s="37">
        <f>SUM(F46:T46)</f>
        <v>-17684.967853226441</v>
      </c>
      <c r="F46" s="37">
        <v>0</v>
      </c>
      <c r="G46" s="37"/>
      <c r="H46" s="37">
        <v>0</v>
      </c>
      <c r="I46" s="37"/>
      <c r="J46" s="37">
        <v>-81.470851186358047</v>
      </c>
      <c r="K46" s="37"/>
      <c r="L46" s="37">
        <v>-14093.643890261519</v>
      </c>
      <c r="M46" s="37"/>
      <c r="N46" s="37">
        <v>-1728.3808892002771</v>
      </c>
      <c r="O46" s="37"/>
      <c r="P46" s="37">
        <v>-1576.4852531721501</v>
      </c>
      <c r="Q46" s="37"/>
      <c r="R46" s="37">
        <v>-204.98696940613596</v>
      </c>
      <c r="S46" s="37"/>
      <c r="T46" s="37">
        <v>0</v>
      </c>
      <c r="AO46" s="18"/>
      <c r="AQ46" s="18"/>
      <c r="AR46" s="56"/>
      <c r="AT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</row>
    <row r="47" spans="1:60" x14ac:dyDescent="0.25">
      <c r="A47" s="18">
        <v>24</v>
      </c>
      <c r="B47" s="18" t="s">
        <v>254</v>
      </c>
      <c r="C47" s="2"/>
      <c r="D47" s="42">
        <f>SUM(F47:T47)</f>
        <v>1</v>
      </c>
      <c r="F47" s="24">
        <f>IFERROR(F46/$D46,0)</f>
        <v>0</v>
      </c>
      <c r="H47" s="24">
        <f>IFERROR(H46/$D46,0)</f>
        <v>0</v>
      </c>
      <c r="J47" s="24">
        <f>IFERROR(J46/$D46,0)</f>
        <v>4.606785370632977E-3</v>
      </c>
      <c r="L47" s="24">
        <f>IFERROR(L46/$D46,0)</f>
        <v>0.79692787723616243</v>
      </c>
      <c r="N47" s="24">
        <f>IFERROR(N46/$D46,0)</f>
        <v>9.7731638730966186E-2</v>
      </c>
      <c r="P47" s="24">
        <f>IFERROR(P46/$D46,0)</f>
        <v>8.9142669992726992E-2</v>
      </c>
      <c r="Q47" s="24"/>
      <c r="R47" s="24">
        <f>IFERROR(R46/$D46,0)</f>
        <v>1.1591028669511446E-2</v>
      </c>
      <c r="T47" s="24">
        <f>IFERROR(T46/$D46,0)</f>
        <v>0</v>
      </c>
      <c r="AO47" s="18"/>
      <c r="AQ47" s="18"/>
      <c r="AR47" s="56"/>
      <c r="AT47" s="42"/>
      <c r="AV47" s="61"/>
      <c r="AX47" s="61"/>
      <c r="AZ47" s="61"/>
      <c r="BB47" s="61"/>
      <c r="BD47" s="61"/>
      <c r="BF47" s="61"/>
      <c r="BH47" s="61"/>
    </row>
    <row r="48" spans="1:60" x14ac:dyDescent="0.25">
      <c r="A48" s="18"/>
      <c r="C48" s="2"/>
      <c r="D48" s="42"/>
      <c r="F48" s="24"/>
      <c r="H48" s="24"/>
      <c r="J48" s="24"/>
      <c r="L48" s="24"/>
      <c r="N48" s="24"/>
      <c r="P48" s="24"/>
      <c r="Q48" s="24"/>
      <c r="R48" s="24"/>
      <c r="T48" s="24"/>
      <c r="AO48" s="18"/>
      <c r="AR48" s="31"/>
    </row>
    <row r="49" spans="1:60" x14ac:dyDescent="0.25">
      <c r="A49" s="18">
        <v>25</v>
      </c>
      <c r="B49" s="18"/>
      <c r="C49" s="2" t="s">
        <v>166</v>
      </c>
      <c r="D49" s="37">
        <f>SUM(F49:T49)</f>
        <v>29360.673046399999</v>
      </c>
      <c r="E49" s="37"/>
      <c r="F49" s="37">
        <v>0</v>
      </c>
      <c r="G49" s="37"/>
      <c r="H49" s="37">
        <v>0</v>
      </c>
      <c r="I49" s="37"/>
      <c r="J49" s="37">
        <v>266.28169600000001</v>
      </c>
      <c r="K49" s="37"/>
      <c r="L49" s="37">
        <v>24205.402756159998</v>
      </c>
      <c r="M49" s="37"/>
      <c r="N49" s="37">
        <v>925.89545039999996</v>
      </c>
      <c r="O49" s="37"/>
      <c r="P49" s="37">
        <v>3778.9338559999997</v>
      </c>
      <c r="Q49" s="37"/>
      <c r="R49" s="37">
        <v>184.15928783999999</v>
      </c>
      <c r="S49" s="37"/>
      <c r="T49" s="37">
        <v>0</v>
      </c>
      <c r="AO49" s="18"/>
      <c r="AQ49" s="18"/>
      <c r="AR49" s="56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</row>
    <row r="50" spans="1:60" x14ac:dyDescent="0.25">
      <c r="A50" s="18">
        <v>26</v>
      </c>
      <c r="B50" s="18" t="s">
        <v>252</v>
      </c>
      <c r="C50" s="2"/>
      <c r="D50" s="42">
        <f>SUM(F50:T50)</f>
        <v>0.99999999999999989</v>
      </c>
      <c r="F50" s="24">
        <f>IFERROR(F49/$D49,0)</f>
        <v>0</v>
      </c>
      <c r="H50" s="24">
        <f>IFERROR(H49/$D49,0)</f>
        <v>0</v>
      </c>
      <c r="J50" s="24">
        <f>IFERROR(J49/$D49,0)</f>
        <v>9.069332149817649E-3</v>
      </c>
      <c r="L50" s="24">
        <f>IFERROR(L49/$D49,0)</f>
        <v>0.82441579993439196</v>
      </c>
      <c r="N50" s="24">
        <f>IFERROR(N49/$D49,0)</f>
        <v>3.1535225671998922E-2</v>
      </c>
      <c r="P50" s="24">
        <f>IFERROR(P49/$D49,0)</f>
        <v>0.12870733072188023</v>
      </c>
      <c r="Q50" s="24"/>
      <c r="R50" s="24">
        <f>IFERROR(R49/$D49,0)</f>
        <v>6.2723115219111203E-3</v>
      </c>
      <c r="T50" s="24">
        <f>IFERROR(T49/$D49,0)</f>
        <v>0</v>
      </c>
      <c r="AO50" s="18"/>
      <c r="AQ50" s="18"/>
      <c r="AR50" s="56"/>
      <c r="AT50" s="42"/>
      <c r="AU50" s="38"/>
      <c r="AV50" s="61"/>
      <c r="AX50" s="61"/>
      <c r="AZ50" s="61"/>
      <c r="BB50" s="61"/>
      <c r="BD50" s="61"/>
      <c r="BF50" s="61"/>
      <c r="BH50" s="61"/>
    </row>
    <row r="51" spans="1:60" x14ac:dyDescent="0.25">
      <c r="A51" s="18"/>
      <c r="B51" s="18"/>
      <c r="C51" s="2"/>
      <c r="D51" s="42"/>
      <c r="F51" s="24"/>
      <c r="H51" s="24"/>
      <c r="J51" s="24"/>
      <c r="L51" s="24"/>
      <c r="N51" s="24"/>
      <c r="P51" s="24"/>
      <c r="Q51" s="24"/>
      <c r="R51" s="24"/>
      <c r="T51" s="24"/>
      <c r="AO51" s="18"/>
      <c r="AQ51" s="18"/>
      <c r="AR51" s="31"/>
    </row>
    <row r="52" spans="1:60" x14ac:dyDescent="0.25">
      <c r="A52" s="18">
        <v>27</v>
      </c>
      <c r="B52" s="18"/>
      <c r="C52" s="2" t="s">
        <v>166</v>
      </c>
      <c r="D52" s="37">
        <f>SUM(F52:T52)</f>
        <v>2017146.0250572097</v>
      </c>
      <c r="E52" s="30"/>
      <c r="F52" s="37">
        <v>0</v>
      </c>
      <c r="G52" s="37"/>
      <c r="H52" s="37">
        <v>218.83030967577045</v>
      </c>
      <c r="I52" s="37"/>
      <c r="J52" s="37">
        <v>8283.7397433861988</v>
      </c>
      <c r="K52" s="37"/>
      <c r="L52" s="37">
        <v>1277264.9509259884</v>
      </c>
      <c r="M52" s="37"/>
      <c r="N52" s="37">
        <v>323401.49894999998</v>
      </c>
      <c r="O52" s="37"/>
      <c r="P52" s="37">
        <v>399778.93266515504</v>
      </c>
      <c r="Q52" s="37"/>
      <c r="R52" s="37">
        <v>8198.072463004326</v>
      </c>
      <c r="S52" s="37"/>
      <c r="T52" s="37">
        <v>0</v>
      </c>
      <c r="AO52" s="18"/>
      <c r="AQ52" s="18"/>
      <c r="AR52" s="56"/>
      <c r="AT52" s="37"/>
      <c r="AU52" s="30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</row>
    <row r="53" spans="1:60" x14ac:dyDescent="0.25">
      <c r="A53" s="18">
        <v>28</v>
      </c>
      <c r="B53" s="18" t="s">
        <v>250</v>
      </c>
      <c r="C53" s="2"/>
      <c r="D53" s="42">
        <f>SUM(F53:T53)</f>
        <v>1</v>
      </c>
      <c r="F53" s="24">
        <f>IFERROR(F52/$D52,0)</f>
        <v>0</v>
      </c>
      <c r="H53" s="24">
        <f>IFERROR(H52/$D52,0)</f>
        <v>1.0848511062532722E-4</v>
      </c>
      <c r="J53" s="24">
        <f>IFERROR(J52/$D52,0)</f>
        <v>4.1066633949573671E-3</v>
      </c>
      <c r="L53" s="24">
        <f>IFERROR(L52/$D52,0)</f>
        <v>0.63320400955590861</v>
      </c>
      <c r="N53" s="24">
        <f>IFERROR(N52/$D52,0)</f>
        <v>0.16032627035061964</v>
      </c>
      <c r="P53" s="24">
        <f>IFERROR(P52/$D52,0)</f>
        <v>0.19819037774115369</v>
      </c>
      <c r="Q53" s="24"/>
      <c r="R53" s="24">
        <f>IFERROR(R52/$D52,0)</f>
        <v>4.0641938467354212E-3</v>
      </c>
      <c r="T53" s="24">
        <f>IFERROR(T52/$D52,0)</f>
        <v>0</v>
      </c>
      <c r="AO53" s="18"/>
      <c r="AQ53" s="18"/>
      <c r="AR53" s="56"/>
      <c r="AT53" s="42"/>
      <c r="AV53" s="61"/>
      <c r="AX53" s="61"/>
      <c r="AZ53" s="61"/>
      <c r="BB53" s="61"/>
      <c r="BD53" s="61"/>
      <c r="BF53" s="61"/>
      <c r="BH53" s="61"/>
    </row>
    <row r="54" spans="1:60" x14ac:dyDescent="0.25">
      <c r="A54" s="18"/>
      <c r="C54" s="2"/>
      <c r="D54" s="42"/>
      <c r="F54" s="24"/>
      <c r="H54" s="24"/>
      <c r="J54" s="24"/>
      <c r="L54" s="24"/>
      <c r="N54" s="24"/>
      <c r="P54" s="24"/>
      <c r="Q54" s="24"/>
      <c r="R54" s="24"/>
      <c r="T54" s="24"/>
      <c r="AO54" s="18"/>
      <c r="AR54" s="31"/>
    </row>
    <row r="55" spans="1:60" x14ac:dyDescent="0.25">
      <c r="A55" s="18">
        <v>29</v>
      </c>
      <c r="B55" s="18"/>
      <c r="C55" s="2" t="s">
        <v>166</v>
      </c>
      <c r="D55" s="37">
        <f>SUM(F55:T55)</f>
        <v>-713772.24041839002</v>
      </c>
      <c r="F55" s="37">
        <v>0</v>
      </c>
      <c r="G55" s="37"/>
      <c r="H55" s="37">
        <v>-12.43536323870693</v>
      </c>
      <c r="I55" s="37"/>
      <c r="J55" s="37">
        <v>-1790.1050563898855</v>
      </c>
      <c r="K55" s="37"/>
      <c r="L55" s="37">
        <v>-583462.72342788579</v>
      </c>
      <c r="M55" s="37"/>
      <c r="N55" s="37">
        <v>-52199.311460000004</v>
      </c>
      <c r="O55" s="37"/>
      <c r="P55" s="37">
        <v>-70427.085600492239</v>
      </c>
      <c r="Q55" s="37"/>
      <c r="R55" s="37">
        <v>-5880.5795103834143</v>
      </c>
      <c r="S55" s="37"/>
      <c r="T55" s="37">
        <v>0</v>
      </c>
      <c r="AO55" s="18"/>
      <c r="AQ55" s="18"/>
      <c r="AR55" s="56"/>
      <c r="AT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</row>
    <row r="56" spans="1:60" x14ac:dyDescent="0.25">
      <c r="A56" s="18">
        <v>30</v>
      </c>
      <c r="B56" s="18" t="s">
        <v>257</v>
      </c>
      <c r="C56" s="2"/>
      <c r="D56" s="42">
        <f>SUM(F56:T56)</f>
        <v>1</v>
      </c>
      <c r="F56" s="24">
        <f>IFERROR(F55/$D55,0)</f>
        <v>0</v>
      </c>
      <c r="H56" s="24">
        <f>IFERROR(H55/$D55,0)</f>
        <v>1.7422032596024926E-5</v>
      </c>
      <c r="J56" s="24">
        <f>IFERROR(J55/$D55,0)</f>
        <v>2.5079499524114082E-3</v>
      </c>
      <c r="L56" s="24">
        <f>IFERROR(L55/$D55,0)</f>
        <v>0.8174354372283783</v>
      </c>
      <c r="N56" s="24">
        <f>IFERROR(N55/$D55,0)</f>
        <v>7.313160768118758E-2</v>
      </c>
      <c r="P56" s="24">
        <f>IFERROR(P55/$D55,0)</f>
        <v>9.8668849266553393E-2</v>
      </c>
      <c r="Q56" s="24"/>
      <c r="R56" s="24">
        <f>IFERROR(R55/$D55,0)</f>
        <v>8.2387338388733231E-3</v>
      </c>
      <c r="T56" s="24">
        <f>IFERROR(T55/$D55,0)</f>
        <v>0</v>
      </c>
      <c r="AO56" s="18"/>
      <c r="AQ56" s="18"/>
      <c r="AR56" s="56"/>
      <c r="AT56" s="42"/>
      <c r="AV56" s="61"/>
      <c r="AX56" s="61"/>
      <c r="AZ56" s="61"/>
      <c r="BB56" s="61"/>
      <c r="BD56" s="61"/>
      <c r="BF56" s="61"/>
      <c r="BH56" s="61"/>
    </row>
    <row r="57" spans="1:60" x14ac:dyDescent="0.25">
      <c r="A57" s="18"/>
      <c r="C57" s="2"/>
      <c r="D57" s="42"/>
      <c r="F57" s="24"/>
      <c r="H57" s="24"/>
      <c r="J57" s="24"/>
      <c r="L57" s="24"/>
      <c r="N57" s="24"/>
      <c r="P57" s="24"/>
      <c r="Q57" s="24"/>
      <c r="R57" s="24"/>
      <c r="T57" s="24"/>
      <c r="AO57" s="18"/>
      <c r="AR57" s="31"/>
    </row>
    <row r="58" spans="1:60" x14ac:dyDescent="0.25">
      <c r="A58" s="18">
        <v>31</v>
      </c>
      <c r="B58" s="18"/>
      <c r="C58" s="2" t="s">
        <v>166</v>
      </c>
      <c r="D58" s="37">
        <f>SUM(F58:T58)</f>
        <v>251233.18487320884</v>
      </c>
      <c r="E58" s="30"/>
      <c r="F58" s="37">
        <v>78959.90158724878</v>
      </c>
      <c r="G58" s="37"/>
      <c r="H58" s="37">
        <v>14671.957388417999</v>
      </c>
      <c r="I58" s="37"/>
      <c r="J58" s="37">
        <v>59837.565322128161</v>
      </c>
      <c r="K58" s="37"/>
      <c r="L58" s="37">
        <v>0</v>
      </c>
      <c r="M58" s="37"/>
      <c r="N58" s="37">
        <v>3464.1131800000003</v>
      </c>
      <c r="O58" s="37"/>
      <c r="P58" s="37">
        <v>90929.806170290787</v>
      </c>
      <c r="Q58" s="37"/>
      <c r="R58" s="37">
        <v>3369.841225123128</v>
      </c>
      <c r="S58" s="37"/>
      <c r="T58" s="37">
        <v>0</v>
      </c>
      <c r="AO58" s="18"/>
      <c r="AQ58" s="18"/>
      <c r="AR58" s="56"/>
      <c r="AT58" s="37"/>
      <c r="AU58" s="30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</row>
    <row r="59" spans="1:60" x14ac:dyDescent="0.25">
      <c r="A59" s="18">
        <v>32</v>
      </c>
      <c r="B59" s="18" t="s">
        <v>249</v>
      </c>
      <c r="C59" s="2"/>
      <c r="D59" s="42">
        <f>SUM(F59:T59)</f>
        <v>1</v>
      </c>
      <c r="F59" s="24">
        <f>IFERROR(F58/$D58,0)</f>
        <v>0.31428929911109427</v>
      </c>
      <c r="H59" s="24">
        <f>IFERROR(H58/$D58,0)</f>
        <v>5.8399758757277917E-2</v>
      </c>
      <c r="J59" s="24">
        <f>IFERROR(J58/$D58,0)</f>
        <v>0.23817540406665105</v>
      </c>
      <c r="L59" s="24">
        <f>IFERROR(L58/$D58,0)</f>
        <v>0</v>
      </c>
      <c r="N59" s="24">
        <f>IFERROR(N58/$D58,0)</f>
        <v>1.3788437947591407E-2</v>
      </c>
      <c r="P59" s="24">
        <f>IFERROR(P58/$D58,0)</f>
        <v>0.36193389904355511</v>
      </c>
      <c r="Q59" s="24"/>
      <c r="R59" s="24">
        <f>IFERROR(R58/$D58,0)</f>
        <v>1.3413201073830287E-2</v>
      </c>
      <c r="T59" s="24">
        <f>IFERROR(T58/$D58,0)</f>
        <v>0</v>
      </c>
      <c r="AO59" s="18"/>
      <c r="AQ59" s="18"/>
      <c r="AR59" s="56"/>
      <c r="AT59" s="42"/>
      <c r="AV59" s="61"/>
      <c r="AX59" s="61"/>
      <c r="AZ59" s="61"/>
      <c r="BB59" s="61"/>
      <c r="BD59" s="61"/>
      <c r="BF59" s="61"/>
      <c r="BH59" s="61"/>
    </row>
    <row r="60" spans="1:60" x14ac:dyDescent="0.25">
      <c r="A60" s="18"/>
      <c r="C60" s="2"/>
      <c r="D60" s="42"/>
      <c r="F60" s="24"/>
      <c r="H60" s="24"/>
      <c r="J60" s="24"/>
      <c r="L60" s="24"/>
      <c r="N60" s="24"/>
      <c r="P60" s="24"/>
      <c r="Q60" s="24"/>
      <c r="R60" s="24"/>
      <c r="T60" s="24"/>
      <c r="AO60" s="18"/>
      <c r="AR60" s="31"/>
    </row>
    <row r="61" spans="1:60" x14ac:dyDescent="0.25">
      <c r="A61" s="18">
        <v>33</v>
      </c>
      <c r="B61" s="18"/>
      <c r="C61" s="2" t="s">
        <v>166</v>
      </c>
      <c r="D61" s="37">
        <f>SUM(F61:T61)</f>
        <v>-91934.117047230437</v>
      </c>
      <c r="F61" s="37">
        <v>-34952.348121982708</v>
      </c>
      <c r="G61" s="37"/>
      <c r="H61" s="37">
        <v>-9130.3820732125678</v>
      </c>
      <c r="I61" s="37"/>
      <c r="J61" s="37">
        <v>-18389.293021966998</v>
      </c>
      <c r="K61" s="37"/>
      <c r="L61" s="37">
        <v>0</v>
      </c>
      <c r="M61" s="37"/>
      <c r="N61" s="37">
        <v>-517.39716281437416</v>
      </c>
      <c r="O61" s="37"/>
      <c r="P61" s="37">
        <v>-26640.511456599652</v>
      </c>
      <c r="Q61" s="37"/>
      <c r="R61" s="37">
        <v>-2304.1852106541328</v>
      </c>
      <c r="S61" s="37"/>
      <c r="T61" s="37">
        <v>0</v>
      </c>
      <c r="AO61" s="18"/>
      <c r="AQ61" s="18"/>
      <c r="AR61" s="56"/>
      <c r="AT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</row>
    <row r="62" spans="1:60" x14ac:dyDescent="0.25">
      <c r="A62" s="18">
        <v>34</v>
      </c>
      <c r="B62" s="18" t="s">
        <v>256</v>
      </c>
      <c r="C62" s="2"/>
      <c r="D62" s="42">
        <f>SUM(F62:T62)</f>
        <v>0.99999999999999989</v>
      </c>
      <c r="F62" s="24">
        <f>IFERROR(F61/$D61,0)</f>
        <v>0.38018908806211965</v>
      </c>
      <c r="H62" s="24">
        <f>IFERROR(H61/$D61,0)</f>
        <v>9.9314404341555862E-2</v>
      </c>
      <c r="J62" s="24">
        <f>IFERROR(J61/$D61,0)</f>
        <v>0.20002686285135737</v>
      </c>
      <c r="L62" s="24">
        <f>IFERROR(L61/$D61,0)</f>
        <v>0</v>
      </c>
      <c r="N62" s="24">
        <f>IFERROR(N61/$D61,0)</f>
        <v>5.6279124598386625E-3</v>
      </c>
      <c r="P62" s="24">
        <f>IFERROR(P61/$D61,0)</f>
        <v>0.28977829245821002</v>
      </c>
      <c r="Q62" s="24"/>
      <c r="R62" s="24">
        <f>IFERROR(R61/$D61,0)</f>
        <v>2.5063439826918395E-2</v>
      </c>
      <c r="T62" s="24">
        <f>IFERROR(T61/$D61,0)</f>
        <v>0</v>
      </c>
      <c r="AO62" s="18"/>
      <c r="AQ62" s="18"/>
      <c r="AR62" s="56"/>
      <c r="AT62" s="42"/>
      <c r="AV62" s="61"/>
      <c r="AX62" s="61"/>
      <c r="AZ62" s="61"/>
      <c r="BB62" s="61"/>
      <c r="BD62" s="61"/>
      <c r="BF62" s="61"/>
      <c r="BH62" s="61"/>
    </row>
    <row r="63" spans="1:60" x14ac:dyDescent="0.25">
      <c r="A63" s="18"/>
      <c r="C63" s="2"/>
      <c r="D63" s="42"/>
      <c r="F63" s="24"/>
      <c r="H63" s="24"/>
      <c r="J63" s="24"/>
      <c r="L63" s="24"/>
      <c r="N63" s="24"/>
      <c r="P63" s="24"/>
      <c r="Q63" s="24"/>
      <c r="R63" s="24"/>
      <c r="T63" s="24"/>
      <c r="AO63" s="18"/>
      <c r="AR63" s="31"/>
    </row>
    <row r="64" spans="1:60" x14ac:dyDescent="0.25">
      <c r="A64" s="18">
        <v>35</v>
      </c>
      <c r="B64" s="18"/>
      <c r="C64" s="2" t="s">
        <v>167</v>
      </c>
      <c r="D64" s="37">
        <f>SUM(F64:T64)</f>
        <v>2617400.5591033893</v>
      </c>
      <c r="E64" s="30"/>
      <c r="F64" s="37">
        <v>64265.914186375005</v>
      </c>
      <c r="G64" s="37"/>
      <c r="H64" s="37">
        <v>6859.0367649895697</v>
      </c>
      <c r="I64" s="37"/>
      <c r="J64" s="37">
        <v>326867.19951100257</v>
      </c>
      <c r="K64" s="37"/>
      <c r="L64" s="37">
        <v>1500818.190968842</v>
      </c>
      <c r="M64" s="37"/>
      <c r="N64" s="37">
        <v>294513.09468774137</v>
      </c>
      <c r="O64" s="37"/>
      <c r="P64" s="37">
        <v>420232.53078938945</v>
      </c>
      <c r="Q64" s="37"/>
      <c r="R64" s="37">
        <v>3844.5921950494435</v>
      </c>
      <c r="S64" s="37"/>
      <c r="T64" s="37">
        <v>0</v>
      </c>
      <c r="AO64" s="18"/>
      <c r="AQ64" s="18"/>
      <c r="AR64" s="31"/>
      <c r="AT64" s="37"/>
      <c r="AU64" s="30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</row>
    <row r="65" spans="1:60" x14ac:dyDescent="0.25">
      <c r="A65" s="18">
        <v>36</v>
      </c>
      <c r="B65" s="18" t="s">
        <v>259</v>
      </c>
      <c r="C65" s="2"/>
      <c r="D65" s="42">
        <f>SUM(F65:T65)</f>
        <v>1</v>
      </c>
      <c r="F65" s="24">
        <f>IFERROR(F64/$D64,0)</f>
        <v>2.4553335546161032E-2</v>
      </c>
      <c r="H65" s="24">
        <f>IFERROR(H64/$D64,0)</f>
        <v>2.6205529532473187E-3</v>
      </c>
      <c r="J65" s="24">
        <f>IFERROR(J64/$D64,0)</f>
        <v>0.12488237552106791</v>
      </c>
      <c r="L65" s="24">
        <f>IFERROR(L64/$D64,0)</f>
        <v>0.57340027140628369</v>
      </c>
      <c r="N65" s="24">
        <f>IFERROR(N64/$D64,0)</f>
        <v>0.11252121638906851</v>
      </c>
      <c r="P65" s="24">
        <f>IFERROR(P64/$D64,0)</f>
        <v>0.16055338925018925</v>
      </c>
      <c r="Q65" s="24"/>
      <c r="R65" s="24">
        <f>IFERROR(R64/$D64,0)</f>
        <v>1.4688589339823623E-3</v>
      </c>
      <c r="T65" s="24">
        <f>IFERROR(T64/$D64,0)</f>
        <v>0</v>
      </c>
      <c r="AO65" s="18"/>
      <c r="AQ65" s="18"/>
      <c r="AR65" s="31"/>
      <c r="AT65" s="42"/>
      <c r="AV65" s="61"/>
      <c r="AX65" s="61"/>
      <c r="AZ65" s="61"/>
      <c r="BB65" s="61"/>
      <c r="BD65" s="61"/>
      <c r="BF65" s="61"/>
      <c r="BH65" s="61"/>
    </row>
    <row r="66" spans="1:60" x14ac:dyDescent="0.25">
      <c r="A66" s="18"/>
      <c r="C66" s="2"/>
      <c r="D66" s="42"/>
      <c r="F66" s="24"/>
      <c r="H66" s="24"/>
      <c r="J66" s="24"/>
      <c r="L66" s="24"/>
      <c r="N66" s="24"/>
      <c r="P66" s="24"/>
      <c r="Q66" s="24"/>
      <c r="R66" s="24"/>
      <c r="T66" s="24"/>
      <c r="AO66" s="18"/>
      <c r="AR66" s="31"/>
    </row>
    <row r="67" spans="1:60" x14ac:dyDescent="0.25">
      <c r="A67" s="18">
        <v>37</v>
      </c>
      <c r="B67" s="18"/>
      <c r="C67" s="2" t="s">
        <v>167</v>
      </c>
      <c r="D67" s="37">
        <f>SUM(F67:T67)</f>
        <v>47557.406264227742</v>
      </c>
      <c r="E67" s="30"/>
      <c r="F67" s="37">
        <v>2200.5231099034695</v>
      </c>
      <c r="G67" s="37"/>
      <c r="H67" s="37">
        <v>360.82762043887794</v>
      </c>
      <c r="I67" s="37"/>
      <c r="J67" s="37">
        <v>6652.690398534809</v>
      </c>
      <c r="K67" s="37"/>
      <c r="L67" s="37">
        <v>28225.624466028778</v>
      </c>
      <c r="M67" s="37"/>
      <c r="N67" s="37">
        <v>2923.1438125352438</v>
      </c>
      <c r="O67" s="37"/>
      <c r="P67" s="37">
        <v>7088.5896530667396</v>
      </c>
      <c r="Q67" s="37"/>
      <c r="R67" s="37">
        <v>106.00720371982884</v>
      </c>
      <c r="S67" s="37"/>
      <c r="T67" s="37">
        <v>0</v>
      </c>
      <c r="AO67" s="18"/>
      <c r="AQ67" s="18"/>
      <c r="AR67" s="31"/>
      <c r="AT67" s="37"/>
      <c r="AU67" s="30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</row>
    <row r="68" spans="1:60" x14ac:dyDescent="0.25">
      <c r="A68" s="18">
        <v>38</v>
      </c>
      <c r="B68" s="18" t="s">
        <v>269</v>
      </c>
      <c r="C68" s="2"/>
      <c r="D68" s="42">
        <f>SUM(F68:T68)</f>
        <v>1</v>
      </c>
      <c r="F68" s="24">
        <f>IFERROR(F67/$D67,0)</f>
        <v>4.6270881504290186E-2</v>
      </c>
      <c r="H68" s="24">
        <f>IFERROR(H67/$D67,0)</f>
        <v>7.5872014220903644E-3</v>
      </c>
      <c r="J68" s="24">
        <f>IFERROR(J67/$D67,0)</f>
        <v>0.13988757842622093</v>
      </c>
      <c r="L68" s="24">
        <f>IFERROR(L67/$D67,0)</f>
        <v>0.59350638908286801</v>
      </c>
      <c r="N68" s="24">
        <f>IFERROR(N67/$D67,0)</f>
        <v>6.146558532427801E-2</v>
      </c>
      <c r="P68" s="24">
        <f>IFERROR(P67/$D67,0)</f>
        <v>0.1490533275444568</v>
      </c>
      <c r="Q68" s="24"/>
      <c r="R68" s="24">
        <f>IFERROR(R67/$D67,0)</f>
        <v>2.229036695795719E-3</v>
      </c>
      <c r="T68" s="24">
        <f>IFERROR(T67/$D67,0)</f>
        <v>0</v>
      </c>
      <c r="AO68" s="18"/>
      <c r="AQ68" s="18"/>
      <c r="AR68" s="63"/>
      <c r="AT68" s="42"/>
      <c r="AV68" s="61"/>
      <c r="AX68" s="61"/>
      <c r="AZ68" s="61"/>
      <c r="BB68" s="61"/>
      <c r="BD68" s="61"/>
      <c r="BF68" s="61"/>
      <c r="BH68" s="61"/>
    </row>
    <row r="69" spans="1:60" x14ac:dyDescent="0.25">
      <c r="A69" s="18"/>
      <c r="B69" s="18"/>
      <c r="C69" s="2"/>
      <c r="D69" s="42"/>
      <c r="F69" s="24"/>
      <c r="H69" s="24"/>
      <c r="J69" s="24"/>
      <c r="L69" s="24"/>
      <c r="N69" s="24"/>
      <c r="P69" s="24"/>
      <c r="Q69" s="24"/>
      <c r="R69" s="24"/>
      <c r="T69" s="24"/>
      <c r="AO69" s="18"/>
      <c r="AQ69" s="18"/>
      <c r="AR69" s="63"/>
      <c r="AT69" s="42"/>
      <c r="AV69" s="61"/>
      <c r="AX69" s="61"/>
      <c r="AZ69" s="61"/>
      <c r="BB69" s="61"/>
      <c r="BD69" s="61"/>
      <c r="BF69" s="61"/>
      <c r="BH69" s="61"/>
    </row>
    <row r="70" spans="1:60" x14ac:dyDescent="0.25">
      <c r="A70" s="18">
        <v>39</v>
      </c>
      <c r="B70" s="18"/>
      <c r="C70" s="2" t="s">
        <v>166</v>
      </c>
      <c r="D70" s="37">
        <f>SUM(F70:T70)</f>
        <v>24483.257915889248</v>
      </c>
      <c r="E70" s="30"/>
      <c r="F70" s="37">
        <v>2346.6664252457413</v>
      </c>
      <c r="G70" s="37"/>
      <c r="H70" s="37">
        <v>19.289255075244643</v>
      </c>
      <c r="I70" s="37"/>
      <c r="J70" s="37">
        <v>1020.3124362795184</v>
      </c>
      <c r="K70" s="37"/>
      <c r="L70" s="37">
        <v>16881.87280396025</v>
      </c>
      <c r="M70" s="37"/>
      <c r="N70" s="37">
        <v>981.74718392973955</v>
      </c>
      <c r="O70" s="37"/>
      <c r="P70" s="37">
        <v>3119.3979055358072</v>
      </c>
      <c r="Q70" s="37"/>
      <c r="R70" s="37">
        <v>113.97190586294688</v>
      </c>
      <c r="S70" s="37"/>
      <c r="T70" s="37">
        <v>0</v>
      </c>
      <c r="AO70" s="18"/>
      <c r="AQ70" s="18"/>
      <c r="AR70" s="56"/>
      <c r="AT70" s="37"/>
      <c r="AU70" s="30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</row>
    <row r="71" spans="1:60" x14ac:dyDescent="0.25">
      <c r="A71" s="18">
        <v>40</v>
      </c>
      <c r="B71" s="18" t="s">
        <v>262</v>
      </c>
      <c r="C71" s="2"/>
      <c r="D71" s="42">
        <f>SUM(F71:T71)</f>
        <v>1</v>
      </c>
      <c r="F71" s="24">
        <f>IFERROR(F70/$D70,0)</f>
        <v>9.5847800701506794E-2</v>
      </c>
      <c r="H71" s="24">
        <f>IFERROR(H70/$D70,0)</f>
        <v>7.8785491463234647E-4</v>
      </c>
      <c r="J71" s="24">
        <f>IFERROR(J70/$D70,0)</f>
        <v>4.167388342616575E-2</v>
      </c>
      <c r="L71" s="24">
        <f>IFERROR(L70/$D70,0)</f>
        <v>0.68952722149792744</v>
      </c>
      <c r="N71" s="24">
        <f>IFERROR(N70/$D70,0)</f>
        <v>4.0098715101661415E-2</v>
      </c>
      <c r="P71" s="24">
        <f>IFERROR(P70/$D70,0)</f>
        <v>0.12740942877178807</v>
      </c>
      <c r="Q71" s="24"/>
      <c r="R71" s="24">
        <f>IFERROR(R70/$D70,0)</f>
        <v>4.6550955863182289E-3</v>
      </c>
      <c r="T71" s="24">
        <f>IFERROR(T70/$D70,0)</f>
        <v>0</v>
      </c>
      <c r="AO71" s="18"/>
      <c r="AQ71" s="18"/>
      <c r="AR71" s="56"/>
      <c r="AT71" s="42"/>
      <c r="AV71" s="61"/>
      <c r="AX71" s="61"/>
      <c r="AZ71" s="61"/>
      <c r="BB71" s="61"/>
      <c r="BD71" s="61"/>
      <c r="BF71" s="61"/>
      <c r="BH71" s="61"/>
    </row>
    <row r="72" spans="1:60" x14ac:dyDescent="0.25">
      <c r="A72" s="18"/>
      <c r="C72" s="2"/>
      <c r="D72" s="42"/>
      <c r="F72" s="24"/>
      <c r="H72" s="24"/>
      <c r="J72" s="24"/>
      <c r="L72" s="24"/>
      <c r="N72" s="24"/>
      <c r="P72" s="24"/>
      <c r="Q72" s="24"/>
      <c r="R72" s="24"/>
      <c r="T72" s="24"/>
      <c r="AO72" s="18"/>
      <c r="AR72" s="31"/>
    </row>
    <row r="73" spans="1:60" x14ac:dyDescent="0.25">
      <c r="A73" s="18">
        <v>41</v>
      </c>
      <c r="B73" s="18"/>
      <c r="C73" s="2" t="s">
        <v>167</v>
      </c>
      <c r="D73" s="37">
        <f ca="1">SUM(F73:T73)</f>
        <v>2606329.5708189611</v>
      </c>
      <c r="E73" s="30"/>
      <c r="F73" s="37">
        <f ca="1">'Transmission Class'!P92</f>
        <v>63888.057654086653</v>
      </c>
      <c r="G73" s="37"/>
      <c r="H73" s="37">
        <f ca="1">'Transmission Class'!R92</f>
        <v>6818.7085150973935</v>
      </c>
      <c r="I73" s="37"/>
      <c r="J73" s="37">
        <f ca="1">'Transmission Class'!T92</f>
        <v>324984.5213460137</v>
      </c>
      <c r="K73" s="37"/>
      <c r="L73" s="37">
        <f ca="1">'Transmission Class'!V92</f>
        <v>1495554.0249630243</v>
      </c>
      <c r="M73" s="37"/>
      <c r="N73" s="37">
        <f ca="1">'Transmission Class'!X92</f>
        <v>292917.65784101782</v>
      </c>
      <c r="O73" s="37"/>
      <c r="P73" s="37">
        <f ca="1">'Transmission Class'!Z92</f>
        <v>418317.52763278916</v>
      </c>
      <c r="Q73" s="37"/>
      <c r="R73" s="37">
        <f ca="1">'Transmission Class'!AB92</f>
        <v>3849.0728669319274</v>
      </c>
      <c r="S73" s="37"/>
      <c r="T73" s="37">
        <f ca="1">'Transmission Class'!AD92</f>
        <v>0</v>
      </c>
      <c r="AO73" s="18"/>
      <c r="AQ73" s="18"/>
      <c r="AR73" s="31"/>
      <c r="AT73" s="37"/>
      <c r="AU73" s="30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</row>
    <row r="74" spans="1:60" x14ac:dyDescent="0.25">
      <c r="A74" s="18">
        <v>42</v>
      </c>
      <c r="B74" s="18" t="s">
        <v>261</v>
      </c>
      <c r="C74" s="2"/>
      <c r="D74" s="42">
        <f ca="1">SUM(F74:T74)</f>
        <v>0.99999999999999989</v>
      </c>
      <c r="F74" s="24">
        <f ca="1">IFERROR(F73/$D73,0)</f>
        <v>2.4512655026206736E-2</v>
      </c>
      <c r="H74" s="24">
        <f ca="1">IFERROR(H73/$D73,0)</f>
        <v>2.6162111620269182E-3</v>
      </c>
      <c r="J74" s="24">
        <f ca="1">IFERROR(J73/$D73,0)</f>
        <v>0.12469049385949185</v>
      </c>
      <c r="L74" s="24">
        <f ca="1">IFERROR(L73/$D73,0)</f>
        <v>0.57381615959377352</v>
      </c>
      <c r="N74" s="24">
        <f ca="1">IFERROR(N73/$D73,0)</f>
        <v>0.11238703697360009</v>
      </c>
      <c r="P74" s="24">
        <f ca="1">IFERROR(P73/$D73,0)</f>
        <v>0.16050062598236392</v>
      </c>
      <c r="Q74" s="24"/>
      <c r="R74" s="24">
        <f ca="1">IFERROR(R73/$D73,0)</f>
        <v>1.476817402536883E-3</v>
      </c>
      <c r="T74" s="24">
        <f ca="1">IFERROR(T73/$D73,0)</f>
        <v>0</v>
      </c>
      <c r="AO74" s="18"/>
      <c r="AQ74" s="18"/>
      <c r="AR74" s="31"/>
      <c r="AT74" s="42"/>
      <c r="AV74" s="61"/>
      <c r="AX74" s="61"/>
      <c r="AZ74" s="61"/>
      <c r="BB74" s="61"/>
      <c r="BD74" s="61"/>
      <c r="BF74" s="61"/>
      <c r="BH74" s="61"/>
    </row>
    <row r="75" spans="1:60" x14ac:dyDescent="0.25">
      <c r="A75" s="18"/>
      <c r="B75" s="18"/>
      <c r="C75" s="2"/>
      <c r="D75" s="42"/>
      <c r="F75" s="24"/>
      <c r="H75" s="24"/>
      <c r="J75" s="24"/>
      <c r="L75" s="24"/>
      <c r="N75" s="24"/>
      <c r="P75" s="24"/>
      <c r="Q75" s="24"/>
      <c r="R75" s="24"/>
      <c r="T75" s="24"/>
      <c r="AO75" s="18"/>
      <c r="AQ75" s="18"/>
      <c r="AR75" s="31"/>
      <c r="AT75" s="42"/>
      <c r="AV75" s="61"/>
      <c r="AX75" s="61"/>
      <c r="AZ75" s="61"/>
      <c r="BB75" s="61"/>
      <c r="BD75" s="61"/>
      <c r="BF75" s="61"/>
      <c r="BH75" s="61"/>
    </row>
    <row r="76" spans="1:60" x14ac:dyDescent="0.25">
      <c r="A76" s="18">
        <v>43</v>
      </c>
      <c r="B76" s="18"/>
      <c r="C76" s="2" t="s">
        <v>166</v>
      </c>
      <c r="D76" s="37">
        <f>SUM(F76:T76)</f>
        <v>211517.76996137534</v>
      </c>
      <c r="E76" s="30"/>
      <c r="F76" s="37">
        <v>38917.497387146534</v>
      </c>
      <c r="G76" s="37"/>
      <c r="H76" s="37">
        <v>1921.1219134951625</v>
      </c>
      <c r="I76" s="37"/>
      <c r="J76" s="37">
        <v>78518.22645649148</v>
      </c>
      <c r="K76" s="37"/>
      <c r="L76" s="37">
        <v>87003.762408956027</v>
      </c>
      <c r="M76" s="37"/>
      <c r="N76" s="37">
        <v>0</v>
      </c>
      <c r="O76" s="37"/>
      <c r="P76" s="37">
        <v>5126.9828179340593</v>
      </c>
      <c r="Q76" s="37"/>
      <c r="R76" s="37">
        <v>30.178977352030937</v>
      </c>
      <c r="S76" s="37"/>
      <c r="T76" s="37">
        <v>0</v>
      </c>
      <c r="AO76" s="18"/>
      <c r="AQ76" s="18"/>
      <c r="AR76" s="56"/>
      <c r="AT76" s="37"/>
      <c r="AU76" s="30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</row>
    <row r="77" spans="1:60" x14ac:dyDescent="0.25">
      <c r="A77" s="18">
        <v>44</v>
      </c>
      <c r="B77" s="18" t="s">
        <v>248</v>
      </c>
      <c r="C77" s="2"/>
      <c r="D77" s="42">
        <f>SUM(F77:T77)</f>
        <v>0.99999999999999978</v>
      </c>
      <c r="F77" s="24">
        <f>IFERROR(F76/$D76,0)</f>
        <v>0.1839916211023459</v>
      </c>
      <c r="H77" s="24">
        <f>IFERROR(H76/$D76,0)</f>
        <v>9.0825556351410725E-3</v>
      </c>
      <c r="J77" s="24">
        <f>IFERROR(J76/$D76,0)</f>
        <v>0.37121338065747134</v>
      </c>
      <c r="L77" s="24">
        <f>IFERROR(L76/$D76,0)</f>
        <v>0.41133074741116804</v>
      </c>
      <c r="N77" s="24">
        <f>IFERROR(N76/$D76,0)</f>
        <v>0</v>
      </c>
      <c r="P77" s="24">
        <f>IFERROR(P76/$D76,0)</f>
        <v>2.4239016981269627E-2</v>
      </c>
      <c r="Q77" s="24"/>
      <c r="R77" s="24">
        <f>IFERROR(R76/$D76,0)</f>
        <v>1.4267821260380078E-4</v>
      </c>
      <c r="T77" s="24">
        <f>IFERROR(T76/$D76,0)</f>
        <v>0</v>
      </c>
      <c r="AO77" s="18"/>
      <c r="AQ77" s="18"/>
      <c r="AR77" s="56"/>
      <c r="AT77" s="42"/>
      <c r="AV77" s="61"/>
      <c r="AX77" s="61"/>
      <c r="AZ77" s="61"/>
      <c r="BB77" s="61"/>
      <c r="BD77" s="61"/>
      <c r="BF77" s="61"/>
      <c r="BH77" s="61"/>
    </row>
    <row r="78" spans="1:60" x14ac:dyDescent="0.25">
      <c r="A78" s="18"/>
      <c r="C78" s="2"/>
      <c r="D78" s="42"/>
      <c r="F78" s="24"/>
      <c r="H78" s="24"/>
      <c r="J78" s="24"/>
      <c r="L78" s="24"/>
      <c r="N78" s="24"/>
      <c r="P78" s="24"/>
      <c r="Q78" s="24"/>
      <c r="R78" s="24"/>
      <c r="T78" s="24"/>
      <c r="AO78" s="18"/>
      <c r="AR78" s="31"/>
    </row>
    <row r="79" spans="1:60" x14ac:dyDescent="0.25">
      <c r="A79" s="18">
        <v>45</v>
      </c>
      <c r="B79" s="18"/>
      <c r="C79" s="2" t="s">
        <v>166</v>
      </c>
      <c r="D79" s="37">
        <f>SUM(F79:T79)</f>
        <v>-77738.765516644649</v>
      </c>
      <c r="F79" s="37">
        <v>-23485.914549559013</v>
      </c>
      <c r="G79" s="37"/>
      <c r="H79" s="37">
        <v>-1066.4351039073858</v>
      </c>
      <c r="I79" s="37"/>
      <c r="J79" s="37">
        <v>-24764.875005545604</v>
      </c>
      <c r="K79" s="37"/>
      <c r="L79" s="37">
        <v>-25533.312542571392</v>
      </c>
      <c r="M79" s="37"/>
      <c r="N79" s="37">
        <v>0</v>
      </c>
      <c r="O79" s="37"/>
      <c r="P79" s="37">
        <v>-2865.5350819372147</v>
      </c>
      <c r="Q79" s="37"/>
      <c r="R79" s="37">
        <v>-22.693233124041946</v>
      </c>
      <c r="S79" s="37"/>
      <c r="T79" s="37">
        <v>0</v>
      </c>
      <c r="AO79" s="18"/>
      <c r="AQ79" s="18"/>
      <c r="AR79" s="56"/>
      <c r="AT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</row>
    <row r="80" spans="1:60" x14ac:dyDescent="0.25">
      <c r="A80" s="18">
        <v>46</v>
      </c>
      <c r="B80" s="18" t="s">
        <v>255</v>
      </c>
      <c r="C80" s="2"/>
      <c r="D80" s="42">
        <f>SUM(F80:T80)</f>
        <v>1</v>
      </c>
      <c r="F80" s="24">
        <f>IFERROR(F79/$D79,0)</f>
        <v>0.30211329435801809</v>
      </c>
      <c r="H80" s="24">
        <f>IFERROR(H79/$D79,0)</f>
        <v>1.3718189333467759E-2</v>
      </c>
      <c r="J80" s="24">
        <f>IFERROR(J79/$D79,0)</f>
        <v>0.31856532376042423</v>
      </c>
      <c r="L80" s="24">
        <f>IFERROR(L79/$D79,0)</f>
        <v>0.32845019306493173</v>
      </c>
      <c r="N80" s="24">
        <f>IFERROR(N79/$D79,0)</f>
        <v>0</v>
      </c>
      <c r="P80" s="24">
        <f>IFERROR(P79/$D79,0)</f>
        <v>3.6861082921668918E-2</v>
      </c>
      <c r="Q80" s="24"/>
      <c r="R80" s="24">
        <f>IFERROR(R79/$D79,0)</f>
        <v>2.9191656148930094E-4</v>
      </c>
      <c r="T80" s="24">
        <f>IFERROR(T79/$D79,0)</f>
        <v>0</v>
      </c>
      <c r="AO80" s="18"/>
      <c r="AQ80" s="18"/>
      <c r="AR80" s="56"/>
      <c r="AT80" s="42"/>
      <c r="AV80" s="61"/>
      <c r="AX80" s="61"/>
      <c r="AZ80" s="61"/>
      <c r="BB80" s="61"/>
      <c r="BD80" s="61"/>
      <c r="BF80" s="61"/>
      <c r="BH80" s="61"/>
    </row>
    <row r="81" spans="1:60" x14ac:dyDescent="0.25">
      <c r="A81" s="18"/>
      <c r="C81" s="2"/>
      <c r="D81" s="42"/>
      <c r="F81" s="24"/>
      <c r="H81" s="24"/>
      <c r="J81" s="24"/>
      <c r="L81" s="24"/>
      <c r="N81" s="24"/>
      <c r="P81" s="24"/>
      <c r="Q81" s="24"/>
      <c r="R81" s="24"/>
      <c r="T81" s="24"/>
      <c r="AO81" s="18"/>
      <c r="AR81" s="31"/>
    </row>
    <row r="82" spans="1:60" x14ac:dyDescent="0.25">
      <c r="A82" s="18">
        <v>47</v>
      </c>
      <c r="B82" s="18"/>
      <c r="C82" s="2" t="s">
        <v>167</v>
      </c>
      <c r="D82" s="37">
        <f ca="1">SUM(F82:T82)</f>
        <v>8297.3820979529337</v>
      </c>
      <c r="F82" s="37">
        <f ca="1">SUM('Transmission Class'!P134:P136)</f>
        <v>785.76551205461601</v>
      </c>
      <c r="G82" s="37"/>
      <c r="H82" s="37">
        <f ca="1">SUM('Transmission Class'!R134:R136)</f>
        <v>146.02723734252487</v>
      </c>
      <c r="I82" s="37"/>
      <c r="J82" s="37">
        <f ca="1">SUM('Transmission Class'!T134:T136)</f>
        <v>1868.7370786255701</v>
      </c>
      <c r="K82" s="37"/>
      <c r="L82" s="37">
        <f ca="1">SUM('Transmission Class'!V134:V136)</f>
        <v>4399.3835182255007</v>
      </c>
      <c r="M82" s="37"/>
      <c r="N82" s="37">
        <f ca="1">SUM('Transmission Class'!X134:X136)</f>
        <v>64.011170701021854</v>
      </c>
      <c r="O82" s="37"/>
      <c r="P82" s="37">
        <f ca="1">SUM('Transmission Class'!Z134:Z136)</f>
        <v>999.1739948572482</v>
      </c>
      <c r="Q82" s="37"/>
      <c r="R82" s="37">
        <f ca="1">SUM('Transmission Class'!AB134:AB136)</f>
        <v>34.283586146452542</v>
      </c>
      <c r="S82" s="37"/>
      <c r="T82" s="37">
        <f ca="1">SUM('Transmission Class'!AD134:AD136)</f>
        <v>0</v>
      </c>
      <c r="AO82" s="18"/>
      <c r="AQ82" s="18"/>
      <c r="AR82" s="56"/>
      <c r="AT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</row>
    <row r="83" spans="1:60" x14ac:dyDescent="0.25">
      <c r="A83" s="18">
        <v>48</v>
      </c>
      <c r="B83" s="18" t="s">
        <v>267</v>
      </c>
      <c r="C83" s="2"/>
      <c r="D83" s="42">
        <f ca="1">SUM(F83:T83)</f>
        <v>1</v>
      </c>
      <c r="F83" s="24">
        <f ca="1">IFERROR(F82/$D82,0)</f>
        <v>9.4700413067451E-2</v>
      </c>
      <c r="H83" s="24">
        <f ca="1">IFERROR(H82/$D82,0)</f>
        <v>1.7599194013079328E-2</v>
      </c>
      <c r="J83" s="24">
        <f ca="1">IFERROR(J82/$D82,0)</f>
        <v>0.22522008225782569</v>
      </c>
      <c r="L83" s="24">
        <f ca="1">IFERROR(L82/$D82,0)</f>
        <v>0.53021344157585348</v>
      </c>
      <c r="N83" s="24">
        <f ca="1">IFERROR(N82/$D82,0)</f>
        <v>7.7146225092868991E-3</v>
      </c>
      <c r="P83" s="24">
        <f ca="1">IFERROR(P82/$D82,0)</f>
        <v>0.12042039080058235</v>
      </c>
      <c r="Q83" s="24"/>
      <c r="R83" s="24">
        <f ca="1">IFERROR(R82/$D82,0)</f>
        <v>4.1318557759212659E-3</v>
      </c>
      <c r="T83" s="24">
        <f ca="1">IFERROR(T82/$D82,0)</f>
        <v>0</v>
      </c>
      <c r="AO83" s="18"/>
      <c r="AQ83" s="18"/>
      <c r="AR83" s="56"/>
      <c r="AT83" s="42"/>
      <c r="AV83" s="61"/>
      <c r="AX83" s="61"/>
      <c r="AZ83" s="61"/>
      <c r="BB83" s="61"/>
      <c r="BD83" s="61"/>
      <c r="BF83" s="61"/>
      <c r="BH83" s="61"/>
    </row>
    <row r="84" spans="1:60" x14ac:dyDescent="0.25">
      <c r="A84" s="54"/>
      <c r="C84" s="2"/>
      <c r="D84" s="42"/>
      <c r="F84" s="24"/>
      <c r="H84" s="24"/>
      <c r="J84" s="24"/>
      <c r="L84" s="24"/>
      <c r="N84" s="24"/>
      <c r="P84" s="24"/>
      <c r="Q84" s="24"/>
      <c r="R84" s="24"/>
      <c r="T84" s="24"/>
      <c r="AO84" s="18"/>
      <c r="AQ84" s="18"/>
      <c r="AR84" s="56"/>
      <c r="AT84" s="42"/>
      <c r="AV84" s="61"/>
      <c r="AX84" s="61"/>
      <c r="AZ84" s="61"/>
      <c r="BB84" s="61"/>
      <c r="BD84" s="61"/>
      <c r="BF84" s="61"/>
      <c r="BH84" s="61"/>
    </row>
    <row r="85" spans="1:60" x14ac:dyDescent="0.25">
      <c r="A85" s="54"/>
      <c r="AO85" s="18"/>
      <c r="AQ85" s="18"/>
      <c r="AR85" s="31"/>
      <c r="AT85" s="42"/>
      <c r="AV85" s="61"/>
      <c r="AX85" s="61"/>
      <c r="AZ85" s="61"/>
      <c r="BB85" s="61"/>
      <c r="BD85" s="61"/>
      <c r="BF85" s="61"/>
      <c r="BH85" s="61"/>
    </row>
    <row r="86" spans="1:60" x14ac:dyDescent="0.25">
      <c r="F86" s="9"/>
      <c r="H86" s="9"/>
      <c r="J86" s="9"/>
      <c r="L86" s="9"/>
      <c r="N86" s="9"/>
      <c r="P86" s="9"/>
      <c r="R86" s="9"/>
      <c r="T86" s="9"/>
      <c r="AO86" s="18"/>
      <c r="AR86" s="31"/>
    </row>
    <row r="87" spans="1:60" x14ac:dyDescent="0.25">
      <c r="A87" s="54"/>
      <c r="AO87" s="18"/>
      <c r="AQ87" s="18"/>
      <c r="AR87" s="31"/>
      <c r="AT87" s="37"/>
      <c r="AU87" s="8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64"/>
      <c r="BH87" s="64"/>
    </row>
    <row r="88" spans="1:60" x14ac:dyDescent="0.25">
      <c r="A88" s="54"/>
      <c r="AO88" s="18"/>
      <c r="AQ88" s="18"/>
      <c r="AR88" s="31"/>
      <c r="AT88" s="42"/>
      <c r="AV88" s="61"/>
      <c r="AX88" s="61"/>
      <c r="AZ88" s="61"/>
      <c r="BB88" s="61"/>
      <c r="BD88" s="61"/>
      <c r="BF88" s="61"/>
      <c r="BH88" s="61"/>
    </row>
    <row r="89" spans="1:60" x14ac:dyDescent="0.25">
      <c r="AO89" s="18"/>
      <c r="AQ89" s="18"/>
      <c r="AR89" s="31"/>
    </row>
    <row r="90" spans="1:60" x14ac:dyDescent="0.25">
      <c r="A90" s="54"/>
      <c r="AO90" s="18"/>
      <c r="AQ90" s="18"/>
      <c r="AR90" s="31"/>
      <c r="AT90" s="37"/>
      <c r="AU90" s="8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</row>
    <row r="91" spans="1:60" x14ac:dyDescent="0.25">
      <c r="A91" s="54"/>
      <c r="AO91" s="18"/>
      <c r="AQ91" s="18"/>
      <c r="AR91" s="31"/>
      <c r="AT91" s="42"/>
      <c r="AV91" s="61"/>
      <c r="AX91" s="61"/>
      <c r="AZ91" s="61"/>
      <c r="BB91" s="61"/>
      <c r="BD91" s="61"/>
      <c r="BF91" s="61"/>
      <c r="BH91" s="61"/>
    </row>
    <row r="92" spans="1:60" x14ac:dyDescent="0.25">
      <c r="AO92" s="18"/>
      <c r="AQ92" s="18"/>
      <c r="AR92" s="31"/>
    </row>
    <row r="93" spans="1:60" x14ac:dyDescent="0.25">
      <c r="A93" s="54"/>
      <c r="AO93" s="18"/>
      <c r="AQ93" s="18"/>
      <c r="AR93" s="56"/>
      <c r="AT93" s="37"/>
      <c r="AU93" s="30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</row>
    <row r="94" spans="1:60" x14ac:dyDescent="0.25">
      <c r="A94" s="54"/>
      <c r="AO94" s="18"/>
      <c r="AQ94" s="18"/>
      <c r="AR94" s="56"/>
      <c r="AT94" s="42"/>
      <c r="AV94" s="61"/>
      <c r="AX94" s="61"/>
      <c r="AZ94" s="61"/>
      <c r="BB94" s="61"/>
      <c r="BD94" s="61"/>
      <c r="BF94" s="61"/>
      <c r="BH94" s="61"/>
    </row>
    <row r="95" spans="1:60" x14ac:dyDescent="0.25">
      <c r="AO95" s="18"/>
      <c r="AR95" s="31"/>
    </row>
    <row r="96" spans="1:60" x14ac:dyDescent="0.25">
      <c r="A96" s="54"/>
      <c r="AO96" s="18"/>
      <c r="AQ96" s="18"/>
      <c r="AR96" s="56"/>
      <c r="AT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</row>
    <row r="97" spans="1:60" x14ac:dyDescent="0.25">
      <c r="A97" s="54"/>
      <c r="AO97" s="18"/>
      <c r="AQ97" s="18"/>
      <c r="AR97" s="56"/>
      <c r="AT97" s="42"/>
      <c r="AV97" s="61"/>
      <c r="AX97" s="61"/>
      <c r="AZ97" s="61"/>
      <c r="BB97" s="61"/>
      <c r="BD97" s="61"/>
      <c r="BF97" s="61"/>
      <c r="BH97" s="61"/>
    </row>
    <row r="98" spans="1:60" x14ac:dyDescent="0.25">
      <c r="AO98" s="18"/>
      <c r="AR98" s="31"/>
    </row>
    <row r="99" spans="1:60" x14ac:dyDescent="0.25">
      <c r="A99" s="54"/>
      <c r="AO99" s="18"/>
      <c r="AQ99" s="18"/>
      <c r="AR99" s="56"/>
      <c r="AT99" s="37"/>
      <c r="AU99" s="30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</row>
    <row r="100" spans="1:60" x14ac:dyDescent="0.25">
      <c r="A100" s="54"/>
      <c r="AO100" s="18"/>
      <c r="AQ100" s="18"/>
      <c r="AR100" s="56"/>
      <c r="AT100" s="42"/>
      <c r="AV100" s="61"/>
      <c r="AX100" s="61"/>
      <c r="AZ100" s="61"/>
      <c r="BB100" s="61"/>
      <c r="BD100" s="61"/>
      <c r="BF100" s="61"/>
      <c r="BH100" s="61"/>
    </row>
    <row r="101" spans="1:60" x14ac:dyDescent="0.25">
      <c r="AO101" s="18"/>
      <c r="AR101" s="31"/>
      <c r="AT101" s="42"/>
      <c r="AV101" s="61"/>
      <c r="AX101" s="61"/>
      <c r="AZ101" s="61"/>
      <c r="BB101" s="61"/>
      <c r="BD101" s="61"/>
      <c r="BF101" s="61"/>
      <c r="BH101" s="61"/>
    </row>
    <row r="102" spans="1:60" x14ac:dyDescent="0.25">
      <c r="A102" s="54"/>
      <c r="AO102" s="18"/>
      <c r="AQ102" s="18"/>
      <c r="AR102" s="31"/>
      <c r="AT102" s="64"/>
      <c r="AU102" s="65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</row>
    <row r="103" spans="1:60" x14ac:dyDescent="0.25">
      <c r="A103" s="54"/>
      <c r="AO103" s="18"/>
      <c r="AQ103" s="18"/>
      <c r="AR103" s="31"/>
      <c r="AT103" s="42"/>
      <c r="AV103" s="61"/>
      <c r="AX103" s="61"/>
      <c r="AZ103" s="61"/>
      <c r="BB103" s="61"/>
      <c r="BD103" s="61"/>
      <c r="BF103" s="61"/>
      <c r="BH103" s="61"/>
    </row>
    <row r="104" spans="1:60" x14ac:dyDescent="0.25">
      <c r="AO104" s="18"/>
      <c r="AQ104" s="18"/>
      <c r="AR104" s="31"/>
    </row>
    <row r="105" spans="1:60" x14ac:dyDescent="0.25">
      <c r="A105" s="54"/>
      <c r="AO105" s="18"/>
      <c r="AQ105" s="18"/>
      <c r="AR105" s="31"/>
      <c r="AT105" s="37"/>
      <c r="AU105" s="30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</row>
    <row r="106" spans="1:60" x14ac:dyDescent="0.25">
      <c r="A106" s="54"/>
      <c r="AO106" s="18"/>
      <c r="AQ106" s="18"/>
      <c r="AR106" s="31"/>
      <c r="AT106" s="42"/>
      <c r="AV106" s="61"/>
      <c r="AX106" s="61"/>
      <c r="AZ106" s="61"/>
      <c r="BB106" s="61"/>
      <c r="BD106" s="61"/>
      <c r="BF106" s="61"/>
      <c r="BH106" s="61"/>
    </row>
    <row r="107" spans="1:60" x14ac:dyDescent="0.25">
      <c r="AO107" s="18"/>
      <c r="AR107" s="31"/>
    </row>
    <row r="108" spans="1:60" x14ac:dyDescent="0.25">
      <c r="A108" s="54"/>
      <c r="AO108" s="18"/>
      <c r="AQ108" s="18"/>
      <c r="AR108" s="56"/>
      <c r="AT108" s="37"/>
      <c r="AU108" s="30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</row>
    <row r="109" spans="1:60" x14ac:dyDescent="0.25">
      <c r="A109" s="54"/>
      <c r="AO109" s="18"/>
      <c r="AQ109" s="18"/>
      <c r="AR109" s="56"/>
      <c r="AT109" s="42"/>
      <c r="AV109" s="61"/>
      <c r="AX109" s="61"/>
      <c r="AZ109" s="61"/>
      <c r="BB109" s="61"/>
      <c r="BD109" s="61"/>
      <c r="BF109" s="61"/>
      <c r="BH109" s="61"/>
    </row>
    <row r="110" spans="1:60" x14ac:dyDescent="0.25">
      <c r="AO110" s="18"/>
      <c r="AR110" s="31"/>
    </row>
    <row r="111" spans="1:60" x14ac:dyDescent="0.25">
      <c r="A111" s="54"/>
      <c r="AO111" s="18"/>
      <c r="AQ111" s="18"/>
      <c r="AR111" s="56"/>
      <c r="AT111" s="37"/>
      <c r="AU111" s="30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</row>
    <row r="112" spans="1:60" x14ac:dyDescent="0.25">
      <c r="A112" s="54"/>
      <c r="AO112" s="18"/>
      <c r="AQ112" s="18"/>
      <c r="AR112" s="56"/>
      <c r="AT112" s="42"/>
      <c r="AV112" s="61"/>
      <c r="AX112" s="61"/>
      <c r="AZ112" s="61"/>
      <c r="BB112" s="61"/>
      <c r="BD112" s="61"/>
      <c r="BF112" s="61"/>
      <c r="BH112" s="61"/>
    </row>
    <row r="113" spans="1:60" x14ac:dyDescent="0.25">
      <c r="AO113" s="18"/>
      <c r="AR113" s="31"/>
    </row>
    <row r="114" spans="1:60" x14ac:dyDescent="0.25">
      <c r="A114" s="54"/>
      <c r="AO114" s="18"/>
      <c r="AQ114" s="18"/>
      <c r="AR114" s="56"/>
      <c r="AT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</row>
    <row r="115" spans="1:60" x14ac:dyDescent="0.25">
      <c r="A115" s="54"/>
      <c r="AO115" s="18"/>
      <c r="AQ115" s="18"/>
      <c r="AR115" s="56"/>
      <c r="AT115" s="42"/>
      <c r="AV115" s="61"/>
      <c r="AX115" s="61"/>
      <c r="AZ115" s="61"/>
      <c r="BB115" s="61"/>
      <c r="BD115" s="61"/>
      <c r="BF115" s="61"/>
      <c r="BH115" s="61"/>
    </row>
    <row r="116" spans="1:60" x14ac:dyDescent="0.25">
      <c r="AO116" s="18"/>
      <c r="AR116" s="31"/>
    </row>
    <row r="117" spans="1:60" x14ac:dyDescent="0.25">
      <c r="A117" s="54"/>
      <c r="AO117" s="18"/>
      <c r="AQ117" s="18"/>
      <c r="AR117" s="56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</row>
    <row r="118" spans="1:60" x14ac:dyDescent="0.25">
      <c r="A118" s="54"/>
      <c r="AO118" s="18"/>
      <c r="AQ118" s="18"/>
      <c r="AR118" s="56"/>
      <c r="AT118" s="42"/>
      <c r="AU118" s="38"/>
      <c r="AV118" s="61"/>
      <c r="AX118" s="61"/>
      <c r="AZ118" s="61"/>
      <c r="BB118" s="61"/>
      <c r="BD118" s="61"/>
      <c r="BF118" s="61"/>
      <c r="BH118" s="61"/>
    </row>
    <row r="119" spans="1:60" x14ac:dyDescent="0.25">
      <c r="B119" s="18"/>
      <c r="AO119" s="18"/>
      <c r="AQ119" s="18"/>
      <c r="AR119" s="31"/>
    </row>
    <row r="120" spans="1:60" x14ac:dyDescent="0.25">
      <c r="A120" s="54"/>
      <c r="AO120" s="18"/>
      <c r="AQ120" s="18"/>
      <c r="AR120" s="56"/>
      <c r="AT120" s="37"/>
      <c r="AU120" s="30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</row>
    <row r="121" spans="1:60" x14ac:dyDescent="0.25">
      <c r="A121" s="54"/>
      <c r="AO121" s="18"/>
      <c r="AQ121" s="18"/>
      <c r="AR121" s="56"/>
      <c r="AT121" s="42"/>
      <c r="AV121" s="61"/>
      <c r="AX121" s="61"/>
      <c r="AZ121" s="61"/>
      <c r="BB121" s="61"/>
      <c r="BD121" s="61"/>
      <c r="BF121" s="61"/>
      <c r="BH121" s="61"/>
    </row>
    <row r="122" spans="1:60" x14ac:dyDescent="0.25">
      <c r="D122" s="42"/>
      <c r="F122" s="24"/>
      <c r="H122" s="24"/>
      <c r="J122" s="24"/>
      <c r="L122" s="24"/>
      <c r="N122" s="24"/>
      <c r="P122" s="24"/>
      <c r="Q122" s="24"/>
      <c r="R122" s="24"/>
      <c r="T122" s="24"/>
      <c r="AO122" s="18"/>
      <c r="AR122" s="31"/>
    </row>
    <row r="123" spans="1:60" x14ac:dyDescent="0.25">
      <c r="A123" s="54"/>
      <c r="AO123" s="18"/>
      <c r="AQ123" s="18"/>
      <c r="AR123" s="56"/>
      <c r="AT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</row>
    <row r="124" spans="1:60" x14ac:dyDescent="0.25">
      <c r="A124" s="54"/>
      <c r="AO124" s="18"/>
      <c r="AQ124" s="18"/>
      <c r="AR124" s="56"/>
      <c r="AT124" s="42"/>
      <c r="AV124" s="61"/>
      <c r="AX124" s="61"/>
      <c r="AZ124" s="61"/>
      <c r="BB124" s="61"/>
      <c r="BD124" s="61"/>
      <c r="BF124" s="61"/>
      <c r="BH124" s="61"/>
    </row>
    <row r="125" spans="1:60" x14ac:dyDescent="0.25">
      <c r="D125" s="42"/>
      <c r="F125" s="24"/>
      <c r="H125" s="24"/>
      <c r="J125" s="24"/>
      <c r="L125" s="24"/>
      <c r="N125" s="24"/>
      <c r="P125" s="24"/>
      <c r="Q125" s="24"/>
      <c r="R125" s="24"/>
      <c r="T125" s="24"/>
      <c r="AO125" s="18"/>
      <c r="AR125" s="31"/>
    </row>
    <row r="126" spans="1:60" x14ac:dyDescent="0.25">
      <c r="A126" s="3"/>
      <c r="AO126" s="18"/>
      <c r="AQ126" s="18"/>
      <c r="AR126" s="56"/>
      <c r="AT126" s="37"/>
      <c r="AU126" s="30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</row>
    <row r="127" spans="1:60" x14ac:dyDescent="0.25">
      <c r="A127" s="3"/>
      <c r="AO127" s="18"/>
      <c r="AQ127" s="18"/>
      <c r="AR127" s="56"/>
      <c r="AT127" s="42"/>
      <c r="AV127" s="61"/>
      <c r="AX127" s="61"/>
      <c r="AZ127" s="61"/>
      <c r="BB127" s="61"/>
      <c r="BD127" s="61"/>
      <c r="BF127" s="61"/>
      <c r="BH127" s="61"/>
    </row>
    <row r="128" spans="1:60" x14ac:dyDescent="0.25">
      <c r="B128" s="18"/>
      <c r="AO128" s="18"/>
      <c r="AR128" s="31"/>
    </row>
    <row r="129" spans="1:60" x14ac:dyDescent="0.25">
      <c r="A129" s="3"/>
      <c r="AO129" s="18"/>
      <c r="AQ129" s="18"/>
      <c r="AR129" s="56"/>
      <c r="AT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</row>
    <row r="130" spans="1:60" x14ac:dyDescent="0.25">
      <c r="A130" s="3"/>
      <c r="AO130" s="18"/>
      <c r="AQ130" s="18"/>
      <c r="AR130" s="56"/>
      <c r="AT130" s="42"/>
      <c r="AV130" s="61"/>
      <c r="AX130" s="61"/>
      <c r="AZ130" s="61"/>
      <c r="BB130" s="61"/>
      <c r="BD130" s="61"/>
      <c r="BF130" s="61"/>
      <c r="BH130" s="61"/>
    </row>
    <row r="131" spans="1:60" x14ac:dyDescent="0.25">
      <c r="B131" s="18"/>
      <c r="AO131" s="18"/>
      <c r="AR131" s="31"/>
    </row>
    <row r="132" spans="1:60" x14ac:dyDescent="0.25">
      <c r="A132" s="3"/>
      <c r="AO132" s="18"/>
      <c r="AQ132" s="18"/>
      <c r="AR132" s="31"/>
      <c r="AT132" s="37"/>
      <c r="AU132" s="30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</row>
    <row r="133" spans="1:60" x14ac:dyDescent="0.25">
      <c r="A133" s="3"/>
      <c r="AO133" s="18"/>
      <c r="AQ133" s="18"/>
      <c r="AR133" s="31"/>
      <c r="AT133" s="42"/>
      <c r="AV133" s="61"/>
      <c r="AX133" s="61"/>
      <c r="AZ133" s="61"/>
      <c r="BB133" s="61"/>
      <c r="BD133" s="61"/>
      <c r="BF133" s="61"/>
      <c r="BH133" s="61"/>
    </row>
    <row r="134" spans="1:60" x14ac:dyDescent="0.25">
      <c r="AO134" s="18"/>
      <c r="AR134" s="31"/>
    </row>
    <row r="135" spans="1:60" x14ac:dyDescent="0.25">
      <c r="A135" s="2"/>
      <c r="AO135" s="18"/>
      <c r="AQ135" s="18"/>
      <c r="AR135" s="31"/>
      <c r="AT135" s="37"/>
      <c r="AU135" s="30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</row>
    <row r="136" spans="1:60" x14ac:dyDescent="0.25">
      <c r="A136" s="2"/>
      <c r="AO136" s="18"/>
      <c r="AQ136" s="18"/>
      <c r="AR136" s="63"/>
      <c r="AT136" s="42"/>
      <c r="AV136" s="61"/>
      <c r="AX136" s="61"/>
      <c r="AZ136" s="61"/>
      <c r="BB136" s="61"/>
      <c r="BD136" s="61"/>
      <c r="BF136" s="61"/>
      <c r="BH136" s="61"/>
    </row>
    <row r="137" spans="1:60" x14ac:dyDescent="0.25">
      <c r="AO137" s="18"/>
      <c r="AQ137" s="18"/>
      <c r="AR137" s="63"/>
      <c r="AT137" s="42"/>
      <c r="AV137" s="61"/>
      <c r="AX137" s="61"/>
      <c r="AZ137" s="61"/>
      <c r="BB137" s="61"/>
      <c r="BD137" s="61"/>
      <c r="BF137" s="61"/>
      <c r="BH137" s="61"/>
    </row>
    <row r="138" spans="1:60" x14ac:dyDescent="0.25">
      <c r="A138" s="2"/>
      <c r="AO138" s="18"/>
      <c r="AQ138" s="18"/>
      <c r="AR138" s="56"/>
      <c r="AT138" s="37"/>
      <c r="AU138" s="30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</row>
    <row r="139" spans="1:60" x14ac:dyDescent="0.25">
      <c r="A139" s="2"/>
      <c r="AO139" s="18"/>
      <c r="AQ139" s="18"/>
      <c r="AR139" s="56"/>
      <c r="AT139" s="42"/>
      <c r="AV139" s="61"/>
      <c r="AX139" s="61"/>
      <c r="AZ139" s="61"/>
      <c r="BB139" s="61"/>
      <c r="BD139" s="61"/>
      <c r="BF139" s="61"/>
      <c r="BH139" s="61"/>
    </row>
    <row r="140" spans="1:60" x14ac:dyDescent="0.25">
      <c r="AO140" s="18"/>
      <c r="AR140" s="31"/>
    </row>
    <row r="141" spans="1:60" x14ac:dyDescent="0.25">
      <c r="A141" s="2"/>
      <c r="AO141" s="18"/>
      <c r="AQ141" s="18"/>
      <c r="AR141" s="31"/>
      <c r="AT141" s="37"/>
      <c r="AU141" s="30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</row>
    <row r="142" spans="1:60" x14ac:dyDescent="0.25">
      <c r="A142" s="2"/>
      <c r="AO142" s="18"/>
      <c r="AQ142" s="18"/>
      <c r="AR142" s="31"/>
      <c r="AT142" s="42"/>
      <c r="AV142" s="61"/>
      <c r="AX142" s="61"/>
      <c r="AZ142" s="61"/>
      <c r="BB142" s="61"/>
      <c r="BD142" s="61"/>
      <c r="BF142" s="61"/>
      <c r="BH142" s="61"/>
    </row>
    <row r="143" spans="1:60" x14ac:dyDescent="0.25">
      <c r="B143" s="18"/>
      <c r="AO143" s="18"/>
      <c r="AQ143" s="18"/>
      <c r="AR143" s="31"/>
      <c r="AT143" s="42"/>
      <c r="AV143" s="61"/>
      <c r="AX143" s="61"/>
      <c r="AZ143" s="61"/>
      <c r="BB143" s="61"/>
      <c r="BD143" s="61"/>
      <c r="BF143" s="61"/>
      <c r="BH143" s="61"/>
    </row>
    <row r="144" spans="1:60" x14ac:dyDescent="0.25">
      <c r="A144" s="2"/>
      <c r="U144" s="53"/>
      <c r="AO144" s="18"/>
      <c r="AQ144" s="18"/>
      <c r="AR144" s="56"/>
      <c r="AT144" s="37"/>
      <c r="AU144" s="30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</row>
    <row r="145" spans="1:60" x14ac:dyDescent="0.25">
      <c r="A145" s="2"/>
      <c r="AO145" s="18"/>
      <c r="AQ145" s="18"/>
      <c r="AR145" s="56"/>
      <c r="AT145" s="42"/>
      <c r="AV145" s="61"/>
      <c r="AX145" s="61"/>
      <c r="AZ145" s="61"/>
      <c r="BB145" s="61"/>
      <c r="BD145" s="61"/>
      <c r="BF145" s="61"/>
      <c r="BH145" s="61"/>
    </row>
    <row r="146" spans="1:60" x14ac:dyDescent="0.25">
      <c r="AO146" s="18"/>
      <c r="AR146" s="31"/>
    </row>
    <row r="147" spans="1:60" x14ac:dyDescent="0.25">
      <c r="A147" s="2"/>
      <c r="AO147" s="18"/>
      <c r="AQ147" s="18"/>
      <c r="AR147" s="56"/>
      <c r="AT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</row>
    <row r="148" spans="1:60" x14ac:dyDescent="0.25">
      <c r="A148" s="2"/>
      <c r="AO148" s="18"/>
      <c r="AQ148" s="18"/>
      <c r="AR148" s="56"/>
      <c r="AT148" s="42"/>
      <c r="AV148" s="61"/>
      <c r="AX148" s="61"/>
      <c r="AZ148" s="61"/>
      <c r="BB148" s="61"/>
      <c r="BD148" s="61"/>
      <c r="BF148" s="61"/>
      <c r="BH148" s="61"/>
    </row>
    <row r="149" spans="1:60" x14ac:dyDescent="0.25">
      <c r="AO149" s="18"/>
      <c r="AR149" s="31"/>
    </row>
    <row r="150" spans="1:60" x14ac:dyDescent="0.25">
      <c r="A150" s="2"/>
      <c r="AO150" s="18"/>
      <c r="AQ150" s="18"/>
      <c r="AR150" s="56"/>
      <c r="AT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</row>
    <row r="151" spans="1:60" x14ac:dyDescent="0.25">
      <c r="A151" s="2"/>
      <c r="AO151" s="18"/>
      <c r="AQ151" s="18"/>
      <c r="AR151" s="56"/>
      <c r="AT151" s="42"/>
      <c r="AV151" s="61"/>
      <c r="AX151" s="61"/>
      <c r="AZ151" s="61"/>
      <c r="BB151" s="61"/>
      <c r="BD151" s="61"/>
      <c r="BF151" s="61"/>
      <c r="BH151" s="61"/>
    </row>
    <row r="155" spans="1:60" x14ac:dyDescent="0.25">
      <c r="H155" s="139"/>
    </row>
    <row r="156" spans="1:60" x14ac:dyDescent="0.25">
      <c r="H156" s="139"/>
    </row>
  </sheetData>
  <mergeCells count="2">
    <mergeCell ref="B6:T6"/>
    <mergeCell ref="B7:T7"/>
  </mergeCells>
  <pageMargins left="0.7" right="0.7" top="0.75" bottom="0.75" header="0.3" footer="0.3"/>
  <pageSetup scale="4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  <pageSetUpPr fitToPage="1"/>
  </sheetPr>
  <dimension ref="B5:BM182"/>
  <sheetViews>
    <sheetView topLeftCell="A4" zoomScale="80" zoomScaleNormal="80" workbookViewId="0">
      <pane xSplit="4" ySplit="10" topLeftCell="E14" activePane="bottomRight" state="frozen"/>
      <selection pane="topRight" activeCell="D173" sqref="D173"/>
      <selection pane="bottomLeft" activeCell="D173" sqref="D173"/>
      <selection pane="bottomRight" activeCell="D138" sqref="D138"/>
    </sheetView>
  </sheetViews>
  <sheetFormatPr defaultColWidth="9.1796875" defaultRowHeight="12.5" x14ac:dyDescent="0.25"/>
  <cols>
    <col min="1" max="1" width="1.7265625" style="1" customWidth="1"/>
    <col min="2" max="2" width="5.54296875" style="18" bestFit="1" customWidth="1"/>
    <col min="3" max="3" width="1.7265625" style="1" customWidth="1"/>
    <col min="4" max="4" width="46" style="1" bestFit="1" customWidth="1"/>
    <col min="5" max="5" width="1.7265625" style="1" customWidth="1"/>
    <col min="6" max="6" width="19.7265625" style="31" customWidth="1"/>
    <col min="7" max="7" width="1.7265625" style="31" customWidth="1"/>
    <col min="8" max="8" width="13.1796875" style="31" customWidth="1"/>
    <col min="9" max="9" width="1.7265625" style="31" customWidth="1"/>
    <col min="10" max="10" width="19.26953125" style="31" customWidth="1"/>
    <col min="11" max="11" width="1.7265625" style="71" customWidth="1"/>
    <col min="12" max="12" width="13.26953125" style="31" customWidth="1"/>
    <col min="13" max="13" width="1.7265625" style="31" customWidth="1"/>
    <col min="14" max="14" width="19.81640625" style="18" customWidth="1"/>
    <col min="15" max="15" width="1.7265625" style="71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customWidth="1"/>
    <col min="25" max="25" width="1.7265625" style="1" customWidth="1"/>
    <col min="26" max="26" width="15.453125" style="1" customWidth="1"/>
    <col min="27" max="27" width="1.7265625" style="1" customWidth="1"/>
    <col min="28" max="28" width="15.453125" style="1" customWidth="1"/>
    <col min="29" max="29" width="1.7265625" style="1" customWidth="1"/>
    <col min="30" max="30" width="15.453125" style="1" customWidth="1"/>
    <col min="31" max="31" width="1.7265625" style="1" customWidth="1"/>
    <col min="32" max="32" width="15.453125" style="1" customWidth="1"/>
    <col min="33" max="33" width="1.7265625" style="1" customWidth="1"/>
    <col min="34" max="34" width="15.453125" style="1" customWidth="1"/>
    <col min="35" max="35" width="1.7265625" style="1" customWidth="1"/>
    <col min="36" max="36" width="16" style="1" hidden="1" customWidth="1"/>
    <col min="37" max="37" width="9" style="1" customWidth="1"/>
    <col min="38" max="38" width="9.1796875" style="1" hidden="1" customWidth="1"/>
    <col min="39" max="40" width="9.1796875" style="1"/>
    <col min="41" max="41" width="12" style="31" bestFit="1" customWidth="1"/>
    <col min="42" max="43" width="9.1796875" style="31"/>
    <col min="44" max="44" width="11" style="31" customWidth="1"/>
    <col min="45" max="45" width="1.7265625" style="31" customWidth="1"/>
    <col min="46" max="46" width="11" style="31" customWidth="1"/>
    <col min="47" max="47" width="1.7265625" style="31" customWidth="1"/>
    <col min="48" max="48" width="11" style="31" customWidth="1"/>
    <col min="49" max="49" width="1.7265625" style="31" customWidth="1"/>
    <col min="50" max="50" width="11" style="31" customWidth="1"/>
    <col min="51" max="51" width="1.7265625" style="31" customWidth="1"/>
    <col min="52" max="52" width="11" style="31" customWidth="1"/>
    <col min="53" max="53" width="1.7265625" style="31" customWidth="1"/>
    <col min="54" max="54" width="11" style="31" customWidth="1"/>
    <col min="55" max="55" width="1.7265625" style="31" customWidth="1"/>
    <col min="56" max="56" width="11" style="31" customWidth="1"/>
    <col min="57" max="57" width="1.7265625" style="31" customWidth="1"/>
    <col min="58" max="58" width="11" style="31" customWidth="1"/>
    <col min="59" max="59" width="1.7265625" style="31" customWidth="1"/>
    <col min="60" max="60" width="11" style="31" customWidth="1"/>
    <col min="61" max="61" width="1.7265625" style="31" customWidth="1"/>
    <col min="62" max="62" width="11" style="31" customWidth="1"/>
    <col min="63" max="63" width="1.7265625" style="31" customWidth="1"/>
    <col min="64" max="64" width="12.81640625" style="31" customWidth="1"/>
    <col min="65" max="65" width="9.1796875" style="31"/>
    <col min="66" max="16384" width="9.1796875" style="1"/>
  </cols>
  <sheetData>
    <row r="5" spans="2:65" ht="15" customHeight="1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</row>
    <row r="6" spans="2:65" ht="15" customHeight="1" x14ac:dyDescent="0.25">
      <c r="B6" s="155" t="s"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</row>
    <row r="7" spans="2:65" ht="15" customHeight="1" x14ac:dyDescent="0.25">
      <c r="B7" s="155" t="s">
        <v>273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</row>
    <row r="9" spans="2:65" x14ac:dyDescent="0.25">
      <c r="P9" s="156" t="s">
        <v>274</v>
      </c>
      <c r="Q9" s="156"/>
      <c r="R9" s="156"/>
      <c r="S9" s="156"/>
      <c r="T9" s="156"/>
      <c r="U9" s="156"/>
      <c r="V9" s="156"/>
      <c r="X9" s="156" t="s">
        <v>275</v>
      </c>
      <c r="Y9" s="156"/>
      <c r="Z9" s="156"/>
      <c r="AA9" s="156"/>
      <c r="AB9" s="156"/>
      <c r="AC9" s="156"/>
      <c r="AD9" s="156"/>
      <c r="AE9" s="156"/>
      <c r="AF9" s="156"/>
    </row>
    <row r="10" spans="2:65" ht="14.5" x14ac:dyDescent="0.35">
      <c r="H10" s="2" t="s">
        <v>2</v>
      </c>
      <c r="J10" s="2" t="s">
        <v>3</v>
      </c>
      <c r="L10" s="2" t="s">
        <v>4</v>
      </c>
      <c r="N10" s="18" t="s">
        <v>20</v>
      </c>
      <c r="P10" s="18"/>
      <c r="R10" s="18"/>
      <c r="T10" s="18"/>
      <c r="V10" s="18" t="s">
        <v>177</v>
      </c>
      <c r="X10" s="31"/>
      <c r="Y10" s="31"/>
      <c r="Z10" s="31"/>
      <c r="AA10" s="31"/>
      <c r="AB10" s="31"/>
      <c r="AC10" s="31"/>
      <c r="AD10" s="31"/>
      <c r="AE10" s="31"/>
      <c r="AF10" s="2" t="s">
        <v>276</v>
      </c>
      <c r="AG10" s="31"/>
      <c r="AH10" s="2"/>
      <c r="AI10" s="32"/>
    </row>
    <row r="11" spans="2:65" x14ac:dyDescent="0.25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171</v>
      </c>
      <c r="P11" s="18" t="s">
        <v>277</v>
      </c>
      <c r="Q11" s="18"/>
      <c r="R11" s="18" t="s">
        <v>277</v>
      </c>
      <c r="S11" s="3"/>
      <c r="T11" s="2" t="s">
        <v>278</v>
      </c>
      <c r="U11" s="3"/>
      <c r="V11" s="2" t="s">
        <v>279</v>
      </c>
      <c r="W11" s="3"/>
      <c r="X11" s="2" t="s">
        <v>20</v>
      </c>
      <c r="Y11" s="2"/>
      <c r="Z11" s="2" t="s">
        <v>20</v>
      </c>
      <c r="AA11" s="2"/>
      <c r="AB11" s="2" t="s">
        <v>20</v>
      </c>
      <c r="AC11" s="2"/>
      <c r="AD11" s="2" t="s">
        <v>20</v>
      </c>
      <c r="AE11" s="2"/>
      <c r="AF11" s="2" t="s">
        <v>279</v>
      </c>
      <c r="AG11" s="2"/>
      <c r="AH11" s="2" t="s">
        <v>20</v>
      </c>
      <c r="AI11" s="3"/>
    </row>
    <row r="12" spans="2:65" ht="13" x14ac:dyDescent="0.3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K12" s="70"/>
      <c r="L12" s="33" t="s">
        <v>174</v>
      </c>
      <c r="N12" s="4" t="s">
        <v>14</v>
      </c>
      <c r="O12" s="70" t="s">
        <v>15</v>
      </c>
      <c r="P12" s="4" t="s">
        <v>280</v>
      </c>
      <c r="Q12" s="18"/>
      <c r="R12" s="4" t="s">
        <v>281</v>
      </c>
      <c r="S12" s="18"/>
      <c r="T12" s="4" t="s">
        <v>282</v>
      </c>
      <c r="U12" s="18"/>
      <c r="V12" s="4" t="s">
        <v>10</v>
      </c>
      <c r="W12" s="18"/>
      <c r="X12" s="33" t="s">
        <v>41</v>
      </c>
      <c r="Y12" s="2"/>
      <c r="Z12" s="33" t="s">
        <v>49</v>
      </c>
      <c r="AA12" s="2"/>
      <c r="AB12" s="33" t="s">
        <v>283</v>
      </c>
      <c r="AC12" s="2"/>
      <c r="AD12" s="33" t="s">
        <v>284</v>
      </c>
      <c r="AE12" s="2"/>
      <c r="AF12" s="33" t="s">
        <v>10</v>
      </c>
      <c r="AG12" s="2"/>
      <c r="AH12" s="33" t="s">
        <v>175</v>
      </c>
      <c r="AI12" s="3"/>
      <c r="AJ12" s="4" t="s">
        <v>2</v>
      </c>
      <c r="AL12" s="26" t="s">
        <v>21</v>
      </c>
      <c r="AM12" s="100"/>
    </row>
    <row r="13" spans="2:65" x14ac:dyDescent="0.25">
      <c r="F13" s="2" t="s">
        <v>22</v>
      </c>
      <c r="H13" s="2" t="s">
        <v>23</v>
      </c>
      <c r="J13" s="2" t="s">
        <v>24</v>
      </c>
      <c r="K13" s="70"/>
      <c r="L13" s="2" t="s">
        <v>179</v>
      </c>
      <c r="N13" s="18" t="s">
        <v>26</v>
      </c>
      <c r="O13" s="70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180</v>
      </c>
      <c r="Y13" s="18"/>
      <c r="Z13" s="18" t="s">
        <v>181</v>
      </c>
      <c r="AA13" s="18"/>
      <c r="AB13" s="18" t="s">
        <v>241</v>
      </c>
      <c r="AC13" s="18"/>
      <c r="AD13" s="18" t="s">
        <v>242</v>
      </c>
      <c r="AE13" s="18"/>
      <c r="AF13" s="18" t="s">
        <v>285</v>
      </c>
      <c r="AG13" s="18"/>
      <c r="AH13" s="18" t="s">
        <v>286</v>
      </c>
      <c r="AI13" s="18"/>
      <c r="AJ13" s="18" t="s">
        <v>287</v>
      </c>
      <c r="AL13" s="27"/>
    </row>
    <row r="14" spans="2:65" s="71" customFormat="1" x14ac:dyDescent="0.25">
      <c r="B14" s="70"/>
      <c r="F14" s="31"/>
      <c r="G14" s="31"/>
      <c r="H14" s="31"/>
      <c r="I14" s="31"/>
      <c r="J14" s="31"/>
      <c r="L14" s="31"/>
      <c r="M14" s="31"/>
      <c r="N14" s="70"/>
      <c r="P14" s="71">
        <v>4</v>
      </c>
      <c r="R14" s="71">
        <v>6</v>
      </c>
      <c r="T14" s="71">
        <v>8</v>
      </c>
      <c r="V14" s="71">
        <v>10</v>
      </c>
      <c r="X14" s="71">
        <v>12</v>
      </c>
      <c r="Z14" s="71">
        <v>14</v>
      </c>
      <c r="AB14" s="71">
        <v>16</v>
      </c>
      <c r="AD14" s="71">
        <v>18</v>
      </c>
      <c r="AF14" s="71">
        <v>20</v>
      </c>
      <c r="AH14" s="71">
        <v>22</v>
      </c>
      <c r="AL14" s="72"/>
      <c r="AO14" s="31"/>
      <c r="AP14" s="31"/>
      <c r="AQ14" s="31"/>
      <c r="AR14" s="2" t="s">
        <v>277</v>
      </c>
      <c r="AS14" s="31"/>
      <c r="AT14" s="2" t="s">
        <v>277</v>
      </c>
      <c r="AU14" s="31"/>
      <c r="AV14" s="2" t="s">
        <v>278</v>
      </c>
      <c r="AW14" s="31"/>
      <c r="AX14" s="2" t="s">
        <v>177</v>
      </c>
      <c r="AY14" s="31"/>
      <c r="AZ14" s="31"/>
      <c r="BA14" s="31"/>
      <c r="BB14" s="31"/>
      <c r="BC14" s="31"/>
      <c r="BD14" s="31"/>
      <c r="BE14" s="31"/>
      <c r="BF14" s="31"/>
      <c r="BG14" s="31"/>
      <c r="BH14" s="2" t="s">
        <v>276</v>
      </c>
      <c r="BI14" s="31"/>
      <c r="BJ14" s="31"/>
      <c r="BK14" s="31"/>
      <c r="BL14" s="31"/>
      <c r="BM14" s="31"/>
    </row>
    <row r="15" spans="2:65" ht="13" x14ac:dyDescent="0.3">
      <c r="D15" s="6"/>
      <c r="E15" s="6"/>
      <c r="F15" s="74"/>
      <c r="AL15" s="25"/>
      <c r="AM15" s="49"/>
      <c r="AO15" s="2" t="s">
        <v>199</v>
      </c>
      <c r="AR15" s="2" t="s">
        <v>282</v>
      </c>
      <c r="AS15" s="2"/>
      <c r="AT15" s="2" t="s">
        <v>282</v>
      </c>
      <c r="AU15" s="2"/>
      <c r="AV15" s="2" t="s">
        <v>282</v>
      </c>
      <c r="AW15" s="2"/>
      <c r="AX15" s="2" t="s">
        <v>279</v>
      </c>
      <c r="AY15" s="2"/>
      <c r="AZ15" s="2" t="s">
        <v>20</v>
      </c>
      <c r="BA15" s="2"/>
      <c r="BB15" s="2" t="s">
        <v>20</v>
      </c>
      <c r="BC15" s="2"/>
      <c r="BD15" s="2" t="s">
        <v>20</v>
      </c>
      <c r="BE15" s="2"/>
      <c r="BF15" s="2" t="s">
        <v>20</v>
      </c>
      <c r="BG15" s="2"/>
      <c r="BH15" s="2" t="s">
        <v>279</v>
      </c>
      <c r="BI15" s="2"/>
      <c r="BJ15" s="2" t="s">
        <v>20</v>
      </c>
    </row>
    <row r="16" spans="2:65" ht="13" x14ac:dyDescent="0.3">
      <c r="D16" s="6" t="s">
        <v>183</v>
      </c>
      <c r="E16" s="7"/>
      <c r="F16" s="75"/>
      <c r="AL16" s="27"/>
      <c r="AO16" s="33" t="s">
        <v>201</v>
      </c>
      <c r="AR16" s="33" t="s">
        <v>288</v>
      </c>
      <c r="AS16" s="2"/>
      <c r="AT16" s="33" t="s">
        <v>289</v>
      </c>
      <c r="AU16" s="2"/>
      <c r="AV16" s="33" t="s">
        <v>290</v>
      </c>
      <c r="AW16" s="2"/>
      <c r="AX16" s="33" t="s">
        <v>10</v>
      </c>
      <c r="AY16" s="2"/>
      <c r="AZ16" s="33" t="s">
        <v>41</v>
      </c>
      <c r="BA16" s="2"/>
      <c r="BB16" s="33" t="s">
        <v>49</v>
      </c>
      <c r="BC16" s="2"/>
      <c r="BD16" s="33" t="s">
        <v>283</v>
      </c>
      <c r="BE16" s="2"/>
      <c r="BF16" s="33" t="s">
        <v>284</v>
      </c>
      <c r="BG16" s="2"/>
      <c r="BH16" s="33" t="s">
        <v>10</v>
      </c>
      <c r="BI16" s="2"/>
      <c r="BJ16" s="33" t="s">
        <v>175</v>
      </c>
      <c r="BL16" s="33" t="s">
        <v>2</v>
      </c>
    </row>
    <row r="17" spans="2:64" ht="13" x14ac:dyDescent="0.3">
      <c r="AL17" s="25" t="str">
        <f t="shared" ref="AL17" si="0">IF(ROUND(L17,4)=ROUND(AJ17,4), "", "check")</f>
        <v/>
      </c>
      <c r="AM17" s="49"/>
    </row>
    <row r="18" spans="2:64" ht="13" x14ac:dyDescent="0.3">
      <c r="B18" s="18">
        <v>1</v>
      </c>
      <c r="D18" s="1" t="s">
        <v>33</v>
      </c>
      <c r="F18" s="48">
        <f ca="1">Function!V18</f>
        <v>111376.57056194174</v>
      </c>
      <c r="H18" s="48"/>
      <c r="J18" s="2"/>
      <c r="K18" s="70">
        <f>_xlfn.IFNA(MATCH(J18,'Dist Factors'!$B$15:$B$431,0),0)</f>
        <v>0</v>
      </c>
      <c r="L18" s="48">
        <f ca="1">F18-H18</f>
        <v>111376.57056194174</v>
      </c>
      <c r="N18" s="18" t="s">
        <v>291</v>
      </c>
      <c r="O18" s="70">
        <f>_xlfn.IFNA(MATCH(N18,'Dist Factors'!$B$15:$B$431,0),0)</f>
        <v>35</v>
      </c>
      <c r="P18" s="20">
        <f ca="1">OFFSET('Dist Factors'!$B$15,$O18-1,P$14)*$L18+OFFSET('Dist Factors'!$B$15,$K18-1,P$14)*$H18</f>
        <v>30835.09154291404</v>
      </c>
      <c r="R18" s="20">
        <f ca="1">OFFSET('Dist Factors'!$B$15,$O18-1,R$14)*$L18+OFFSET('Dist Factors'!$B$15,$K18-1,R$14)*$H18</f>
        <v>5897.6602283488201</v>
      </c>
      <c r="S18" s="20"/>
      <c r="T18" s="20">
        <f ca="1">OFFSET('Dist Factors'!$B$15,$O18-1,T$14)*$L18+OFFSET('Dist Factors'!$B$15,$K18-1,T$14)*$H18</f>
        <v>35896.903500727218</v>
      </c>
      <c r="U18" s="20"/>
      <c r="V18" s="20">
        <f ca="1">OFFSET('Dist Factors'!$B$15,$O18-1,V$14)*$L18+OFFSET('Dist Factors'!$B$15,$K18-1,V$14)*$H18</f>
        <v>0</v>
      </c>
      <c r="X18" s="20">
        <f ca="1">OFFSET('Dist Factors'!$B$15,$O18-1,X$14)*$L18+OFFSET('Dist Factors'!$B$15,$K18-1,X$14)*$H18</f>
        <v>38746.915289951648</v>
      </c>
      <c r="Y18" s="9"/>
      <c r="Z18" s="20">
        <f ca="1">OFFSET('Dist Factors'!$B$15,$O18-1,Z$14)*$L18+OFFSET('Dist Factors'!$B$15,$K18-1,Z$14)*$H18</f>
        <v>0</v>
      </c>
      <c r="AA18" s="20"/>
      <c r="AB18" s="20">
        <f ca="1">OFFSET('Dist Factors'!$B$15,$O18-1,AB$14)*$L18+OFFSET('Dist Factors'!$B$15,$K18-1,AB$14)*$H18</f>
        <v>0</v>
      </c>
      <c r="AC18" s="9"/>
      <c r="AD18" s="20">
        <f ca="1">OFFSET('Dist Factors'!$B$15,$O18-1,AD$14)*$L18+OFFSET('Dist Factors'!$B$15,$K18-1,AD$14)*$H18</f>
        <v>0</v>
      </c>
      <c r="AE18" s="9"/>
      <c r="AF18" s="20">
        <f ca="1">OFFSET('Dist Factors'!$B$15,$O18-1,AF$14)*$L18+OFFSET('Dist Factors'!$B$15,$K18-1,AF$14)*$H18</f>
        <v>0</v>
      </c>
      <c r="AG18" s="9"/>
      <c r="AH18" s="20">
        <f ca="1">OFFSET('Dist Factors'!$B$15,$O18-1,AH$14)*$L18+OFFSET('Dist Factors'!$B$15,$K18-1,AH$14)*$H18</f>
        <v>0</v>
      </c>
      <c r="AI18" s="9"/>
      <c r="AJ18" s="9">
        <f t="shared" ref="AJ18:AJ31" ca="1" si="1">SUM(P18:AI18)</f>
        <v>111376.57056194173</v>
      </c>
      <c r="AL18" s="25" t="str">
        <f ca="1">IF(ROUND(F18,4)=ROUND(AJ18,4), "", "check")</f>
        <v/>
      </c>
      <c r="AM18" s="49"/>
      <c r="AO18" s="89">
        <v>0</v>
      </c>
      <c r="AR18" s="48">
        <f ca="1">IFERROR($AO18*(P18/$AJ18),"")</f>
        <v>0</v>
      </c>
      <c r="AT18" s="48">
        <f t="shared" ref="AT18:AT30" ca="1" si="2">IFERROR($AO18*(R18/$AJ18),"")</f>
        <v>0</v>
      </c>
      <c r="AV18" s="48">
        <f t="shared" ref="AV18:AV30" ca="1" si="3">IFERROR($AO18*(T18/$AJ18),"")</f>
        <v>0</v>
      </c>
      <c r="AX18" s="48">
        <f t="shared" ref="AX18:AX30" ca="1" si="4">IFERROR($AO18*(V18/$AJ18),"")</f>
        <v>0</v>
      </c>
      <c r="AZ18" s="48">
        <f t="shared" ref="AZ18:AZ30" ca="1" si="5">IFERROR($AO18*(X18/$AJ18),"")</f>
        <v>0</v>
      </c>
      <c r="BB18" s="48">
        <f t="shared" ref="BB18:BB30" ca="1" si="6">IFERROR($AO18*(Z18/$AJ18),"")</f>
        <v>0</v>
      </c>
      <c r="BD18" s="48">
        <f t="shared" ref="BD18:BD30" ca="1" si="7">IFERROR($AO18*(AB18/$AJ18),"")</f>
        <v>0</v>
      </c>
      <c r="BF18" s="48">
        <f t="shared" ref="BF18:BF30" ca="1" si="8">IFERROR($AO18*(AD18/$AJ18),"")</f>
        <v>0</v>
      </c>
      <c r="BH18" s="48">
        <f t="shared" ref="BH18:BH30" ca="1" si="9">IFERROR($AO18*(AF18/$AJ18),"")</f>
        <v>0</v>
      </c>
      <c r="BJ18" s="48">
        <f t="shared" ref="BJ18:BJ30" ca="1" si="10">IFERROR($AO18*(AH18/$AJ18),"")</f>
        <v>0</v>
      </c>
      <c r="BL18" s="48">
        <f ca="1">SUM(AR18:BJ18)</f>
        <v>0</v>
      </c>
    </row>
    <row r="19" spans="2:64" ht="13" x14ac:dyDescent="0.3">
      <c r="B19" s="18">
        <f>B18+1</f>
        <v>2</v>
      </c>
      <c r="D19" s="1" t="s">
        <v>35</v>
      </c>
      <c r="F19" s="48">
        <f ca="1">Function!V19</f>
        <v>90928.056814230149</v>
      </c>
      <c r="H19" s="48"/>
      <c r="J19" s="2"/>
      <c r="K19" s="70">
        <f>_xlfn.IFNA(MATCH(J19,'Dist Factors'!$B$15:$B$431,0),0)</f>
        <v>0</v>
      </c>
      <c r="L19" s="48">
        <f ca="1">F19-H19</f>
        <v>90928.056814230149</v>
      </c>
      <c r="N19" s="18" t="s">
        <v>291</v>
      </c>
      <c r="O19" s="70">
        <f>_xlfn.IFNA(MATCH(N19,'Dist Factors'!$B$15:$B$431,0),0)</f>
        <v>35</v>
      </c>
      <c r="P19" s="20">
        <f ca="1">OFFSET('Dist Factors'!$B$15,$O19-1,P$14)*$L19+OFFSET('Dist Factors'!$B$15,$K19-1,P$14)*$H19</f>
        <v>25173.830919194668</v>
      </c>
      <c r="R19" s="20">
        <f ca="1">OFFSET('Dist Factors'!$B$15,$O19-1,R$14)*$L19+OFFSET('Dist Factors'!$B$15,$K19-1,R$14)*$H19</f>
        <v>4814.8617039351748</v>
      </c>
      <c r="S19" s="20"/>
      <c r="T19" s="20">
        <f ca="1">OFFSET('Dist Factors'!$B$15,$O19-1,T$14)*$L19+OFFSET('Dist Factors'!$B$15,$K19-1,T$14)*$H19</f>
        <v>29306.304409451881</v>
      </c>
      <c r="U19" s="20"/>
      <c r="V19" s="20">
        <f ca="1">OFFSET('Dist Factors'!$B$15,$O19-1,V$14)*$L19+OFFSET('Dist Factors'!$B$15,$K19-1,V$14)*$H19</f>
        <v>0</v>
      </c>
      <c r="X19" s="20">
        <f ca="1">OFFSET('Dist Factors'!$B$15,$O19-1,X$14)*$L19+OFFSET('Dist Factors'!$B$15,$K19-1,X$14)*$H19</f>
        <v>31633.059781648419</v>
      </c>
      <c r="Y19" s="9"/>
      <c r="Z19" s="20">
        <f ca="1">OFFSET('Dist Factors'!$B$15,$O19-1,Z$14)*$L19+OFFSET('Dist Factors'!$B$15,$K19-1,Z$14)*$H19</f>
        <v>0</v>
      </c>
      <c r="AA19" s="20"/>
      <c r="AB19" s="20">
        <f ca="1">OFFSET('Dist Factors'!$B$15,$O19-1,AB$14)*$L19+OFFSET('Dist Factors'!$B$15,$K19-1,AB$14)*$H19</f>
        <v>0</v>
      </c>
      <c r="AC19" s="9"/>
      <c r="AD19" s="20">
        <f ca="1">OFFSET('Dist Factors'!$B$15,$O19-1,AD$14)*$L19+OFFSET('Dist Factors'!$B$15,$K19-1,AD$14)*$H19</f>
        <v>0</v>
      </c>
      <c r="AE19" s="9"/>
      <c r="AF19" s="20">
        <f ca="1">OFFSET('Dist Factors'!$B$15,$O19-1,AF$14)*$L19+OFFSET('Dist Factors'!$B$15,$K19-1,AF$14)*$H19</f>
        <v>0</v>
      </c>
      <c r="AG19" s="9"/>
      <c r="AH19" s="20">
        <f ca="1">OFFSET('Dist Factors'!$B$15,$O19-1,AH$14)*$L19+OFFSET('Dist Factors'!$B$15,$K19-1,AH$14)*$H19</f>
        <v>0</v>
      </c>
      <c r="AI19" s="9"/>
      <c r="AJ19" s="9">
        <f t="shared" ca="1" si="1"/>
        <v>90928.056814230149</v>
      </c>
      <c r="AL19" s="25" t="str">
        <f t="shared" ref="AL19:AL37" ca="1" si="11">IF(ROUND(F19,4)=ROUND(AJ19,4), "", "check")</f>
        <v/>
      </c>
      <c r="AM19" s="49"/>
      <c r="AO19" s="89">
        <v>1508.2351291978975</v>
      </c>
      <c r="AR19" s="48">
        <f t="shared" ref="AR19:AR30" ca="1" si="12">IFERROR($AO19*(P19/$AJ19),"")</f>
        <v>417.56150366644187</v>
      </c>
      <c r="AT19" s="48">
        <f t="shared" ca="1" si="2"/>
        <v>79.86471743194879</v>
      </c>
      <c r="AV19" s="48">
        <f t="shared" ca="1" si="3"/>
        <v>486.10736186308986</v>
      </c>
      <c r="AX19" s="48">
        <f t="shared" ca="1" si="4"/>
        <v>0</v>
      </c>
      <c r="AZ19" s="48">
        <f t="shared" ca="1" si="5"/>
        <v>524.70154623641679</v>
      </c>
      <c r="BB19" s="48">
        <f t="shared" ca="1" si="6"/>
        <v>0</v>
      </c>
      <c r="BD19" s="48">
        <f t="shared" ca="1" si="7"/>
        <v>0</v>
      </c>
      <c r="BF19" s="48">
        <f t="shared" ca="1" si="8"/>
        <v>0</v>
      </c>
      <c r="BH19" s="48">
        <f t="shared" ca="1" si="9"/>
        <v>0</v>
      </c>
      <c r="BJ19" s="48">
        <f t="shared" ca="1" si="10"/>
        <v>0</v>
      </c>
      <c r="BL19" s="48">
        <f t="shared" ref="BL19:BL30" ca="1" si="13">SUM(AR19:BJ19)</f>
        <v>1508.2351291978973</v>
      </c>
    </row>
    <row r="20" spans="2:64" ht="13" x14ac:dyDescent="0.3">
      <c r="B20" s="18">
        <f t="shared" ref="B20:B31" si="14">B19+1</f>
        <v>3</v>
      </c>
      <c r="D20" s="1" t="s">
        <v>37</v>
      </c>
      <c r="F20" s="48">
        <f ca="1">Function!V20</f>
        <v>334784.5579165357</v>
      </c>
      <c r="H20" s="48"/>
      <c r="J20" s="2"/>
      <c r="K20" s="70">
        <f>_xlfn.IFNA(MATCH(J20,'Dist Factors'!$B$15:$B$431,0),0)</f>
        <v>0</v>
      </c>
      <c r="L20" s="48">
        <f t="shared" ref="L20:L30" ca="1" si="15">F20-H20</f>
        <v>334784.5579165357</v>
      </c>
      <c r="N20" s="18" t="s">
        <v>291</v>
      </c>
      <c r="O20" s="70">
        <f>_xlfn.IFNA(MATCH(N20,'Dist Factors'!$B$15:$B$431,0),0)</f>
        <v>35</v>
      </c>
      <c r="P20" s="20">
        <f ca="1">OFFSET('Dist Factors'!$B$15,$O20-1,P$14)*$L20+OFFSET('Dist Factors'!$B$15,$K20-1,P$14)*$H20</f>
        <v>92686.571676843101</v>
      </c>
      <c r="R20" s="20">
        <f ca="1">OFFSET('Dist Factors'!$B$15,$O20-1,R$14)*$L20+OFFSET('Dist Factors'!$B$15,$K20-1,R$14)*$H20</f>
        <v>17727.656385250368</v>
      </c>
      <c r="S20" s="20"/>
      <c r="T20" s="20">
        <f ca="1">OFFSET('Dist Factors'!$B$15,$O20-1,T$14)*$L20+OFFSET('Dist Factors'!$B$15,$K20-1,T$14)*$H20</f>
        <v>107901.76882291309</v>
      </c>
      <c r="U20" s="20"/>
      <c r="V20" s="20">
        <f ca="1">OFFSET('Dist Factors'!$B$15,$O20-1,V$14)*$L20+OFFSET('Dist Factors'!$B$15,$K20-1,V$14)*$H20</f>
        <v>0</v>
      </c>
      <c r="W20" s="9"/>
      <c r="X20" s="20">
        <f ca="1">OFFSET('Dist Factors'!$B$15,$O20-1,X$14)*$L20+OFFSET('Dist Factors'!$B$15,$K20-1,X$14)*$H20</f>
        <v>116468.56103152911</v>
      </c>
      <c r="Y20" s="9"/>
      <c r="Z20" s="20">
        <f ca="1">OFFSET('Dist Factors'!$B$15,$O20-1,Z$14)*$L20+OFFSET('Dist Factors'!$B$15,$K20-1,Z$14)*$H20</f>
        <v>0</v>
      </c>
      <c r="AA20" s="20"/>
      <c r="AB20" s="20">
        <f ca="1">OFFSET('Dist Factors'!$B$15,$O20-1,AB$14)*$L20+OFFSET('Dist Factors'!$B$15,$K20-1,AB$14)*$H20</f>
        <v>0</v>
      </c>
      <c r="AC20" s="9"/>
      <c r="AD20" s="20">
        <f ca="1">OFFSET('Dist Factors'!$B$15,$O20-1,AD$14)*$L20+OFFSET('Dist Factors'!$B$15,$K20-1,AD$14)*$H20</f>
        <v>0</v>
      </c>
      <c r="AE20" s="9"/>
      <c r="AF20" s="20">
        <f ca="1">OFFSET('Dist Factors'!$B$15,$O20-1,AF$14)*$L20+OFFSET('Dist Factors'!$B$15,$K20-1,AF$14)*$H20</f>
        <v>0</v>
      </c>
      <c r="AG20" s="9"/>
      <c r="AH20" s="20">
        <f ca="1">OFFSET('Dist Factors'!$B$15,$O20-1,AH$14)*$L20+OFFSET('Dist Factors'!$B$15,$K20-1,AH$14)*$H20</f>
        <v>0</v>
      </c>
      <c r="AI20" s="9"/>
      <c r="AJ20" s="9">
        <f t="shared" ca="1" si="1"/>
        <v>334784.55791653565</v>
      </c>
      <c r="AL20" s="25" t="str">
        <f t="shared" ca="1" si="11"/>
        <v/>
      </c>
      <c r="AM20" s="49"/>
      <c r="AO20" s="89">
        <v>13904.149206435119</v>
      </c>
      <c r="AR20" s="48">
        <f t="shared" ca="1" si="12"/>
        <v>3849.4246271330694</v>
      </c>
      <c r="AT20" s="48">
        <f t="shared" ca="1" si="2"/>
        <v>736.25850903907201</v>
      </c>
      <c r="AV20" s="48">
        <f t="shared" ca="1" si="3"/>
        <v>4481.336602526585</v>
      </c>
      <c r="AX20" s="48">
        <f t="shared" ca="1" si="4"/>
        <v>0</v>
      </c>
      <c r="AZ20" s="48">
        <f t="shared" ca="1" si="5"/>
        <v>4837.1294677363931</v>
      </c>
      <c r="BB20" s="48">
        <f t="shared" ca="1" si="6"/>
        <v>0</v>
      </c>
      <c r="BD20" s="48">
        <f t="shared" ca="1" si="7"/>
        <v>0</v>
      </c>
      <c r="BF20" s="48">
        <f t="shared" ca="1" si="8"/>
        <v>0</v>
      </c>
      <c r="BH20" s="48">
        <f t="shared" ca="1" si="9"/>
        <v>0</v>
      </c>
      <c r="BJ20" s="48">
        <f t="shared" ca="1" si="10"/>
        <v>0</v>
      </c>
      <c r="BL20" s="48">
        <f t="shared" ca="1" si="13"/>
        <v>13904.149206435121</v>
      </c>
    </row>
    <row r="21" spans="2:64" ht="13" x14ac:dyDescent="0.3">
      <c r="B21" s="18">
        <f t="shared" si="14"/>
        <v>4</v>
      </c>
      <c r="D21" s="1" t="s">
        <v>39</v>
      </c>
      <c r="F21" s="48">
        <f ca="1">Function!V21</f>
        <v>1039222.5483038996</v>
      </c>
      <c r="H21" s="48"/>
      <c r="J21" s="2"/>
      <c r="K21" s="70">
        <f>_xlfn.IFNA(MATCH(J21,'Dist Factors'!$B$15:$B$431,0),0)</f>
        <v>0</v>
      </c>
      <c r="L21" s="48">
        <f t="shared" ca="1" si="15"/>
        <v>1039222.5483038996</v>
      </c>
      <c r="N21" s="18" t="s">
        <v>292</v>
      </c>
      <c r="O21" s="70">
        <f>_xlfn.IFNA(MATCH(N21,'Dist Factors'!$B$15:$B$431,0),0)</f>
        <v>53</v>
      </c>
      <c r="P21" s="20">
        <f ca="1">OFFSET('Dist Factors'!$B$15,$O21-1,P$14)*$L21+OFFSET('Dist Factors'!$B$15,$K21-1,P$14)*$H21</f>
        <v>441204.38532177993</v>
      </c>
      <c r="R21" s="20">
        <f ca="1">OFFSET('Dist Factors'!$B$15,$O21-1,R$14)*$L21+OFFSET('Dist Factors'!$B$15,$K21-1,R$14)*$H21</f>
        <v>84386.762797962598</v>
      </c>
      <c r="S21" s="20"/>
      <c r="T21" s="20">
        <f ca="1">OFFSET('Dist Factors'!$B$15,$O21-1,T$14)*$L21+OFFSET('Dist Factors'!$B$15,$K21-1,T$14)*$H21</f>
        <v>513631.40018415713</v>
      </c>
      <c r="U21" s="20"/>
      <c r="V21" s="20">
        <f ca="1">OFFSET('Dist Factors'!$B$15,$O21-1,V$14)*$L21+OFFSET('Dist Factors'!$B$15,$K21-1,V$14)*$H21</f>
        <v>0</v>
      </c>
      <c r="W21" s="9"/>
      <c r="X21" s="20">
        <f ca="1">OFFSET('Dist Factors'!$B$15,$O21-1,X$14)*$L21+OFFSET('Dist Factors'!$B$15,$K21-1,X$14)*$H21</f>
        <v>0</v>
      </c>
      <c r="Y21" s="9"/>
      <c r="Z21" s="20">
        <f ca="1">OFFSET('Dist Factors'!$B$15,$O21-1,Z$14)*$L21+OFFSET('Dist Factors'!$B$15,$K21-1,Z$14)*$H21</f>
        <v>0</v>
      </c>
      <c r="AA21" s="20"/>
      <c r="AB21" s="20">
        <f ca="1">OFFSET('Dist Factors'!$B$15,$O21-1,AB$14)*$L21+OFFSET('Dist Factors'!$B$15,$K21-1,AB$14)*$H21</f>
        <v>0</v>
      </c>
      <c r="AC21" s="9"/>
      <c r="AD21" s="20">
        <f ca="1">OFFSET('Dist Factors'!$B$15,$O21-1,AD$14)*$L21+OFFSET('Dist Factors'!$B$15,$K21-1,AD$14)*$H21</f>
        <v>0</v>
      </c>
      <c r="AE21" s="9"/>
      <c r="AF21" s="20">
        <f ca="1">OFFSET('Dist Factors'!$B$15,$O21-1,AF$14)*$L21+OFFSET('Dist Factors'!$B$15,$K21-1,AF$14)*$H21</f>
        <v>0</v>
      </c>
      <c r="AG21" s="9"/>
      <c r="AH21" s="20">
        <f ca="1">OFFSET('Dist Factors'!$B$15,$O21-1,AH$14)*$L21+OFFSET('Dist Factors'!$B$15,$K21-1,AH$14)*$H21</f>
        <v>0</v>
      </c>
      <c r="AI21" s="9"/>
      <c r="AJ21" s="9">
        <f t="shared" ca="1" si="1"/>
        <v>1039222.5483038996</v>
      </c>
      <c r="AL21" s="25" t="str">
        <f t="shared" ca="1" si="11"/>
        <v/>
      </c>
      <c r="AM21" s="49"/>
      <c r="AO21" s="89">
        <v>26336.800908339177</v>
      </c>
      <c r="AR21" s="48">
        <f t="shared" ca="1" si="12"/>
        <v>11181.350977296033</v>
      </c>
      <c r="AT21" s="48">
        <f t="shared" ca="1" si="2"/>
        <v>2138.5961791691857</v>
      </c>
      <c r="AV21" s="48">
        <f t="shared" ca="1" si="3"/>
        <v>13016.853751873961</v>
      </c>
      <c r="AX21" s="48">
        <f t="shared" ca="1" si="4"/>
        <v>0</v>
      </c>
      <c r="AZ21" s="48">
        <f t="shared" ca="1" si="5"/>
        <v>0</v>
      </c>
      <c r="BB21" s="48">
        <f t="shared" ca="1" si="6"/>
        <v>0</v>
      </c>
      <c r="BD21" s="48">
        <f t="shared" ca="1" si="7"/>
        <v>0</v>
      </c>
      <c r="BF21" s="48">
        <f t="shared" ca="1" si="8"/>
        <v>0</v>
      </c>
      <c r="BH21" s="48">
        <f t="shared" ca="1" si="9"/>
        <v>0</v>
      </c>
      <c r="BJ21" s="48">
        <f t="shared" ca="1" si="10"/>
        <v>0</v>
      </c>
      <c r="BL21" s="48">
        <f t="shared" ca="1" si="13"/>
        <v>26336.800908339181</v>
      </c>
    </row>
    <row r="22" spans="2:64" ht="13" x14ac:dyDescent="0.3">
      <c r="B22" s="18">
        <f t="shared" si="14"/>
        <v>5</v>
      </c>
      <c r="D22" s="1" t="s">
        <v>41</v>
      </c>
      <c r="F22" s="48">
        <f ca="1">Function!V22</f>
        <v>8788880.7876994964</v>
      </c>
      <c r="H22" s="48"/>
      <c r="J22" s="2"/>
      <c r="K22" s="70">
        <f>_xlfn.IFNA(MATCH(J22,'Dist Factors'!$B$15:$B$431,0),0)</f>
        <v>0</v>
      </c>
      <c r="L22" s="48">
        <f t="shared" ca="1" si="15"/>
        <v>8788880.7876994964</v>
      </c>
      <c r="N22" s="18" t="s">
        <v>293</v>
      </c>
      <c r="O22" s="70">
        <f>_xlfn.IFNA(MATCH(N22,'Dist Factors'!$B$15:$B$431,0),0)</f>
        <v>62</v>
      </c>
      <c r="P22" s="20">
        <f ca="1">OFFSET('Dist Factors'!$B$15,$O22-1,P$14)*$L22+OFFSET('Dist Factors'!$B$15,$K22-1,P$14)*$H22</f>
        <v>2279749.08388513</v>
      </c>
      <c r="R22" s="20">
        <f ca="1">OFFSET('Dist Factors'!$B$15,$O22-1,R$14)*$L22+OFFSET('Dist Factors'!$B$15,$K22-1,R$14)*$H22</f>
        <v>436035.20631459646</v>
      </c>
      <c r="S22" s="20"/>
      <c r="T22" s="20">
        <f ca="1">OFFSET('Dist Factors'!$B$15,$O22-1,T$14)*$L22+OFFSET('Dist Factors'!$B$15,$K22-1,T$14)*$H22</f>
        <v>2653987.025016692</v>
      </c>
      <c r="U22" s="20"/>
      <c r="V22" s="20">
        <f ca="1">OFFSET('Dist Factors'!$B$15,$O22-1,V$14)*$L22+OFFSET('Dist Factors'!$B$15,$K22-1,V$14)*$H22</f>
        <v>0</v>
      </c>
      <c r="W22" s="9"/>
      <c r="X22" s="20">
        <f ca="1">OFFSET('Dist Factors'!$B$15,$O22-1,X$14)*$L22+OFFSET('Dist Factors'!$B$15,$K22-1,X$14)*$H22</f>
        <v>3419109.4724830771</v>
      </c>
      <c r="Y22" s="9"/>
      <c r="Z22" s="20">
        <f ca="1">OFFSET('Dist Factors'!$B$15,$O22-1,Z$14)*$L22+OFFSET('Dist Factors'!$B$15,$K22-1,Z$14)*$H22</f>
        <v>0</v>
      </c>
      <c r="AA22" s="20"/>
      <c r="AB22" s="20">
        <f ca="1">OFFSET('Dist Factors'!$B$15,$O22-1,AB$14)*$L22+OFFSET('Dist Factors'!$B$15,$K22-1,AB$14)*$H22</f>
        <v>0</v>
      </c>
      <c r="AC22" s="9"/>
      <c r="AD22" s="20">
        <f ca="1">OFFSET('Dist Factors'!$B$15,$O22-1,AD$14)*$L22+OFFSET('Dist Factors'!$B$15,$K22-1,AD$14)*$H22</f>
        <v>0</v>
      </c>
      <c r="AE22" s="9"/>
      <c r="AF22" s="20">
        <f ca="1">OFFSET('Dist Factors'!$B$15,$O22-1,AF$14)*$L22+OFFSET('Dist Factors'!$B$15,$K22-1,AF$14)*$H22</f>
        <v>0</v>
      </c>
      <c r="AG22" s="9"/>
      <c r="AH22" s="20">
        <f ca="1">OFFSET('Dist Factors'!$B$15,$O22-1,AH$14)*$L22+OFFSET('Dist Factors'!$B$15,$K22-1,AH$14)*$H22</f>
        <v>0</v>
      </c>
      <c r="AI22" s="9"/>
      <c r="AJ22" s="9">
        <f t="shared" ca="1" si="1"/>
        <v>8788880.7876994945</v>
      </c>
      <c r="AL22" s="25" t="str">
        <f t="shared" ca="1" si="11"/>
        <v/>
      </c>
      <c r="AM22" s="49"/>
      <c r="AO22" s="89">
        <v>191589.69324271625</v>
      </c>
      <c r="AR22" s="48">
        <f t="shared" ca="1" si="12"/>
        <v>49696.478789791676</v>
      </c>
      <c r="AT22" s="48">
        <f t="shared" ca="1" si="2"/>
        <v>9505.1751683509574</v>
      </c>
      <c r="AV22" s="48">
        <f t="shared" ca="1" si="3"/>
        <v>57854.529180181518</v>
      </c>
      <c r="AX22" s="48">
        <f t="shared" ca="1" si="4"/>
        <v>0</v>
      </c>
      <c r="AZ22" s="48">
        <f t="shared" ca="1" si="5"/>
        <v>74533.510104392131</v>
      </c>
      <c r="BB22" s="48">
        <f t="shared" ca="1" si="6"/>
        <v>0</v>
      </c>
      <c r="BD22" s="48">
        <f t="shared" ca="1" si="7"/>
        <v>0</v>
      </c>
      <c r="BF22" s="48">
        <f t="shared" ca="1" si="8"/>
        <v>0</v>
      </c>
      <c r="BH22" s="48">
        <f t="shared" ca="1" si="9"/>
        <v>0</v>
      </c>
      <c r="BJ22" s="48">
        <f t="shared" ca="1" si="10"/>
        <v>0</v>
      </c>
      <c r="BL22" s="48">
        <f t="shared" ca="1" si="13"/>
        <v>191589.69324271628</v>
      </c>
    </row>
    <row r="23" spans="2:64" ht="13" x14ac:dyDescent="0.3">
      <c r="B23" s="18">
        <f t="shared" si="14"/>
        <v>6</v>
      </c>
      <c r="D23" s="1" t="s">
        <v>43</v>
      </c>
      <c r="F23" s="48">
        <f ca="1">Function!V23</f>
        <v>37552.240402498595</v>
      </c>
      <c r="H23" s="48"/>
      <c r="K23" s="70">
        <f>_xlfn.IFNA(MATCH(J23,'Dist Factors'!$B$15:$B$431,0),0)</f>
        <v>0</v>
      </c>
      <c r="L23" s="48">
        <f t="shared" ca="1" si="15"/>
        <v>37552.240402498595</v>
      </c>
      <c r="N23" s="18" t="s">
        <v>294</v>
      </c>
      <c r="O23" s="70">
        <f>_xlfn.IFNA(MATCH(N23,'Dist Factors'!$B$15:$B$431,0),0)</f>
        <v>14</v>
      </c>
      <c r="P23" s="20">
        <f ca="1">OFFSET('Dist Factors'!$B$15,$O23-1,P$14)*$L23+OFFSET('Dist Factors'!$B$15,$K23-1,P$14)*$H23</f>
        <v>0</v>
      </c>
      <c r="R23" s="20">
        <f ca="1">OFFSET('Dist Factors'!$B$15,$O23-1,R$14)*$L23+OFFSET('Dist Factors'!$B$15,$K23-1,R$14)*$H23</f>
        <v>0</v>
      </c>
      <c r="S23" s="20"/>
      <c r="T23" s="20">
        <f ca="1">OFFSET('Dist Factors'!$B$15,$O23-1,T$14)*$L23+OFFSET('Dist Factors'!$B$15,$K23-1,T$14)*$H23</f>
        <v>0</v>
      </c>
      <c r="U23" s="20"/>
      <c r="V23" s="20">
        <f ca="1">OFFSET('Dist Factors'!$B$15,$O23-1,V$14)*$L23+OFFSET('Dist Factors'!$B$15,$K23-1,V$14)*$H23</f>
        <v>0</v>
      </c>
      <c r="W23" s="9"/>
      <c r="X23" s="20">
        <f ca="1">OFFSET('Dist Factors'!$B$15,$O23-1,X$14)*$L23+OFFSET('Dist Factors'!$B$15,$K23-1,X$14)*$H23</f>
        <v>0</v>
      </c>
      <c r="Y23" s="9"/>
      <c r="Z23" s="20">
        <f ca="1">OFFSET('Dist Factors'!$B$15,$O23-1,Z$14)*$L23+OFFSET('Dist Factors'!$B$15,$K23-1,Z$14)*$H23</f>
        <v>0</v>
      </c>
      <c r="AA23" s="20"/>
      <c r="AB23" s="20">
        <f ca="1">OFFSET('Dist Factors'!$B$15,$O23-1,AB$14)*$L23+OFFSET('Dist Factors'!$B$15,$K23-1,AB$14)*$H23</f>
        <v>0</v>
      </c>
      <c r="AC23" s="9"/>
      <c r="AD23" s="20">
        <f ca="1">OFFSET('Dist Factors'!$B$15,$O23-1,AD$14)*$L23+OFFSET('Dist Factors'!$B$15,$K23-1,AD$14)*$H23</f>
        <v>37552.240402498595</v>
      </c>
      <c r="AE23" s="9"/>
      <c r="AF23" s="20">
        <f ca="1">OFFSET('Dist Factors'!$B$15,$O23-1,AF$14)*$L23+OFFSET('Dist Factors'!$B$15,$K23-1,AF$14)*$H23</f>
        <v>0</v>
      </c>
      <c r="AG23" s="9"/>
      <c r="AH23" s="20">
        <f ca="1">OFFSET('Dist Factors'!$B$15,$O23-1,AH$14)*$L23+OFFSET('Dist Factors'!$B$15,$K23-1,AH$14)*$H23</f>
        <v>0</v>
      </c>
      <c r="AI23" s="9"/>
      <c r="AJ23" s="9">
        <f t="shared" ca="1" si="1"/>
        <v>37552.240402498595</v>
      </c>
      <c r="AL23" s="25" t="str">
        <f t="shared" ca="1" si="11"/>
        <v/>
      </c>
      <c r="AM23" s="49"/>
      <c r="AO23" s="89">
        <v>1241.6290117452595</v>
      </c>
      <c r="AR23" s="48">
        <f t="shared" ca="1" si="12"/>
        <v>0</v>
      </c>
      <c r="AT23" s="48">
        <f t="shared" ca="1" si="2"/>
        <v>0</v>
      </c>
      <c r="AV23" s="48">
        <f t="shared" ca="1" si="3"/>
        <v>0</v>
      </c>
      <c r="AX23" s="48">
        <f t="shared" ca="1" si="4"/>
        <v>0</v>
      </c>
      <c r="AZ23" s="48">
        <f t="shared" ca="1" si="5"/>
        <v>0</v>
      </c>
      <c r="BB23" s="48">
        <f t="shared" ca="1" si="6"/>
        <v>0</v>
      </c>
      <c r="BD23" s="48">
        <f t="shared" ca="1" si="7"/>
        <v>0</v>
      </c>
      <c r="BF23" s="48">
        <f t="shared" ca="1" si="8"/>
        <v>1241.6290117452595</v>
      </c>
      <c r="BH23" s="48">
        <f t="shared" ca="1" si="9"/>
        <v>0</v>
      </c>
      <c r="BJ23" s="48">
        <f t="shared" ca="1" si="10"/>
        <v>0</v>
      </c>
      <c r="BL23" s="48">
        <f t="shared" ca="1" si="13"/>
        <v>1241.6290117452595</v>
      </c>
    </row>
    <row r="24" spans="2:64" ht="13" x14ac:dyDescent="0.3">
      <c r="B24" s="18">
        <f t="shared" si="14"/>
        <v>7</v>
      </c>
      <c r="D24" s="1" t="s">
        <v>45</v>
      </c>
      <c r="F24" s="48">
        <f ca="1">Function!V24</f>
        <v>0</v>
      </c>
      <c r="H24" s="48"/>
      <c r="K24" s="70">
        <f>_xlfn.IFNA(MATCH(J24,'Dist Factors'!$B$15:$B$431,0),0)</f>
        <v>0</v>
      </c>
      <c r="L24" s="48">
        <f t="shared" ca="1" si="15"/>
        <v>0</v>
      </c>
      <c r="O24" s="70">
        <f>_xlfn.IFNA(MATCH(N24,'Dist Factors'!$B$15:$B$431,0),0)</f>
        <v>0</v>
      </c>
      <c r="P24" s="20">
        <f ca="1">OFFSET('Dist Factors'!$B$15,$O24-1,P$14)*$L24+OFFSET('Dist Factors'!$B$15,$K24-1,P$14)*$H24</f>
        <v>0</v>
      </c>
      <c r="R24" s="20">
        <f ca="1">OFFSET('Dist Factors'!$B$15,$O24-1,R$14)*$L24+OFFSET('Dist Factors'!$B$15,$K24-1,R$14)*$H24</f>
        <v>0</v>
      </c>
      <c r="S24" s="20"/>
      <c r="T24" s="20">
        <f ca="1">OFFSET('Dist Factors'!$B$15,$O24-1,T$14)*$L24+OFFSET('Dist Factors'!$B$15,$K24-1,T$14)*$H24</f>
        <v>0</v>
      </c>
      <c r="U24" s="20"/>
      <c r="V24" s="20">
        <f ca="1">OFFSET('Dist Factors'!$B$15,$O24-1,V$14)*$L24+OFFSET('Dist Factors'!$B$15,$K24-1,V$14)*$H24</f>
        <v>0</v>
      </c>
      <c r="W24" s="9"/>
      <c r="X24" s="20">
        <f ca="1">OFFSET('Dist Factors'!$B$15,$O24-1,X$14)*$L24+OFFSET('Dist Factors'!$B$15,$K24-1,X$14)*$H24</f>
        <v>0</v>
      </c>
      <c r="Y24" s="9"/>
      <c r="Z24" s="20">
        <f ca="1">OFFSET('Dist Factors'!$B$15,$O24-1,Z$14)*$L24+OFFSET('Dist Factors'!$B$15,$K24-1,Z$14)*$H24</f>
        <v>0</v>
      </c>
      <c r="AA24" s="20"/>
      <c r="AB24" s="20">
        <f ca="1">OFFSET('Dist Factors'!$B$15,$O24-1,AB$14)*$L24+OFFSET('Dist Factors'!$B$15,$K24-1,AB$14)*$H24</f>
        <v>0</v>
      </c>
      <c r="AC24" s="9"/>
      <c r="AD24" s="20">
        <f ca="1">OFFSET('Dist Factors'!$B$15,$O24-1,AD$14)*$L24+OFFSET('Dist Factors'!$B$15,$K24-1,AD$14)*$H24</f>
        <v>0</v>
      </c>
      <c r="AE24" s="9"/>
      <c r="AF24" s="20">
        <f ca="1">OFFSET('Dist Factors'!$B$15,$O24-1,AF$14)*$L24+OFFSET('Dist Factors'!$B$15,$K24-1,AF$14)*$H24</f>
        <v>0</v>
      </c>
      <c r="AG24" s="9"/>
      <c r="AH24" s="20">
        <f ca="1">OFFSET('Dist Factors'!$B$15,$O24-1,AH$14)*$L24+OFFSET('Dist Factors'!$B$15,$K24-1,AH$14)*$H24</f>
        <v>0</v>
      </c>
      <c r="AI24" s="9"/>
      <c r="AJ24" s="9">
        <f t="shared" ca="1" si="1"/>
        <v>0</v>
      </c>
      <c r="AL24" s="25" t="str">
        <f t="shared" ca="1" si="11"/>
        <v/>
      </c>
      <c r="AM24" s="49"/>
      <c r="AO24" s="89">
        <v>0</v>
      </c>
      <c r="AR24" s="48" t="str">
        <f t="shared" ca="1" si="12"/>
        <v/>
      </c>
      <c r="AT24" s="48" t="str">
        <f t="shared" ca="1" si="2"/>
        <v/>
      </c>
      <c r="AV24" s="48" t="str">
        <f t="shared" ca="1" si="3"/>
        <v/>
      </c>
      <c r="AX24" s="48" t="str">
        <f t="shared" ca="1" si="4"/>
        <v/>
      </c>
      <c r="AZ24" s="48" t="str">
        <f t="shared" ca="1" si="5"/>
        <v/>
      </c>
      <c r="BB24" s="48" t="str">
        <f t="shared" ca="1" si="6"/>
        <v/>
      </c>
      <c r="BD24" s="48" t="str">
        <f t="shared" ca="1" si="7"/>
        <v/>
      </c>
      <c r="BF24" s="48" t="str">
        <f t="shared" ca="1" si="8"/>
        <v/>
      </c>
      <c r="BH24" s="48" t="str">
        <f t="shared" ca="1" si="9"/>
        <v/>
      </c>
      <c r="BJ24" s="48" t="str">
        <f t="shared" ca="1" si="10"/>
        <v/>
      </c>
      <c r="BL24" s="48">
        <f t="shared" ca="1" si="13"/>
        <v>0</v>
      </c>
    </row>
    <row r="25" spans="2:64" ht="13" x14ac:dyDescent="0.3">
      <c r="B25" s="18">
        <f t="shared" si="14"/>
        <v>8</v>
      </c>
      <c r="D25" s="1" t="s">
        <v>47</v>
      </c>
      <c r="F25" s="48">
        <f ca="1">Function!V25</f>
        <v>0</v>
      </c>
      <c r="H25" s="48"/>
      <c r="K25" s="70">
        <f>_xlfn.IFNA(MATCH(J25,'Dist Factors'!$B$15:$B$431,0),0)</f>
        <v>0</v>
      </c>
      <c r="L25" s="48">
        <f t="shared" ca="1" si="15"/>
        <v>0</v>
      </c>
      <c r="O25" s="70">
        <f>_xlfn.IFNA(MATCH(N25,'Dist Factors'!$B$15:$B$431,0),0)</f>
        <v>0</v>
      </c>
      <c r="P25" s="20">
        <f ca="1">OFFSET('Dist Factors'!$B$15,$O25-1,P$14)*$L25+OFFSET('Dist Factors'!$B$15,$K25-1,P$14)*$H25</f>
        <v>0</v>
      </c>
      <c r="R25" s="20">
        <f ca="1">OFFSET('Dist Factors'!$B$15,$O25-1,R$14)*$L25+OFFSET('Dist Factors'!$B$15,$K25-1,R$14)*$H25</f>
        <v>0</v>
      </c>
      <c r="S25" s="20"/>
      <c r="T25" s="20">
        <f ca="1">OFFSET('Dist Factors'!$B$15,$O25-1,T$14)*$L25+OFFSET('Dist Factors'!$B$15,$K25-1,T$14)*$H25</f>
        <v>0</v>
      </c>
      <c r="U25" s="20"/>
      <c r="V25" s="20">
        <f ca="1">OFFSET('Dist Factors'!$B$15,$O25-1,V$14)*$L25+OFFSET('Dist Factors'!$B$15,$K25-1,V$14)*$H25</f>
        <v>0</v>
      </c>
      <c r="W25" s="9"/>
      <c r="X25" s="20">
        <f ca="1">OFFSET('Dist Factors'!$B$15,$O25-1,X$14)*$L25+OFFSET('Dist Factors'!$B$15,$K25-1,X$14)*$H25</f>
        <v>0</v>
      </c>
      <c r="Y25" s="9"/>
      <c r="Z25" s="20">
        <f ca="1">OFFSET('Dist Factors'!$B$15,$O25-1,Z$14)*$L25+OFFSET('Dist Factors'!$B$15,$K25-1,Z$14)*$H25</f>
        <v>0</v>
      </c>
      <c r="AA25" s="20"/>
      <c r="AB25" s="20">
        <f ca="1">OFFSET('Dist Factors'!$B$15,$O25-1,AB$14)*$L25+OFFSET('Dist Factors'!$B$15,$K25-1,AB$14)*$H25</f>
        <v>0</v>
      </c>
      <c r="AC25" s="9"/>
      <c r="AD25" s="20">
        <f ca="1">OFFSET('Dist Factors'!$B$15,$O25-1,AD$14)*$L25+OFFSET('Dist Factors'!$B$15,$K25-1,AD$14)*$H25</f>
        <v>0</v>
      </c>
      <c r="AE25" s="9"/>
      <c r="AF25" s="20">
        <f ca="1">OFFSET('Dist Factors'!$B$15,$O25-1,AF$14)*$L25+OFFSET('Dist Factors'!$B$15,$K25-1,AF$14)*$H25</f>
        <v>0</v>
      </c>
      <c r="AG25" s="9"/>
      <c r="AH25" s="20">
        <f ca="1">OFFSET('Dist Factors'!$B$15,$O25-1,AH$14)*$L25+OFFSET('Dist Factors'!$B$15,$K25-1,AH$14)*$H25</f>
        <v>0</v>
      </c>
      <c r="AI25" s="9"/>
      <c r="AJ25" s="9">
        <f t="shared" ca="1" si="1"/>
        <v>0</v>
      </c>
      <c r="AL25" s="25" t="str">
        <f t="shared" ca="1" si="11"/>
        <v/>
      </c>
      <c r="AM25" s="49"/>
      <c r="AO25" s="89">
        <v>0</v>
      </c>
      <c r="AR25" s="48" t="str">
        <f t="shared" ca="1" si="12"/>
        <v/>
      </c>
      <c r="AT25" s="48" t="str">
        <f t="shared" ca="1" si="2"/>
        <v/>
      </c>
      <c r="AV25" s="48" t="str">
        <f t="shared" ca="1" si="3"/>
        <v/>
      </c>
      <c r="AX25" s="48" t="str">
        <f t="shared" ca="1" si="4"/>
        <v/>
      </c>
      <c r="AZ25" s="48" t="str">
        <f t="shared" ca="1" si="5"/>
        <v/>
      </c>
      <c r="BB25" s="48" t="str">
        <f t="shared" ca="1" si="6"/>
        <v/>
      </c>
      <c r="BD25" s="48" t="str">
        <f t="shared" ca="1" si="7"/>
        <v/>
      </c>
      <c r="BF25" s="48" t="str">
        <f t="shared" ca="1" si="8"/>
        <v/>
      </c>
      <c r="BH25" s="48" t="str">
        <f t="shared" ca="1" si="9"/>
        <v/>
      </c>
      <c r="BJ25" s="48" t="str">
        <f t="shared" ca="1" si="10"/>
        <v/>
      </c>
      <c r="BL25" s="48">
        <f t="shared" ca="1" si="13"/>
        <v>0</v>
      </c>
    </row>
    <row r="26" spans="2:64" ht="13" x14ac:dyDescent="0.3">
      <c r="B26" s="18">
        <f t="shared" si="14"/>
        <v>9</v>
      </c>
      <c r="D26" s="1" t="s">
        <v>48</v>
      </c>
      <c r="F26" s="48">
        <f ca="1">Function!V26</f>
        <v>0</v>
      </c>
      <c r="H26" s="48"/>
      <c r="K26" s="70">
        <f>_xlfn.IFNA(MATCH(J26,'Dist Factors'!$B$15:$B$431,0),0)</f>
        <v>0</v>
      </c>
      <c r="L26" s="48">
        <f t="shared" ca="1" si="15"/>
        <v>0</v>
      </c>
      <c r="O26" s="70">
        <f>_xlfn.IFNA(MATCH(N26,'Dist Factors'!$B$15:$B$431,0),0)</f>
        <v>0</v>
      </c>
      <c r="P26" s="20">
        <f ca="1">OFFSET('Dist Factors'!$B$15,$O26-1,P$14)*$L26+OFFSET('Dist Factors'!$B$15,$K26-1,P$14)*$H26</f>
        <v>0</v>
      </c>
      <c r="R26" s="20">
        <f ca="1">OFFSET('Dist Factors'!$B$15,$O26-1,R$14)*$L26+OFFSET('Dist Factors'!$B$15,$K26-1,R$14)*$H26</f>
        <v>0</v>
      </c>
      <c r="S26" s="20"/>
      <c r="T26" s="20">
        <f ca="1">OFFSET('Dist Factors'!$B$15,$O26-1,T$14)*$L26+OFFSET('Dist Factors'!$B$15,$K26-1,T$14)*$H26</f>
        <v>0</v>
      </c>
      <c r="U26" s="20"/>
      <c r="V26" s="20">
        <f ca="1">OFFSET('Dist Factors'!$B$15,$O26-1,V$14)*$L26+OFFSET('Dist Factors'!$B$15,$K26-1,V$14)*$H26</f>
        <v>0</v>
      </c>
      <c r="W26" s="9"/>
      <c r="X26" s="20">
        <f ca="1">OFFSET('Dist Factors'!$B$15,$O26-1,X$14)*$L26+OFFSET('Dist Factors'!$B$15,$K26-1,X$14)*$H26</f>
        <v>0</v>
      </c>
      <c r="Y26" s="9"/>
      <c r="Z26" s="20">
        <f ca="1">OFFSET('Dist Factors'!$B$15,$O26-1,Z$14)*$L26+OFFSET('Dist Factors'!$B$15,$K26-1,Z$14)*$H26</f>
        <v>0</v>
      </c>
      <c r="AA26" s="20"/>
      <c r="AB26" s="20">
        <f ca="1">OFFSET('Dist Factors'!$B$15,$O26-1,AB$14)*$L26+OFFSET('Dist Factors'!$B$15,$K26-1,AB$14)*$H26</f>
        <v>0</v>
      </c>
      <c r="AC26" s="9"/>
      <c r="AD26" s="20">
        <f ca="1">OFFSET('Dist Factors'!$B$15,$O26-1,AD$14)*$L26+OFFSET('Dist Factors'!$B$15,$K26-1,AD$14)*$H26</f>
        <v>0</v>
      </c>
      <c r="AE26" s="9"/>
      <c r="AF26" s="20">
        <f ca="1">OFFSET('Dist Factors'!$B$15,$O26-1,AF$14)*$L26+OFFSET('Dist Factors'!$B$15,$K26-1,AF$14)*$H26</f>
        <v>0</v>
      </c>
      <c r="AG26" s="9"/>
      <c r="AH26" s="20">
        <f ca="1">OFFSET('Dist Factors'!$B$15,$O26-1,AH$14)*$L26+OFFSET('Dist Factors'!$B$15,$K26-1,AH$14)*$H26</f>
        <v>0</v>
      </c>
      <c r="AI26" s="9"/>
      <c r="AJ26" s="9">
        <f t="shared" ca="1" si="1"/>
        <v>0</v>
      </c>
      <c r="AL26" s="25" t="str">
        <f t="shared" ca="1" si="11"/>
        <v/>
      </c>
      <c r="AM26" s="49"/>
      <c r="AO26" s="89">
        <v>0</v>
      </c>
      <c r="AR26" s="48" t="str">
        <f t="shared" ca="1" si="12"/>
        <v/>
      </c>
      <c r="AT26" s="48" t="str">
        <f t="shared" ca="1" si="2"/>
        <v/>
      </c>
      <c r="AV26" s="48" t="str">
        <f t="shared" ca="1" si="3"/>
        <v/>
      </c>
      <c r="AX26" s="48" t="str">
        <f t="shared" ca="1" si="4"/>
        <v/>
      </c>
      <c r="AZ26" s="48" t="str">
        <f t="shared" ca="1" si="5"/>
        <v/>
      </c>
      <c r="BB26" s="48" t="str">
        <f t="shared" ca="1" si="6"/>
        <v/>
      </c>
      <c r="BD26" s="48" t="str">
        <f t="shared" ca="1" si="7"/>
        <v/>
      </c>
      <c r="BF26" s="48" t="str">
        <f t="shared" ca="1" si="8"/>
        <v/>
      </c>
      <c r="BH26" s="48" t="str">
        <f t="shared" ca="1" si="9"/>
        <v/>
      </c>
      <c r="BJ26" s="48" t="str">
        <f t="shared" ca="1" si="10"/>
        <v/>
      </c>
      <c r="BL26" s="48">
        <f t="shared" ca="1" si="13"/>
        <v>0</v>
      </c>
    </row>
    <row r="27" spans="2:64" ht="13" x14ac:dyDescent="0.3">
      <c r="B27" s="18">
        <f t="shared" si="14"/>
        <v>10</v>
      </c>
      <c r="D27" s="1" t="s">
        <v>49</v>
      </c>
      <c r="F27" s="48">
        <f ca="1">Function!V27</f>
        <v>5648597.565263316</v>
      </c>
      <c r="H27" s="48"/>
      <c r="K27" s="70">
        <f>_xlfn.IFNA(MATCH(J27,'Dist Factors'!$B$15:$B$431,0),0)</f>
        <v>0</v>
      </c>
      <c r="L27" s="48">
        <f t="shared" ca="1" si="15"/>
        <v>5648597.565263316</v>
      </c>
      <c r="N27" s="18" t="s">
        <v>295</v>
      </c>
      <c r="O27" s="70">
        <f>_xlfn.IFNA(MATCH(N27,'Dist Factors'!$B$15:$B$431,0),0)</f>
        <v>8</v>
      </c>
      <c r="P27" s="20">
        <f ca="1">OFFSET('Dist Factors'!$B$15,$O27-1,P$14)*$L27+OFFSET('Dist Factors'!$B$15,$K27-1,P$14)*$H27</f>
        <v>0</v>
      </c>
      <c r="R27" s="20">
        <f ca="1">OFFSET('Dist Factors'!$B$15,$O27-1,R$14)*$L27+OFFSET('Dist Factors'!$B$15,$K27-1,R$14)*$H27</f>
        <v>0</v>
      </c>
      <c r="S27" s="20"/>
      <c r="T27" s="20">
        <f ca="1">OFFSET('Dist Factors'!$B$15,$O27-1,T$14)*$L27+OFFSET('Dist Factors'!$B$15,$K27-1,T$14)*$H27</f>
        <v>0</v>
      </c>
      <c r="U27" s="20"/>
      <c r="V27" s="20">
        <f ca="1">OFFSET('Dist Factors'!$B$15,$O27-1,V$14)*$L27+OFFSET('Dist Factors'!$B$15,$K27-1,V$14)*$H27</f>
        <v>0</v>
      </c>
      <c r="W27" s="9"/>
      <c r="X27" s="20">
        <f ca="1">OFFSET('Dist Factors'!$B$15,$O27-1,X$14)*$L27+OFFSET('Dist Factors'!$B$15,$K27-1,X$14)*$H27</f>
        <v>0</v>
      </c>
      <c r="Y27" s="9"/>
      <c r="Z27" s="20">
        <f ca="1">OFFSET('Dist Factors'!$B$15,$O27-1,Z$14)*$L27+OFFSET('Dist Factors'!$B$15,$K27-1,Z$14)*$H27</f>
        <v>5648597.565263316</v>
      </c>
      <c r="AA27" s="20"/>
      <c r="AB27" s="20">
        <f ca="1">OFFSET('Dist Factors'!$B$15,$O27-1,AB$14)*$L27+OFFSET('Dist Factors'!$B$15,$K27-1,AB$14)*$H27</f>
        <v>0</v>
      </c>
      <c r="AC27" s="9"/>
      <c r="AD27" s="20">
        <f ca="1">OFFSET('Dist Factors'!$B$15,$O27-1,AD$14)*$L27+OFFSET('Dist Factors'!$B$15,$K27-1,AD$14)*$H27</f>
        <v>0</v>
      </c>
      <c r="AE27" s="9"/>
      <c r="AF27" s="20">
        <f ca="1">OFFSET('Dist Factors'!$B$15,$O27-1,AF$14)*$L27+OFFSET('Dist Factors'!$B$15,$K27-1,AF$14)*$H27</f>
        <v>0</v>
      </c>
      <c r="AG27" s="9"/>
      <c r="AH27" s="20">
        <f ca="1">OFFSET('Dist Factors'!$B$15,$O27-1,AH$14)*$L27+OFFSET('Dist Factors'!$B$15,$K27-1,AH$14)*$H27</f>
        <v>0</v>
      </c>
      <c r="AI27" s="9"/>
      <c r="AJ27" s="9">
        <f t="shared" ca="1" si="1"/>
        <v>5648597.565263316</v>
      </c>
      <c r="AL27" s="25" t="str">
        <f t="shared" ca="1" si="11"/>
        <v/>
      </c>
      <c r="AM27" s="49"/>
      <c r="AO27" s="89">
        <v>167835.01764249537</v>
      </c>
      <c r="AR27" s="48">
        <f t="shared" ca="1" si="12"/>
        <v>0</v>
      </c>
      <c r="AT27" s="48">
        <f t="shared" ca="1" si="2"/>
        <v>0</v>
      </c>
      <c r="AV27" s="48">
        <f t="shared" ca="1" si="3"/>
        <v>0</v>
      </c>
      <c r="AX27" s="48">
        <f t="shared" ca="1" si="4"/>
        <v>0</v>
      </c>
      <c r="AZ27" s="48">
        <f t="shared" ca="1" si="5"/>
        <v>0</v>
      </c>
      <c r="BB27" s="48">
        <f t="shared" ca="1" si="6"/>
        <v>167835.01764249537</v>
      </c>
      <c r="BD27" s="48">
        <f t="shared" ca="1" si="7"/>
        <v>0</v>
      </c>
      <c r="BF27" s="48">
        <f t="shared" ca="1" si="8"/>
        <v>0</v>
      </c>
      <c r="BH27" s="48">
        <f t="shared" ca="1" si="9"/>
        <v>0</v>
      </c>
      <c r="BJ27" s="48">
        <f t="shared" ca="1" si="10"/>
        <v>0</v>
      </c>
      <c r="BL27" s="48">
        <f t="shared" ca="1" si="13"/>
        <v>167835.01764249537</v>
      </c>
    </row>
    <row r="28" spans="2:64" ht="13" x14ac:dyDescent="0.3">
      <c r="B28" s="18">
        <f t="shared" si="14"/>
        <v>11</v>
      </c>
      <c r="D28" s="1" t="s">
        <v>51</v>
      </c>
      <c r="F28" s="48">
        <f ca="1">Function!V28</f>
        <v>1686509.739595745</v>
      </c>
      <c r="H28" s="48"/>
      <c r="K28" s="70">
        <f>_xlfn.IFNA(MATCH(J28,'Dist Factors'!$B$15:$B$431,0),0)</f>
        <v>0</v>
      </c>
      <c r="L28" s="48">
        <f t="shared" ca="1" si="15"/>
        <v>1686509.739595745</v>
      </c>
      <c r="N28" s="18" t="s">
        <v>296</v>
      </c>
      <c r="O28" s="70">
        <f>_xlfn.IFNA(MATCH(N28,'Dist Factors'!$B$15:$B$431,0),0)</f>
        <v>5</v>
      </c>
      <c r="P28" s="20">
        <f ca="1">OFFSET('Dist Factors'!$B$15,$O28-1,P$14)*$L28+OFFSET('Dist Factors'!$B$15,$K28-1,P$14)*$H28</f>
        <v>0</v>
      </c>
      <c r="R28" s="20">
        <f ca="1">OFFSET('Dist Factors'!$B$15,$O28-1,R$14)*$L28+OFFSET('Dist Factors'!$B$15,$K28-1,R$14)*$H28</f>
        <v>0</v>
      </c>
      <c r="S28" s="20"/>
      <c r="T28" s="20">
        <f ca="1">OFFSET('Dist Factors'!$B$15,$O28-1,T$14)*$L28+OFFSET('Dist Factors'!$B$15,$K28-1,T$14)*$H28</f>
        <v>0</v>
      </c>
      <c r="U28" s="20"/>
      <c r="V28" s="20">
        <f ca="1">OFFSET('Dist Factors'!$B$15,$O28-1,V$14)*$L28+OFFSET('Dist Factors'!$B$15,$K28-1,V$14)*$H28</f>
        <v>0</v>
      </c>
      <c r="W28" s="9"/>
      <c r="X28" s="20">
        <f ca="1">OFFSET('Dist Factors'!$B$15,$O28-1,X$14)*$L28+OFFSET('Dist Factors'!$B$15,$K28-1,X$14)*$H28</f>
        <v>0</v>
      </c>
      <c r="Y28" s="9"/>
      <c r="Z28" s="20">
        <f ca="1">OFFSET('Dist Factors'!$B$15,$O28-1,Z$14)*$L28+OFFSET('Dist Factors'!$B$15,$K28-1,Z$14)*$H28</f>
        <v>0</v>
      </c>
      <c r="AA28" s="20"/>
      <c r="AB28" s="20">
        <f ca="1">OFFSET('Dist Factors'!$B$15,$O28-1,AB$14)*$L28+OFFSET('Dist Factors'!$B$15,$K28-1,AB$14)*$H28</f>
        <v>1686509.739595745</v>
      </c>
      <c r="AC28" s="9"/>
      <c r="AD28" s="20">
        <f ca="1">OFFSET('Dist Factors'!$B$15,$O28-1,AD$14)*$L28+OFFSET('Dist Factors'!$B$15,$K28-1,AD$14)*$H28</f>
        <v>0</v>
      </c>
      <c r="AE28" s="9"/>
      <c r="AF28" s="20">
        <f ca="1">OFFSET('Dist Factors'!$B$15,$O28-1,AF$14)*$L28+OFFSET('Dist Factors'!$B$15,$K28-1,AF$14)*$H28</f>
        <v>0</v>
      </c>
      <c r="AG28" s="9"/>
      <c r="AH28" s="20">
        <f ca="1">OFFSET('Dist Factors'!$B$15,$O28-1,AH$14)*$L28+OFFSET('Dist Factors'!$B$15,$K28-1,AH$14)*$H28</f>
        <v>0</v>
      </c>
      <c r="AI28" s="9"/>
      <c r="AJ28" s="9">
        <f t="shared" ca="1" si="1"/>
        <v>1686509.739595745</v>
      </c>
      <c r="AL28" s="25" t="str">
        <f t="shared" ca="1" si="11"/>
        <v/>
      </c>
      <c r="AM28" s="49"/>
      <c r="AO28" s="89">
        <v>150968.24809454841</v>
      </c>
      <c r="AR28" s="48">
        <f t="shared" ca="1" si="12"/>
        <v>0</v>
      </c>
      <c r="AT28" s="48">
        <f t="shared" ca="1" si="2"/>
        <v>0</v>
      </c>
      <c r="AV28" s="48">
        <f t="shared" ca="1" si="3"/>
        <v>0</v>
      </c>
      <c r="AX28" s="48">
        <f t="shared" ca="1" si="4"/>
        <v>0</v>
      </c>
      <c r="AZ28" s="48">
        <f t="shared" ca="1" si="5"/>
        <v>0</v>
      </c>
      <c r="BB28" s="48">
        <f t="shared" ca="1" si="6"/>
        <v>0</v>
      </c>
      <c r="BD28" s="48">
        <f t="shared" ca="1" si="7"/>
        <v>150968.24809454841</v>
      </c>
      <c r="BF28" s="48">
        <f t="shared" ca="1" si="8"/>
        <v>0</v>
      </c>
      <c r="BH28" s="48">
        <f t="shared" ca="1" si="9"/>
        <v>0</v>
      </c>
      <c r="BJ28" s="48">
        <f t="shared" ca="1" si="10"/>
        <v>0</v>
      </c>
      <c r="BL28" s="48">
        <f t="shared" ca="1" si="13"/>
        <v>150968.24809454841</v>
      </c>
    </row>
    <row r="29" spans="2:64" ht="13" x14ac:dyDescent="0.3">
      <c r="B29" s="18">
        <f>B28+1</f>
        <v>12</v>
      </c>
      <c r="D29" s="1" t="s">
        <v>52</v>
      </c>
      <c r="F29" s="48">
        <f ca="1">Function!V29</f>
        <v>421046.57844368438</v>
      </c>
      <c r="H29" s="48"/>
      <c r="K29" s="70">
        <f>_xlfn.IFNA(MATCH(J29,'Dist Factors'!$B$15:$B$431,0),0)</f>
        <v>0</v>
      </c>
      <c r="L29" s="48">
        <f t="shared" ca="1" si="15"/>
        <v>421046.57844368438</v>
      </c>
      <c r="N29" s="18" t="s">
        <v>294</v>
      </c>
      <c r="O29" s="70">
        <f>_xlfn.IFNA(MATCH(N29,'Dist Factors'!$B$15:$B$431,0),0)</f>
        <v>14</v>
      </c>
      <c r="P29" s="20">
        <f ca="1">OFFSET('Dist Factors'!$B$15,$O29-1,P$14)*$L29+OFFSET('Dist Factors'!$B$15,$K29-1,P$14)*$H29</f>
        <v>0</v>
      </c>
      <c r="R29" s="20">
        <f ca="1">OFFSET('Dist Factors'!$B$15,$O29-1,R$14)*$L29+OFFSET('Dist Factors'!$B$15,$K29-1,R$14)*$H29</f>
        <v>0</v>
      </c>
      <c r="S29" s="20"/>
      <c r="T29" s="20">
        <f ca="1">OFFSET('Dist Factors'!$B$15,$O29-1,T$14)*$L29+OFFSET('Dist Factors'!$B$15,$K29-1,T$14)*$H29</f>
        <v>0</v>
      </c>
      <c r="U29" s="20"/>
      <c r="V29" s="20">
        <f ca="1">OFFSET('Dist Factors'!$B$15,$O29-1,V$14)*$L29+OFFSET('Dist Factors'!$B$15,$K29-1,V$14)*$H29</f>
        <v>0</v>
      </c>
      <c r="W29" s="9"/>
      <c r="X29" s="20">
        <f ca="1">OFFSET('Dist Factors'!$B$15,$O29-1,X$14)*$L29+OFFSET('Dist Factors'!$B$15,$K29-1,X$14)*$H29</f>
        <v>0</v>
      </c>
      <c r="Y29" s="9"/>
      <c r="Z29" s="20">
        <f ca="1">OFFSET('Dist Factors'!$B$15,$O29-1,Z$14)*$L29+OFFSET('Dist Factors'!$B$15,$K29-1,Z$14)*$H29</f>
        <v>0</v>
      </c>
      <c r="AA29" s="20"/>
      <c r="AB29" s="20">
        <f ca="1">OFFSET('Dist Factors'!$B$15,$O29-1,AB$14)*$L29+OFFSET('Dist Factors'!$B$15,$K29-1,AB$14)*$H29</f>
        <v>0</v>
      </c>
      <c r="AC29" s="9"/>
      <c r="AD29" s="20">
        <f ca="1">OFFSET('Dist Factors'!$B$15,$O29-1,AD$14)*$L29+OFFSET('Dist Factors'!$B$15,$K29-1,AD$14)*$H29</f>
        <v>421046.57844368438</v>
      </c>
      <c r="AE29" s="9"/>
      <c r="AF29" s="20">
        <f ca="1">OFFSET('Dist Factors'!$B$15,$O29-1,AF$14)*$L29+OFFSET('Dist Factors'!$B$15,$K29-1,AF$14)*$H29</f>
        <v>0</v>
      </c>
      <c r="AG29" s="9"/>
      <c r="AH29" s="20">
        <f ca="1">OFFSET('Dist Factors'!$B$15,$O29-1,AH$14)*$L29+OFFSET('Dist Factors'!$B$15,$K29-1,AH$14)*$H29</f>
        <v>0</v>
      </c>
      <c r="AI29" s="9"/>
      <c r="AJ29" s="9">
        <f t="shared" ca="1" si="1"/>
        <v>421046.57844368438</v>
      </c>
      <c r="AL29" s="25" t="str">
        <f t="shared" ca="1" si="11"/>
        <v/>
      </c>
      <c r="AM29" s="49"/>
      <c r="AO29" s="89">
        <v>12241.007694016862</v>
      </c>
      <c r="AR29" s="48">
        <f t="shared" ca="1" si="12"/>
        <v>0</v>
      </c>
      <c r="AT29" s="48">
        <f t="shared" ca="1" si="2"/>
        <v>0</v>
      </c>
      <c r="AV29" s="48">
        <f t="shared" ca="1" si="3"/>
        <v>0</v>
      </c>
      <c r="AX29" s="48">
        <f t="shared" ca="1" si="4"/>
        <v>0</v>
      </c>
      <c r="AZ29" s="48">
        <f t="shared" ca="1" si="5"/>
        <v>0</v>
      </c>
      <c r="BB29" s="48">
        <f t="shared" ca="1" si="6"/>
        <v>0</v>
      </c>
      <c r="BD29" s="48">
        <f t="shared" ca="1" si="7"/>
        <v>0</v>
      </c>
      <c r="BF29" s="48">
        <f t="shared" ca="1" si="8"/>
        <v>12241.007694016862</v>
      </c>
      <c r="BH29" s="48">
        <f t="shared" ca="1" si="9"/>
        <v>0</v>
      </c>
      <c r="BJ29" s="48">
        <f t="shared" ca="1" si="10"/>
        <v>0</v>
      </c>
      <c r="BL29" s="48">
        <f t="shared" ca="1" si="13"/>
        <v>12241.007694016862</v>
      </c>
    </row>
    <row r="30" spans="2:64" ht="13" x14ac:dyDescent="0.3">
      <c r="B30" s="18">
        <f>B29+1</f>
        <v>13</v>
      </c>
      <c r="D30" s="1" t="s">
        <v>53</v>
      </c>
      <c r="F30" s="48">
        <f ca="1">Function!V30</f>
        <v>2387.408565560464</v>
      </c>
      <c r="H30" s="48"/>
      <c r="K30" s="70">
        <f>_xlfn.IFNA(MATCH(J30,'Dist Factors'!$B$15:$B$431,0),0)</f>
        <v>0</v>
      </c>
      <c r="L30" s="48">
        <f t="shared" ca="1" si="15"/>
        <v>2387.408565560464</v>
      </c>
      <c r="N30" s="18" t="s">
        <v>297</v>
      </c>
      <c r="O30" s="70">
        <f>_xlfn.IFNA(MATCH(N30,'Dist Factors'!$B$15:$B$431,0),0)</f>
        <v>32</v>
      </c>
      <c r="P30" s="20">
        <f ca="1">OFFSET('Dist Factors'!$B$15,$O30-1,P$14)*$L30+OFFSET('Dist Factors'!$B$15,$K30-1,P$14)*$H30</f>
        <v>1798.6302208240654</v>
      </c>
      <c r="R30" s="20">
        <f ca="1">OFFSET('Dist Factors'!$B$15,$O30-1,R$14)*$L30+OFFSET('Dist Factors'!$B$15,$K30-1,R$14)*$H30</f>
        <v>344.01421847888173</v>
      </c>
      <c r="S30" s="20"/>
      <c r="T30" s="20">
        <f ca="1">OFFSET('Dist Factors'!$B$15,$O30-1,T$14)*$L30+OFFSET('Dist Factors'!$B$15,$K30-1,T$14)*$H30</f>
        <v>244.76412625751692</v>
      </c>
      <c r="U30" s="20"/>
      <c r="V30" s="20">
        <f ca="1">OFFSET('Dist Factors'!$B$15,$O30-1,V$14)*$L30+OFFSET('Dist Factors'!$B$15,$K30-1,V$14)*$H30</f>
        <v>0</v>
      </c>
      <c r="W30" s="9"/>
      <c r="X30" s="20">
        <f ca="1">OFFSET('Dist Factors'!$B$15,$O30-1,X$14)*$L30+OFFSET('Dist Factors'!$B$15,$K30-1,X$14)*$H30</f>
        <v>0</v>
      </c>
      <c r="Y30" s="9"/>
      <c r="Z30" s="20">
        <f ca="1">OFFSET('Dist Factors'!$B$15,$O30-1,Z$14)*$L30+OFFSET('Dist Factors'!$B$15,$K30-1,Z$14)*$H30</f>
        <v>0</v>
      </c>
      <c r="AA30" s="20"/>
      <c r="AB30" s="20">
        <f ca="1">OFFSET('Dist Factors'!$B$15,$O30-1,AB$14)*$L30+OFFSET('Dist Factors'!$B$15,$K30-1,AB$14)*$H30</f>
        <v>0</v>
      </c>
      <c r="AC30" s="9"/>
      <c r="AD30" s="20">
        <f ca="1">OFFSET('Dist Factors'!$B$15,$O30-1,AD$14)*$L30+OFFSET('Dist Factors'!$B$15,$K30-1,AD$14)*$H30</f>
        <v>0</v>
      </c>
      <c r="AE30" s="9"/>
      <c r="AF30" s="20">
        <f ca="1">OFFSET('Dist Factors'!$B$15,$O30-1,AF$14)*$L30+OFFSET('Dist Factors'!$B$15,$K30-1,AF$14)*$H30</f>
        <v>0</v>
      </c>
      <c r="AG30" s="9"/>
      <c r="AH30" s="20">
        <f ca="1">OFFSET('Dist Factors'!$B$15,$O30-1,AH$14)*$L30+OFFSET('Dist Factors'!$B$15,$K30-1,AH$14)*$H30</f>
        <v>0</v>
      </c>
      <c r="AI30" s="9"/>
      <c r="AJ30" s="9">
        <f t="shared" ca="1" si="1"/>
        <v>2387.408565560464</v>
      </c>
      <c r="AL30" s="25" t="str">
        <f t="shared" ca="1" si="11"/>
        <v/>
      </c>
      <c r="AM30" s="49"/>
      <c r="AO30" s="89">
        <v>0</v>
      </c>
      <c r="AR30" s="48">
        <f t="shared" ca="1" si="12"/>
        <v>0</v>
      </c>
      <c r="AT30" s="48">
        <f t="shared" ca="1" si="2"/>
        <v>0</v>
      </c>
      <c r="AV30" s="48">
        <f t="shared" ca="1" si="3"/>
        <v>0</v>
      </c>
      <c r="AX30" s="48">
        <f t="shared" ca="1" si="4"/>
        <v>0</v>
      </c>
      <c r="AZ30" s="48">
        <f t="shared" ca="1" si="5"/>
        <v>0</v>
      </c>
      <c r="BB30" s="48">
        <f t="shared" ca="1" si="6"/>
        <v>0</v>
      </c>
      <c r="BD30" s="48">
        <f t="shared" ca="1" si="7"/>
        <v>0</v>
      </c>
      <c r="BF30" s="48">
        <f t="shared" ca="1" si="8"/>
        <v>0</v>
      </c>
      <c r="BH30" s="48">
        <f t="shared" ca="1" si="9"/>
        <v>0</v>
      </c>
      <c r="BJ30" s="48">
        <f t="shared" ca="1" si="10"/>
        <v>0</v>
      </c>
      <c r="BL30" s="48">
        <f t="shared" ca="1" si="13"/>
        <v>0</v>
      </c>
    </row>
    <row r="31" spans="2:64" ht="13" x14ac:dyDescent="0.3">
      <c r="B31" s="18">
        <f t="shared" si="14"/>
        <v>14</v>
      </c>
      <c r="D31" s="1" t="s">
        <v>55</v>
      </c>
      <c r="F31" s="40">
        <f ca="1">SUM(F18:F30)</f>
        <v>18161286.05356691</v>
      </c>
      <c r="H31" s="40">
        <f>SUM(H18:H30)</f>
        <v>0</v>
      </c>
      <c r="L31" s="40">
        <f ca="1">SUM(L18:L30)</f>
        <v>18161286.05356691</v>
      </c>
      <c r="P31" s="11">
        <f ca="1">SUM(P18:P30)</f>
        <v>2871447.5935666859</v>
      </c>
      <c r="Q31" s="12"/>
      <c r="R31" s="11">
        <f ca="1">SUM(R18:R30)</f>
        <v>549206.16164857231</v>
      </c>
      <c r="S31" s="13"/>
      <c r="T31" s="11">
        <f ca="1">SUM(T18:T30)</f>
        <v>3340968.1660601986</v>
      </c>
      <c r="U31" s="13"/>
      <c r="V31" s="11">
        <f ca="1">SUM(V18:V30)</f>
        <v>0</v>
      </c>
      <c r="W31" s="13"/>
      <c r="X31" s="11">
        <f ca="1">SUM(X18:X30)</f>
        <v>3605958.0085862065</v>
      </c>
      <c r="Y31" s="13"/>
      <c r="Z31" s="11">
        <f ca="1">SUM(Z18:Z30)</f>
        <v>5648597.565263316</v>
      </c>
      <c r="AA31" s="13"/>
      <c r="AB31" s="11">
        <f ca="1">SUM(AB18:AB30)</f>
        <v>1686509.739595745</v>
      </c>
      <c r="AC31" s="13"/>
      <c r="AD31" s="11">
        <f ca="1">SUM(AD18:AD30)</f>
        <v>458598.81884618296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1"/>
        <v>18161286.05356691</v>
      </c>
      <c r="AK31" s="8"/>
      <c r="AL31" s="25" t="str">
        <f t="shared" ca="1" si="11"/>
        <v/>
      </c>
      <c r="AM31" s="49"/>
      <c r="AO31" s="78">
        <f>SUM(AO18:AO30)</f>
        <v>565624.78092949442</v>
      </c>
      <c r="AR31" s="78">
        <f ca="1">SUM(AR18:AR30)</f>
        <v>65144.815897887223</v>
      </c>
      <c r="AT31" s="78">
        <f ca="1">SUM(AT18:AT30)</f>
        <v>12459.894573991163</v>
      </c>
      <c r="AV31" s="78">
        <f ca="1">SUM(AV18:AV30)</f>
        <v>75838.826896445156</v>
      </c>
      <c r="AX31" s="78">
        <f ca="1">SUM(AX18:AX30)</f>
        <v>0</v>
      </c>
      <c r="AZ31" s="78">
        <f ca="1">SUM(AZ18:AZ30)</f>
        <v>79895.341118364944</v>
      </c>
      <c r="BB31" s="78">
        <f ca="1">SUM(BB18:BB30)</f>
        <v>167835.01764249537</v>
      </c>
      <c r="BD31" s="78">
        <f ca="1">SUM(BD18:BD30)</f>
        <v>150968.24809454841</v>
      </c>
      <c r="BF31" s="78">
        <f ca="1">SUM(BF18:BF30)</f>
        <v>13482.636705762121</v>
      </c>
      <c r="BH31" s="78">
        <f ca="1">SUM(BH18:BH30)</f>
        <v>0</v>
      </c>
      <c r="BJ31" s="78">
        <f ca="1">SUM(BJ18:BJ30)</f>
        <v>0</v>
      </c>
      <c r="BL31" s="78">
        <f ca="1">SUM(BL18:BL30)</f>
        <v>565624.78092949442</v>
      </c>
    </row>
    <row r="32" spans="2:64" ht="13" x14ac:dyDescent="0.3">
      <c r="AJ32" s="8"/>
      <c r="AL32" s="25" t="str">
        <f t="shared" si="11"/>
        <v/>
      </c>
      <c r="AM32" s="49"/>
    </row>
    <row r="33" spans="2:64" ht="13" x14ac:dyDescent="0.3">
      <c r="B33" s="18">
        <f>B31+1</f>
        <v>15</v>
      </c>
      <c r="D33" s="1" t="s">
        <v>56</v>
      </c>
      <c r="F33" s="48">
        <f ca="1">Function!V33</f>
        <v>679229.182026239</v>
      </c>
      <c r="H33" s="48"/>
      <c r="K33" s="70">
        <f>_xlfn.IFNA(MATCH(J33,'Dist Factors'!$B$15:$B$431,0),0)</f>
        <v>0</v>
      </c>
      <c r="L33" s="48">
        <f t="shared" ref="L33" ca="1" si="16">F33-H33</f>
        <v>679229.182026239</v>
      </c>
      <c r="N33" s="18" t="s">
        <v>298</v>
      </c>
      <c r="O33" s="70">
        <f>_xlfn.IFNA(MATCH(N33,'Dist Factors'!$B$15:$B$431,0),0)</f>
        <v>26</v>
      </c>
      <c r="P33" s="20">
        <f ca="1">OFFSET('Dist Factors'!$B$15,$O33-1,P$14)*$L33+OFFSET('Dist Factors'!$B$15,$K33-1,P$14)*$H33</f>
        <v>89126.613586163905</v>
      </c>
      <c r="R33" s="20">
        <f ca="1">OFFSET('Dist Factors'!$B$15,$O33-1,R$14)*$L33+OFFSET('Dist Factors'!$B$15,$K33-1,R$14)*$H33</f>
        <v>17046.762566051959</v>
      </c>
      <c r="S33" s="20"/>
      <c r="T33" s="20">
        <f ca="1">OFFSET('Dist Factors'!$B$15,$O33-1,T$14)*$L33+OFFSET('Dist Factors'!$B$15,$K33-1,T$14)*$H33</f>
        <v>103757.41686372095</v>
      </c>
      <c r="U33" s="20"/>
      <c r="V33" s="20">
        <f ca="1">OFFSET('Dist Factors'!$B$15,$O33-1,V$14)*$L33+OFFSET('Dist Factors'!$B$15,$K33-1,V$14)*$H33</f>
        <v>28292.579188374169</v>
      </c>
      <c r="W33" s="9"/>
      <c r="X33" s="20">
        <f ca="1">OFFSET('Dist Factors'!$B$15,$O33-1,X$14)*$L33+OFFSET('Dist Factors'!$B$15,$K33-1,X$14)*$H33</f>
        <v>109851.32620017245</v>
      </c>
      <c r="Y33" s="9"/>
      <c r="Z33" s="20">
        <f ca="1">OFFSET('Dist Factors'!$B$15,$O33-1,Z$14)*$L33+OFFSET('Dist Factors'!$B$15,$K33-1,Z$14)*$H33</f>
        <v>166794.86588745605</v>
      </c>
      <c r="AA33" s="20"/>
      <c r="AB33" s="20">
        <f ca="1">OFFSET('Dist Factors'!$B$15,$O33-1,AB$14)*$L33+OFFSET('Dist Factors'!$B$15,$K33-1,AB$14)*$H33</f>
        <v>59952.308212903277</v>
      </c>
      <c r="AC33" s="9"/>
      <c r="AD33" s="20">
        <f ca="1">OFFSET('Dist Factors'!$B$15,$O33-1,AD$14)*$L33+OFFSET('Dist Factors'!$B$15,$K33-1,AD$14)*$H33</f>
        <v>14703.087233585475</v>
      </c>
      <c r="AE33" s="9"/>
      <c r="AF33" s="20">
        <f ca="1">OFFSET('Dist Factors'!$B$15,$O33-1,AF$14)*$L33+OFFSET('Dist Factors'!$B$15,$K33-1,AF$14)*$H33</f>
        <v>89704.222287810888</v>
      </c>
      <c r="AG33" s="9"/>
      <c r="AH33" s="20">
        <f ca="1">OFFSET('Dist Factors'!$B$15,$O33-1,AH$14)*$L33+OFFSET('Dist Factors'!$B$15,$K33-1,AH$14)*$H33</f>
        <v>0</v>
      </c>
      <c r="AI33" s="9"/>
      <c r="AJ33" s="9">
        <f ca="1">SUM(P33:AI33)</f>
        <v>679229.182026239</v>
      </c>
      <c r="AL33" s="25" t="str">
        <f t="shared" ca="1" si="11"/>
        <v/>
      </c>
      <c r="AM33" s="49"/>
    </row>
    <row r="34" spans="2:64" ht="13" x14ac:dyDescent="0.3">
      <c r="AJ34" s="8"/>
      <c r="AL34" s="25" t="str">
        <f t="shared" si="11"/>
        <v/>
      </c>
      <c r="AM34" s="49"/>
    </row>
    <row r="35" spans="2:64" ht="13" x14ac:dyDescent="0.3">
      <c r="B35" s="18">
        <f>B33+1</f>
        <v>16</v>
      </c>
      <c r="D35" s="1" t="s">
        <v>58</v>
      </c>
      <c r="F35" s="40">
        <f ca="1">F31+F33</f>
        <v>18840515.235593148</v>
      </c>
      <c r="H35" s="40">
        <f>H31+H33</f>
        <v>0</v>
      </c>
      <c r="L35" s="40">
        <f ca="1">L31+L33</f>
        <v>18840515.235593148</v>
      </c>
      <c r="P35" s="10">
        <f ca="1">P31+P33</f>
        <v>2960574.20715285</v>
      </c>
      <c r="Q35" s="14"/>
      <c r="R35" s="10">
        <f ca="1">R31+R33</f>
        <v>566252.92421462422</v>
      </c>
      <c r="S35" s="8"/>
      <c r="T35" s="10">
        <f ca="1">T31+T33</f>
        <v>3444725.5829239194</v>
      </c>
      <c r="U35" s="8"/>
      <c r="V35" s="10">
        <f ca="1">V31+V33</f>
        <v>28292.579188374169</v>
      </c>
      <c r="W35" s="8"/>
      <c r="X35" s="10">
        <f ca="1">X31+X33</f>
        <v>3715809.3347863788</v>
      </c>
      <c r="Y35" s="8"/>
      <c r="Z35" s="10">
        <f ca="1">Z31+Z33</f>
        <v>5815392.4311507717</v>
      </c>
      <c r="AA35" s="8"/>
      <c r="AB35" s="10">
        <f ca="1">AB31+AB33</f>
        <v>1746462.0478086483</v>
      </c>
      <c r="AC35" s="8"/>
      <c r="AD35" s="10">
        <f ca="1">AD31+AD33</f>
        <v>473301.90607976844</v>
      </c>
      <c r="AE35" s="8"/>
      <c r="AF35" s="10">
        <f ca="1">AF31+AF33</f>
        <v>89704.222287810888</v>
      </c>
      <c r="AG35" s="8"/>
      <c r="AH35" s="10">
        <f ca="1">AH31+AH33</f>
        <v>0</v>
      </c>
      <c r="AI35" s="8"/>
      <c r="AJ35" s="10">
        <f ca="1">AJ31+AJ33</f>
        <v>18840515.235593148</v>
      </c>
      <c r="AL35" s="25" t="str">
        <f t="shared" ca="1" si="11"/>
        <v/>
      </c>
      <c r="AM35" s="49"/>
    </row>
    <row r="36" spans="2:64" ht="13" x14ac:dyDescent="0.3">
      <c r="D36" s="6"/>
      <c r="E36" s="6"/>
      <c r="F36" s="74"/>
      <c r="H36" s="74"/>
      <c r="L36" s="74"/>
      <c r="AL36" s="25" t="str">
        <f t="shared" si="11"/>
        <v/>
      </c>
      <c r="AM36" s="49"/>
    </row>
    <row r="37" spans="2:64" ht="13" x14ac:dyDescent="0.3">
      <c r="AL37" s="25" t="str">
        <f t="shared" si="11"/>
        <v/>
      </c>
      <c r="AM37" s="49"/>
    </row>
    <row r="38" spans="2:64" ht="13" x14ac:dyDescent="0.3">
      <c r="D38" s="6" t="s">
        <v>59</v>
      </c>
      <c r="E38" s="7"/>
      <c r="F38" s="75"/>
      <c r="AL38" s="27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L38" s="2"/>
    </row>
    <row r="39" spans="2:64" ht="13" x14ac:dyDescent="0.3">
      <c r="AL39" s="25" t="str">
        <f t="shared" ref="AL39" si="17">IF(ROUND(L39,4)=ROUND(AJ39,4), "", "check")</f>
        <v/>
      </c>
      <c r="AM39" s="49"/>
    </row>
    <row r="40" spans="2:64" ht="13" x14ac:dyDescent="0.3">
      <c r="B40" s="18">
        <f>B35+1</f>
        <v>17</v>
      </c>
      <c r="D40" s="1" t="s">
        <v>33</v>
      </c>
      <c r="F40" s="48">
        <f ca="1">Function!V40</f>
        <v>0</v>
      </c>
      <c r="H40" s="48"/>
      <c r="J40" s="2"/>
      <c r="K40" s="70">
        <f>_xlfn.IFNA(MATCH(J40,'Dist Factors'!$B$15:$B$431,0),0)</f>
        <v>0</v>
      </c>
      <c r="L40" s="48">
        <f ca="1">F40-H40</f>
        <v>0</v>
      </c>
      <c r="N40" s="18" t="s">
        <v>291</v>
      </c>
      <c r="O40" s="70">
        <f>_xlfn.IFNA(MATCH(N40,'Dist Factors'!$B$15:$B$431,0),0)</f>
        <v>35</v>
      </c>
      <c r="P40" s="20">
        <f ca="1">OFFSET('Dist Factors'!$B$15,$O40-1,P$14)*$L40+OFFSET('Dist Factors'!$B$15,$K40-1,P$14)*$H40</f>
        <v>0</v>
      </c>
      <c r="R40" s="20">
        <f ca="1">OFFSET('Dist Factors'!$B$15,$O40-1,R$14)*$L40+OFFSET('Dist Factors'!$B$15,$K40-1,R$14)*$H40</f>
        <v>0</v>
      </c>
      <c r="S40" s="20"/>
      <c r="T40" s="20">
        <f ca="1">OFFSET('Dist Factors'!$B$15,$O40-1,T$14)*$L40+OFFSET('Dist Factors'!$B$15,$K40-1,T$14)*$H40</f>
        <v>0</v>
      </c>
      <c r="U40" s="20"/>
      <c r="V40" s="20">
        <f ca="1">OFFSET('Dist Factors'!$B$15,$O40-1,V$14)*$L40+OFFSET('Dist Factors'!$B$15,$K40-1,V$14)*$H40</f>
        <v>0</v>
      </c>
      <c r="X40" s="20">
        <f ca="1">OFFSET('Dist Factors'!$B$15,$O40-1,X$14)*$L40+OFFSET('Dist Factors'!$B$15,$K40-1,X$14)*$H40</f>
        <v>0</v>
      </c>
      <c r="Y40" s="9"/>
      <c r="Z40" s="20">
        <f ca="1">OFFSET('Dist Factors'!$B$15,$O40-1,Z$14)*$L40+OFFSET('Dist Factors'!$B$15,$K40-1,Z$14)*$H40</f>
        <v>0</v>
      </c>
      <c r="AA40" s="20"/>
      <c r="AB40" s="20">
        <f ca="1">OFFSET('Dist Factors'!$B$15,$O40-1,AB$14)*$L40+OFFSET('Dist Factors'!$B$15,$K40-1,AB$14)*$H40</f>
        <v>0</v>
      </c>
      <c r="AC40" s="9"/>
      <c r="AD40" s="20">
        <f ca="1">OFFSET('Dist Factors'!$B$15,$O40-1,AD$14)*$L40+OFFSET('Dist Factors'!$B$15,$K40-1,AD$14)*$H40</f>
        <v>0</v>
      </c>
      <c r="AE40" s="9"/>
      <c r="AF40" s="20">
        <f ca="1">OFFSET('Dist Factors'!$B$15,$O40-1,AF$14)*$L40+OFFSET('Dist Factors'!$B$15,$K40-1,AF$14)*$H40</f>
        <v>0</v>
      </c>
      <c r="AG40" s="9"/>
      <c r="AH40" s="20">
        <f ca="1">OFFSET('Dist Factors'!$B$15,$O40-1,AH$14)*$L40+OFFSET('Dist Factors'!$B$15,$K40-1,AH$14)*$H40</f>
        <v>0</v>
      </c>
      <c r="AI40" s="9"/>
      <c r="AJ40" s="9">
        <f t="shared" ref="AJ40:AJ53" ca="1" si="18">SUM(P40:AI40)</f>
        <v>0</v>
      </c>
      <c r="AL40" s="25" t="str">
        <f ca="1">IF(ROUND(F40,4)=ROUND(AJ40,4), "", "check")</f>
        <v/>
      </c>
      <c r="AM40" s="49"/>
      <c r="AO40" s="37"/>
      <c r="AR40" s="48"/>
      <c r="AT40" s="48"/>
      <c r="AV40" s="48"/>
      <c r="AX40" s="48"/>
      <c r="AZ40" s="48"/>
      <c r="BB40" s="48"/>
      <c r="BD40" s="48"/>
      <c r="BF40" s="48"/>
      <c r="BH40" s="48"/>
      <c r="BJ40" s="48"/>
      <c r="BL40" s="48"/>
    </row>
    <row r="41" spans="2:64" ht="13" x14ac:dyDescent="0.3">
      <c r="B41" s="18">
        <f>B40+1</f>
        <v>18</v>
      </c>
      <c r="D41" s="1" t="s">
        <v>35</v>
      </c>
      <c r="F41" s="48">
        <f ca="1">Function!V41</f>
        <v>-20930.803618101087</v>
      </c>
      <c r="H41" s="48"/>
      <c r="J41" s="2"/>
      <c r="K41" s="70">
        <f>_xlfn.IFNA(MATCH(J41,'Dist Factors'!$B$15:$B$431,0),0)</f>
        <v>0</v>
      </c>
      <c r="L41" s="48">
        <f ca="1">F41-H41</f>
        <v>-20930.803618101087</v>
      </c>
      <c r="N41" s="18" t="s">
        <v>291</v>
      </c>
      <c r="O41" s="70">
        <f>_xlfn.IFNA(MATCH(N41,'Dist Factors'!$B$15:$B$431,0),0)</f>
        <v>35</v>
      </c>
      <c r="P41" s="20">
        <f ca="1">OFFSET('Dist Factors'!$B$15,$O41-1,P$14)*$L41+OFFSET('Dist Factors'!$B$15,$K41-1,P$14)*$H41</f>
        <v>-5794.7846874308661</v>
      </c>
      <c r="R41" s="20">
        <f ca="1">OFFSET('Dist Factors'!$B$15,$O41-1,R$14)*$L41+OFFSET('Dist Factors'!$B$15,$K41-1,R$14)*$H41</f>
        <v>-1108.3369457600784</v>
      </c>
      <c r="S41" s="20"/>
      <c r="T41" s="20">
        <f ca="1">OFFSET('Dist Factors'!$B$15,$O41-1,T$14)*$L41+OFFSET('Dist Factors'!$B$15,$K41-1,T$14)*$H41</f>
        <v>-6746.0421332849828</v>
      </c>
      <c r="U41" s="20"/>
      <c r="V41" s="20">
        <f ca="1">OFFSET('Dist Factors'!$B$15,$O41-1,V$14)*$L41+OFFSET('Dist Factors'!$B$15,$K41-1,V$14)*$H41</f>
        <v>0</v>
      </c>
      <c r="X41" s="20">
        <f ca="1">OFFSET('Dist Factors'!$B$15,$O41-1,X$14)*$L41+OFFSET('Dist Factors'!$B$15,$K41-1,X$14)*$H41</f>
        <v>-7281.6398516251566</v>
      </c>
      <c r="Y41" s="9"/>
      <c r="Z41" s="20">
        <f ca="1">OFFSET('Dist Factors'!$B$15,$O41-1,Z$14)*$L41+OFFSET('Dist Factors'!$B$15,$K41-1,Z$14)*$H41</f>
        <v>0</v>
      </c>
      <c r="AA41" s="20"/>
      <c r="AB41" s="20">
        <f ca="1">OFFSET('Dist Factors'!$B$15,$O41-1,AB$14)*$L41+OFFSET('Dist Factors'!$B$15,$K41-1,AB$14)*$H41</f>
        <v>0</v>
      </c>
      <c r="AC41" s="9"/>
      <c r="AD41" s="20">
        <f ca="1">OFFSET('Dist Factors'!$B$15,$O41-1,AD$14)*$L41+OFFSET('Dist Factors'!$B$15,$K41-1,AD$14)*$H41</f>
        <v>0</v>
      </c>
      <c r="AE41" s="9"/>
      <c r="AF41" s="20">
        <f ca="1">OFFSET('Dist Factors'!$B$15,$O41-1,AF$14)*$L41+OFFSET('Dist Factors'!$B$15,$K41-1,AF$14)*$H41</f>
        <v>0</v>
      </c>
      <c r="AG41" s="9"/>
      <c r="AH41" s="20">
        <f ca="1">OFFSET('Dist Factors'!$B$15,$O41-1,AH$14)*$L41+OFFSET('Dist Factors'!$B$15,$K41-1,AH$14)*$H41</f>
        <v>0</v>
      </c>
      <c r="AI41" s="9"/>
      <c r="AJ41" s="9">
        <f t="shared" ca="1" si="18"/>
        <v>-20930.803618101083</v>
      </c>
      <c r="AL41" s="25" t="str">
        <f t="shared" ref="AL41:AL59" ca="1" si="19">IF(ROUND(F41,4)=ROUND(AJ41,4), "", "check")</f>
        <v/>
      </c>
      <c r="AM41" s="49"/>
      <c r="AO41" s="37"/>
      <c r="AR41" s="48"/>
      <c r="AT41" s="48"/>
      <c r="AV41" s="48"/>
      <c r="AX41" s="48"/>
      <c r="AZ41" s="48"/>
      <c r="BB41" s="48"/>
      <c r="BD41" s="48"/>
      <c r="BF41" s="48"/>
      <c r="BH41" s="48"/>
      <c r="BJ41" s="48"/>
      <c r="BL41" s="48"/>
    </row>
    <row r="42" spans="2:64" ht="13" x14ac:dyDescent="0.3">
      <c r="B42" s="18">
        <f t="shared" ref="B42:B53" si="20">B41+1</f>
        <v>19</v>
      </c>
      <c r="D42" s="1" t="s">
        <v>37</v>
      </c>
      <c r="F42" s="48">
        <f ca="1">Function!V42</f>
        <v>-107521.11072554668</v>
      </c>
      <c r="H42" s="48"/>
      <c r="J42" s="2"/>
      <c r="K42" s="70">
        <f>_xlfn.IFNA(MATCH(J42,'Dist Factors'!$B$15:$B$431,0),0)</f>
        <v>0</v>
      </c>
      <c r="L42" s="48">
        <f t="shared" ref="L42:L52" ca="1" si="21">F42-H42</f>
        <v>-107521.11072554668</v>
      </c>
      <c r="N42" s="18" t="s">
        <v>291</v>
      </c>
      <c r="O42" s="70">
        <f>_xlfn.IFNA(MATCH(N42,'Dist Factors'!$B$15:$B$431,0),0)</f>
        <v>35</v>
      </c>
      <c r="P42" s="20">
        <f ca="1">OFFSET('Dist Factors'!$B$15,$O42-1,P$14)*$L42+OFFSET('Dist Factors'!$B$15,$K42-1,P$14)*$H42</f>
        <v>-29767.690594981697</v>
      </c>
      <c r="R42" s="20">
        <f ca="1">OFFSET('Dist Factors'!$B$15,$O42-1,R$14)*$L42+OFFSET('Dist Factors'!$B$15,$K42-1,R$14)*$H42</f>
        <v>-5693.5042552893192</v>
      </c>
      <c r="S42" s="20"/>
      <c r="T42" s="20">
        <f ca="1">OFFSET('Dist Factors'!$B$15,$O42-1,T$14)*$L42+OFFSET('Dist Factors'!$B$15,$K42-1,T$14)*$H42</f>
        <v>-34654.280667219944</v>
      </c>
      <c r="U42" s="20"/>
      <c r="V42" s="20">
        <f ca="1">OFFSET('Dist Factors'!$B$15,$O42-1,V$14)*$L42+OFFSET('Dist Factors'!$B$15,$K42-1,V$14)*$H42</f>
        <v>0</v>
      </c>
      <c r="W42" s="9"/>
      <c r="X42" s="20">
        <f ca="1">OFFSET('Dist Factors'!$B$15,$O42-1,X$14)*$L42+OFFSET('Dist Factors'!$B$15,$K42-1,X$14)*$H42</f>
        <v>-37405.635208055704</v>
      </c>
      <c r="Y42" s="9"/>
      <c r="Z42" s="20">
        <f ca="1">OFFSET('Dist Factors'!$B$15,$O42-1,Z$14)*$L42+OFFSET('Dist Factors'!$B$15,$K42-1,Z$14)*$H42</f>
        <v>0</v>
      </c>
      <c r="AA42" s="20"/>
      <c r="AB42" s="20">
        <f ca="1">OFFSET('Dist Factors'!$B$15,$O42-1,AB$14)*$L42+OFFSET('Dist Factors'!$B$15,$K42-1,AB$14)*$H42</f>
        <v>0</v>
      </c>
      <c r="AC42" s="9"/>
      <c r="AD42" s="20">
        <f ca="1">OFFSET('Dist Factors'!$B$15,$O42-1,AD$14)*$L42+OFFSET('Dist Factors'!$B$15,$K42-1,AD$14)*$H42</f>
        <v>0</v>
      </c>
      <c r="AE42" s="9"/>
      <c r="AF42" s="20">
        <f ca="1">OFFSET('Dist Factors'!$B$15,$O42-1,AF$14)*$L42+OFFSET('Dist Factors'!$B$15,$K42-1,AF$14)*$H42</f>
        <v>0</v>
      </c>
      <c r="AG42" s="9"/>
      <c r="AH42" s="20">
        <f ca="1">OFFSET('Dist Factors'!$B$15,$O42-1,AH$14)*$L42+OFFSET('Dist Factors'!$B$15,$K42-1,AH$14)*$H42</f>
        <v>0</v>
      </c>
      <c r="AI42" s="9"/>
      <c r="AJ42" s="9">
        <f t="shared" ca="1" si="18"/>
        <v>-107521.11072554666</v>
      </c>
      <c r="AL42" s="25" t="str">
        <f t="shared" ca="1" si="19"/>
        <v/>
      </c>
      <c r="AM42" s="49"/>
      <c r="AO42" s="37"/>
      <c r="AR42" s="48"/>
      <c r="AT42" s="48"/>
      <c r="AV42" s="48"/>
      <c r="AX42" s="48"/>
      <c r="AZ42" s="48"/>
      <c r="BB42" s="48"/>
      <c r="BD42" s="48"/>
      <c r="BF42" s="48"/>
      <c r="BH42" s="48"/>
      <c r="BJ42" s="48"/>
      <c r="BL42" s="48"/>
    </row>
    <row r="43" spans="2:64" ht="13" x14ac:dyDescent="0.3">
      <c r="B43" s="18">
        <f t="shared" si="20"/>
        <v>20</v>
      </c>
      <c r="D43" s="1" t="s">
        <v>39</v>
      </c>
      <c r="F43" s="48">
        <f ca="1">Function!V43</f>
        <v>-371324.53497546032</v>
      </c>
      <c r="H43" s="48"/>
      <c r="J43" s="2"/>
      <c r="K43" s="70">
        <f>_xlfn.IFNA(MATCH(J43,'Dist Factors'!$B$15:$B$431,0),0)</f>
        <v>0</v>
      </c>
      <c r="L43" s="48">
        <f t="shared" ca="1" si="21"/>
        <v>-371324.53497546032</v>
      </c>
      <c r="N43" s="18" t="s">
        <v>292</v>
      </c>
      <c r="O43" s="70">
        <f>_xlfn.IFNA(MATCH(N43,'Dist Factors'!$B$15:$B$431,0),0)</f>
        <v>53</v>
      </c>
      <c r="P43" s="20">
        <f ca="1">OFFSET('Dist Factors'!$B$15,$O43-1,P$14)*$L43+OFFSET('Dist Factors'!$B$15,$K43-1,P$14)*$H43</f>
        <v>-157646.70760476511</v>
      </c>
      <c r="R43" s="20">
        <f ca="1">OFFSET('Dist Factors'!$B$15,$O43-1,R$14)*$L43+OFFSET('Dist Factors'!$B$15,$K43-1,R$14)*$H43</f>
        <v>-30152.22822597445</v>
      </c>
      <c r="S43" s="20"/>
      <c r="T43" s="20">
        <f ca="1">OFFSET('Dist Factors'!$B$15,$O43-1,T$14)*$L43+OFFSET('Dist Factors'!$B$15,$K43-1,T$14)*$H43</f>
        <v>-183525.59914472079</v>
      </c>
      <c r="U43" s="20"/>
      <c r="V43" s="20">
        <f ca="1">OFFSET('Dist Factors'!$B$15,$O43-1,V$14)*$L43+OFFSET('Dist Factors'!$B$15,$K43-1,V$14)*$H43</f>
        <v>0</v>
      </c>
      <c r="W43" s="9"/>
      <c r="X43" s="20">
        <f ca="1">OFFSET('Dist Factors'!$B$15,$O43-1,X$14)*$L43+OFFSET('Dist Factors'!$B$15,$K43-1,X$14)*$H43</f>
        <v>0</v>
      </c>
      <c r="Y43" s="9"/>
      <c r="Z43" s="20">
        <f ca="1">OFFSET('Dist Factors'!$B$15,$O43-1,Z$14)*$L43+OFFSET('Dist Factors'!$B$15,$K43-1,Z$14)*$H43</f>
        <v>0</v>
      </c>
      <c r="AA43" s="20"/>
      <c r="AB43" s="20">
        <f ca="1">OFFSET('Dist Factors'!$B$15,$O43-1,AB$14)*$L43+OFFSET('Dist Factors'!$B$15,$K43-1,AB$14)*$H43</f>
        <v>0</v>
      </c>
      <c r="AC43" s="9"/>
      <c r="AD43" s="20">
        <f ca="1">OFFSET('Dist Factors'!$B$15,$O43-1,AD$14)*$L43+OFFSET('Dist Factors'!$B$15,$K43-1,AD$14)*$H43</f>
        <v>0</v>
      </c>
      <c r="AE43" s="9"/>
      <c r="AF43" s="20">
        <f ca="1">OFFSET('Dist Factors'!$B$15,$O43-1,AF$14)*$L43+OFFSET('Dist Factors'!$B$15,$K43-1,AF$14)*$H43</f>
        <v>0</v>
      </c>
      <c r="AG43" s="9"/>
      <c r="AH43" s="20">
        <f ca="1">OFFSET('Dist Factors'!$B$15,$O43-1,AH$14)*$L43+OFFSET('Dist Factors'!$B$15,$K43-1,AH$14)*$H43</f>
        <v>0</v>
      </c>
      <c r="AI43" s="9"/>
      <c r="AJ43" s="9">
        <f t="shared" ca="1" si="18"/>
        <v>-371324.53497546038</v>
      </c>
      <c r="AL43" s="25" t="str">
        <f t="shared" ca="1" si="19"/>
        <v/>
      </c>
      <c r="AM43" s="49"/>
      <c r="AO43" s="37"/>
      <c r="AR43" s="48"/>
      <c r="AT43" s="48"/>
      <c r="AV43" s="48"/>
      <c r="AX43" s="48"/>
      <c r="AZ43" s="48"/>
      <c r="BB43" s="48"/>
      <c r="BD43" s="48"/>
      <c r="BF43" s="48"/>
      <c r="BH43" s="48"/>
      <c r="BJ43" s="48"/>
      <c r="BL43" s="48"/>
    </row>
    <row r="44" spans="2:64" ht="13" x14ac:dyDescent="0.3">
      <c r="B44" s="18">
        <f t="shared" si="20"/>
        <v>21</v>
      </c>
      <c r="D44" s="1" t="s">
        <v>41</v>
      </c>
      <c r="F44" s="48">
        <f ca="1">Function!V44</f>
        <v>-3164609.488205547</v>
      </c>
      <c r="H44" s="48"/>
      <c r="J44" s="2"/>
      <c r="K44" s="70">
        <f>_xlfn.IFNA(MATCH(J44,'Dist Factors'!$B$15:$B$431,0),0)</f>
        <v>0</v>
      </c>
      <c r="L44" s="48">
        <f t="shared" ca="1" si="21"/>
        <v>-3164609.488205547</v>
      </c>
      <c r="N44" s="18" t="s">
        <v>293</v>
      </c>
      <c r="O44" s="70">
        <f>_xlfn.IFNA(MATCH(N44,'Dist Factors'!$B$15:$B$431,0),0)</f>
        <v>62</v>
      </c>
      <c r="P44" s="20">
        <f ca="1">OFFSET('Dist Factors'!$B$15,$O44-1,P$14)*$L44+OFFSET('Dist Factors'!$B$15,$K44-1,P$14)*$H44</f>
        <v>-820868.52192691958</v>
      </c>
      <c r="R44" s="20">
        <f ca="1">OFFSET('Dist Factors'!$B$15,$O44-1,R$14)*$L44+OFFSET('Dist Factors'!$B$15,$K44-1,R$14)*$H44</f>
        <v>-157003.056979229</v>
      </c>
      <c r="S44" s="20"/>
      <c r="T44" s="20">
        <f ca="1">OFFSET('Dist Factors'!$B$15,$O44-1,T$14)*$L44+OFFSET('Dist Factors'!$B$15,$K44-1,T$14)*$H44</f>
        <v>-955620.25743901846</v>
      </c>
      <c r="U44" s="20"/>
      <c r="V44" s="20">
        <f ca="1">OFFSET('Dist Factors'!$B$15,$O44-1,V$14)*$L44+OFFSET('Dist Factors'!$B$15,$K44-1,V$14)*$H44</f>
        <v>0</v>
      </c>
      <c r="W44" s="9"/>
      <c r="X44" s="20">
        <f ca="1">OFFSET('Dist Factors'!$B$15,$O44-1,X$14)*$L44+OFFSET('Dist Factors'!$B$15,$K44-1,X$14)*$H44</f>
        <v>-1231117.6518603798</v>
      </c>
      <c r="Y44" s="9"/>
      <c r="Z44" s="20">
        <f ca="1">OFFSET('Dist Factors'!$B$15,$O44-1,Z$14)*$L44+OFFSET('Dist Factors'!$B$15,$K44-1,Z$14)*$H44</f>
        <v>0</v>
      </c>
      <c r="AA44" s="20"/>
      <c r="AB44" s="20">
        <f ca="1">OFFSET('Dist Factors'!$B$15,$O44-1,AB$14)*$L44+OFFSET('Dist Factors'!$B$15,$K44-1,AB$14)*$H44</f>
        <v>0</v>
      </c>
      <c r="AC44" s="9"/>
      <c r="AD44" s="20">
        <f ca="1">OFFSET('Dist Factors'!$B$15,$O44-1,AD$14)*$L44+OFFSET('Dist Factors'!$B$15,$K44-1,AD$14)*$H44</f>
        <v>0</v>
      </c>
      <c r="AE44" s="9"/>
      <c r="AF44" s="20">
        <f ca="1">OFFSET('Dist Factors'!$B$15,$O44-1,AF$14)*$L44+OFFSET('Dist Factors'!$B$15,$K44-1,AF$14)*$H44</f>
        <v>0</v>
      </c>
      <c r="AG44" s="9"/>
      <c r="AH44" s="20">
        <f ca="1">OFFSET('Dist Factors'!$B$15,$O44-1,AH$14)*$L44+OFFSET('Dist Factors'!$B$15,$K44-1,AH$14)*$H44</f>
        <v>0</v>
      </c>
      <c r="AI44" s="9"/>
      <c r="AJ44" s="9">
        <f t="shared" ca="1" si="18"/>
        <v>-3164609.4882055465</v>
      </c>
      <c r="AL44" s="25" t="str">
        <f t="shared" ca="1" si="19"/>
        <v/>
      </c>
      <c r="AM44" s="49"/>
      <c r="AO44" s="37"/>
      <c r="AR44" s="48"/>
      <c r="AT44" s="48"/>
      <c r="AV44" s="48"/>
      <c r="AX44" s="48"/>
      <c r="AZ44" s="48"/>
      <c r="BB44" s="48"/>
      <c r="BD44" s="48"/>
      <c r="BF44" s="48"/>
      <c r="BH44" s="48"/>
      <c r="BJ44" s="48"/>
      <c r="BL44" s="48"/>
    </row>
    <row r="45" spans="2:64" ht="13" x14ac:dyDescent="0.3">
      <c r="B45" s="18">
        <f t="shared" si="20"/>
        <v>22</v>
      </c>
      <c r="D45" s="1" t="s">
        <v>43</v>
      </c>
      <c r="F45" s="48">
        <f ca="1">Function!V45</f>
        <v>-7071.2809398120935</v>
      </c>
      <c r="H45" s="48"/>
      <c r="K45" s="70">
        <f>_xlfn.IFNA(MATCH(J45,'Dist Factors'!$B$15:$B$431,0),0)</f>
        <v>0</v>
      </c>
      <c r="L45" s="48">
        <f t="shared" ca="1" si="21"/>
        <v>-7071.2809398120935</v>
      </c>
      <c r="N45" s="18" t="s">
        <v>294</v>
      </c>
      <c r="O45" s="70">
        <f>_xlfn.IFNA(MATCH(N45,'Dist Factors'!$B$15:$B$431,0),0)</f>
        <v>14</v>
      </c>
      <c r="P45" s="20">
        <f ca="1">OFFSET('Dist Factors'!$B$15,$O45-1,P$14)*$L45+OFFSET('Dist Factors'!$B$15,$K45-1,P$14)*$H45</f>
        <v>0</v>
      </c>
      <c r="R45" s="20">
        <f ca="1">OFFSET('Dist Factors'!$B$15,$O45-1,R$14)*$L45+OFFSET('Dist Factors'!$B$15,$K45-1,R$14)*$H45</f>
        <v>0</v>
      </c>
      <c r="S45" s="20"/>
      <c r="T45" s="20">
        <f ca="1">OFFSET('Dist Factors'!$B$15,$O45-1,T$14)*$L45+OFFSET('Dist Factors'!$B$15,$K45-1,T$14)*$H45</f>
        <v>0</v>
      </c>
      <c r="U45" s="20"/>
      <c r="V45" s="20">
        <f ca="1">OFFSET('Dist Factors'!$B$15,$O45-1,V$14)*$L45+OFFSET('Dist Factors'!$B$15,$K45-1,V$14)*$H45</f>
        <v>0</v>
      </c>
      <c r="W45" s="9"/>
      <c r="X45" s="20">
        <f ca="1">OFFSET('Dist Factors'!$B$15,$O45-1,X$14)*$L45+OFFSET('Dist Factors'!$B$15,$K45-1,X$14)*$H45</f>
        <v>0</v>
      </c>
      <c r="Y45" s="9"/>
      <c r="Z45" s="20">
        <f ca="1">OFFSET('Dist Factors'!$B$15,$O45-1,Z$14)*$L45+OFFSET('Dist Factors'!$B$15,$K45-1,Z$14)*$H45</f>
        <v>0</v>
      </c>
      <c r="AA45" s="20"/>
      <c r="AB45" s="20">
        <f ca="1">OFFSET('Dist Factors'!$B$15,$O45-1,AB$14)*$L45+OFFSET('Dist Factors'!$B$15,$K45-1,AB$14)*$H45</f>
        <v>0</v>
      </c>
      <c r="AC45" s="9"/>
      <c r="AD45" s="20">
        <f ca="1">OFFSET('Dist Factors'!$B$15,$O45-1,AD$14)*$L45+OFFSET('Dist Factors'!$B$15,$K45-1,AD$14)*$H45</f>
        <v>-7071.2809398120935</v>
      </c>
      <c r="AE45" s="9"/>
      <c r="AF45" s="20">
        <f ca="1">OFFSET('Dist Factors'!$B$15,$O45-1,AF$14)*$L45+OFFSET('Dist Factors'!$B$15,$K45-1,AF$14)*$H45</f>
        <v>0</v>
      </c>
      <c r="AG45" s="9"/>
      <c r="AH45" s="20">
        <f ca="1">OFFSET('Dist Factors'!$B$15,$O45-1,AH$14)*$L45+OFFSET('Dist Factors'!$B$15,$K45-1,AH$14)*$H45</f>
        <v>0</v>
      </c>
      <c r="AI45" s="9"/>
      <c r="AJ45" s="9">
        <f t="shared" ca="1" si="18"/>
        <v>-7071.2809398120935</v>
      </c>
      <c r="AL45" s="25" t="str">
        <f t="shared" ca="1" si="19"/>
        <v/>
      </c>
      <c r="AM45" s="49"/>
      <c r="AO45" s="37"/>
      <c r="AR45" s="48"/>
      <c r="AT45" s="48"/>
      <c r="AV45" s="48"/>
      <c r="AX45" s="48"/>
      <c r="AZ45" s="48"/>
      <c r="BB45" s="48"/>
      <c r="BD45" s="48"/>
      <c r="BF45" s="48"/>
      <c r="BH45" s="48"/>
      <c r="BJ45" s="48"/>
      <c r="BL45" s="48"/>
    </row>
    <row r="46" spans="2:64" ht="13" x14ac:dyDescent="0.3">
      <c r="B46" s="18">
        <f t="shared" si="20"/>
        <v>23</v>
      </c>
      <c r="D46" s="1" t="s">
        <v>45</v>
      </c>
      <c r="F46" s="48">
        <f ca="1">Function!V46</f>
        <v>0</v>
      </c>
      <c r="H46" s="48"/>
      <c r="K46" s="70">
        <f>_xlfn.IFNA(MATCH(J46,'Dist Factors'!$B$15:$B$431,0),0)</f>
        <v>0</v>
      </c>
      <c r="L46" s="48">
        <f t="shared" ca="1" si="21"/>
        <v>0</v>
      </c>
      <c r="O46" s="70">
        <f>_xlfn.IFNA(MATCH(N46,'Dist Factors'!$B$15:$B$431,0),0)</f>
        <v>0</v>
      </c>
      <c r="P46" s="20">
        <f ca="1">OFFSET('Dist Factors'!$B$15,$O46-1,P$14)*$L46+OFFSET('Dist Factors'!$B$15,$K46-1,P$14)*$H46</f>
        <v>0</v>
      </c>
      <c r="R46" s="20">
        <f ca="1">OFFSET('Dist Factors'!$B$15,$O46-1,R$14)*$L46+OFFSET('Dist Factors'!$B$15,$K46-1,R$14)*$H46</f>
        <v>0</v>
      </c>
      <c r="S46" s="20"/>
      <c r="T46" s="20">
        <f ca="1">OFFSET('Dist Factors'!$B$15,$O46-1,T$14)*$L46+OFFSET('Dist Factors'!$B$15,$K46-1,T$14)*$H46</f>
        <v>0</v>
      </c>
      <c r="U46" s="20"/>
      <c r="V46" s="20">
        <f ca="1">OFFSET('Dist Factors'!$B$15,$O46-1,V$14)*$L46+OFFSET('Dist Factors'!$B$15,$K46-1,V$14)*$H46</f>
        <v>0</v>
      </c>
      <c r="W46" s="9"/>
      <c r="X46" s="20">
        <f ca="1">OFFSET('Dist Factors'!$B$15,$O46-1,X$14)*$L46+OFFSET('Dist Factors'!$B$15,$K46-1,X$14)*$H46</f>
        <v>0</v>
      </c>
      <c r="Y46" s="9"/>
      <c r="Z46" s="20">
        <f ca="1">OFFSET('Dist Factors'!$B$15,$O46-1,Z$14)*$L46+OFFSET('Dist Factors'!$B$15,$K46-1,Z$14)*$H46</f>
        <v>0</v>
      </c>
      <c r="AA46" s="20"/>
      <c r="AB46" s="20">
        <f ca="1">OFFSET('Dist Factors'!$B$15,$O46-1,AB$14)*$L46+OFFSET('Dist Factors'!$B$15,$K46-1,AB$14)*$H46</f>
        <v>0</v>
      </c>
      <c r="AC46" s="9"/>
      <c r="AD46" s="20">
        <f ca="1">OFFSET('Dist Factors'!$B$15,$O46-1,AD$14)*$L46+OFFSET('Dist Factors'!$B$15,$K46-1,AD$14)*$H46</f>
        <v>0</v>
      </c>
      <c r="AE46" s="9"/>
      <c r="AF46" s="20">
        <f ca="1">OFFSET('Dist Factors'!$B$15,$O46-1,AF$14)*$L46+OFFSET('Dist Factors'!$B$15,$K46-1,AF$14)*$H46</f>
        <v>0</v>
      </c>
      <c r="AG46" s="9"/>
      <c r="AH46" s="20">
        <f ca="1">OFFSET('Dist Factors'!$B$15,$O46-1,AH$14)*$L46+OFFSET('Dist Factors'!$B$15,$K46-1,AH$14)*$H46</f>
        <v>0</v>
      </c>
      <c r="AI46" s="9"/>
      <c r="AJ46" s="9">
        <f t="shared" ca="1" si="18"/>
        <v>0</v>
      </c>
      <c r="AL46" s="25" t="str">
        <f t="shared" ca="1" si="19"/>
        <v/>
      </c>
      <c r="AM46" s="49"/>
      <c r="AO46" s="37"/>
      <c r="AR46" s="48"/>
      <c r="AT46" s="48"/>
      <c r="AV46" s="48"/>
      <c r="AX46" s="48"/>
      <c r="AZ46" s="48"/>
      <c r="BB46" s="48"/>
      <c r="BD46" s="48"/>
      <c r="BF46" s="48"/>
      <c r="BH46" s="48"/>
      <c r="BJ46" s="48"/>
      <c r="BL46" s="48"/>
    </row>
    <row r="47" spans="2:64" ht="13" x14ac:dyDescent="0.3">
      <c r="B47" s="18">
        <f t="shared" si="20"/>
        <v>24</v>
      </c>
      <c r="D47" s="1" t="s">
        <v>47</v>
      </c>
      <c r="F47" s="48">
        <f ca="1">Function!V47</f>
        <v>0</v>
      </c>
      <c r="H47" s="48"/>
      <c r="K47" s="70">
        <f>_xlfn.IFNA(MATCH(J47,'Dist Factors'!$B$15:$B$431,0),0)</f>
        <v>0</v>
      </c>
      <c r="L47" s="48">
        <f t="shared" ca="1" si="21"/>
        <v>0</v>
      </c>
      <c r="O47" s="70">
        <f>_xlfn.IFNA(MATCH(N47,'Dist Factors'!$B$15:$B$431,0),0)</f>
        <v>0</v>
      </c>
      <c r="P47" s="20">
        <f ca="1">OFFSET('Dist Factors'!$B$15,$O47-1,P$14)*$L47+OFFSET('Dist Factors'!$B$15,$K47-1,P$14)*$H47</f>
        <v>0</v>
      </c>
      <c r="R47" s="20">
        <f ca="1">OFFSET('Dist Factors'!$B$15,$O47-1,R$14)*$L47+OFFSET('Dist Factors'!$B$15,$K47-1,R$14)*$H47</f>
        <v>0</v>
      </c>
      <c r="S47" s="20"/>
      <c r="T47" s="20">
        <f ca="1">OFFSET('Dist Factors'!$B$15,$O47-1,T$14)*$L47+OFFSET('Dist Factors'!$B$15,$K47-1,T$14)*$H47</f>
        <v>0</v>
      </c>
      <c r="U47" s="20"/>
      <c r="V47" s="20">
        <f ca="1">OFFSET('Dist Factors'!$B$15,$O47-1,V$14)*$L47+OFFSET('Dist Factors'!$B$15,$K47-1,V$14)*$H47</f>
        <v>0</v>
      </c>
      <c r="W47" s="9"/>
      <c r="X47" s="20">
        <f ca="1">OFFSET('Dist Factors'!$B$15,$O47-1,X$14)*$L47+OFFSET('Dist Factors'!$B$15,$K47-1,X$14)*$H47</f>
        <v>0</v>
      </c>
      <c r="Y47" s="9"/>
      <c r="Z47" s="20">
        <f ca="1">OFFSET('Dist Factors'!$B$15,$O47-1,Z$14)*$L47+OFFSET('Dist Factors'!$B$15,$K47-1,Z$14)*$H47</f>
        <v>0</v>
      </c>
      <c r="AA47" s="20"/>
      <c r="AB47" s="20">
        <f ca="1">OFFSET('Dist Factors'!$B$15,$O47-1,AB$14)*$L47+OFFSET('Dist Factors'!$B$15,$K47-1,AB$14)*$H47</f>
        <v>0</v>
      </c>
      <c r="AC47" s="9"/>
      <c r="AD47" s="20">
        <f ca="1">OFFSET('Dist Factors'!$B$15,$O47-1,AD$14)*$L47+OFFSET('Dist Factors'!$B$15,$K47-1,AD$14)*$H47</f>
        <v>0</v>
      </c>
      <c r="AE47" s="9"/>
      <c r="AF47" s="20">
        <f ca="1">OFFSET('Dist Factors'!$B$15,$O47-1,AF$14)*$L47+OFFSET('Dist Factors'!$B$15,$K47-1,AF$14)*$H47</f>
        <v>0</v>
      </c>
      <c r="AG47" s="9"/>
      <c r="AH47" s="20">
        <f ca="1">OFFSET('Dist Factors'!$B$15,$O47-1,AH$14)*$L47+OFFSET('Dist Factors'!$B$15,$K47-1,AH$14)*$H47</f>
        <v>0</v>
      </c>
      <c r="AI47" s="9"/>
      <c r="AJ47" s="9">
        <f t="shared" ca="1" si="18"/>
        <v>0</v>
      </c>
      <c r="AL47" s="25" t="str">
        <f t="shared" ca="1" si="19"/>
        <v/>
      </c>
      <c r="AM47" s="49"/>
      <c r="AO47" s="37"/>
      <c r="AR47" s="48"/>
      <c r="AT47" s="48"/>
      <c r="AV47" s="48"/>
      <c r="AX47" s="48"/>
      <c r="AZ47" s="48"/>
      <c r="BB47" s="48"/>
      <c r="BD47" s="48"/>
      <c r="BF47" s="48"/>
      <c r="BH47" s="48"/>
      <c r="BJ47" s="48"/>
      <c r="BL47" s="48"/>
    </row>
    <row r="48" spans="2:64" ht="13" x14ac:dyDescent="0.3">
      <c r="B48" s="18">
        <f t="shared" si="20"/>
        <v>25</v>
      </c>
      <c r="D48" s="1" t="s">
        <v>48</v>
      </c>
      <c r="F48" s="48">
        <f ca="1">Function!V48</f>
        <v>0</v>
      </c>
      <c r="H48" s="48"/>
      <c r="K48" s="70">
        <f>_xlfn.IFNA(MATCH(J48,'Dist Factors'!$B$15:$B$431,0),0)</f>
        <v>0</v>
      </c>
      <c r="L48" s="48">
        <f t="shared" ca="1" si="21"/>
        <v>0</v>
      </c>
      <c r="O48" s="70">
        <f>_xlfn.IFNA(MATCH(N48,'Dist Factors'!$B$15:$B$431,0),0)</f>
        <v>0</v>
      </c>
      <c r="P48" s="20">
        <f ca="1">OFFSET('Dist Factors'!$B$15,$O48-1,P$14)*$L48+OFFSET('Dist Factors'!$B$15,$K48-1,P$14)*$H48</f>
        <v>0</v>
      </c>
      <c r="R48" s="20">
        <f ca="1">OFFSET('Dist Factors'!$B$15,$O48-1,R$14)*$L48+OFFSET('Dist Factors'!$B$15,$K48-1,R$14)*$H48</f>
        <v>0</v>
      </c>
      <c r="S48" s="20"/>
      <c r="T48" s="20">
        <f ca="1">OFFSET('Dist Factors'!$B$15,$O48-1,T$14)*$L48+OFFSET('Dist Factors'!$B$15,$K48-1,T$14)*$H48</f>
        <v>0</v>
      </c>
      <c r="U48" s="20"/>
      <c r="V48" s="20">
        <f ca="1">OFFSET('Dist Factors'!$B$15,$O48-1,V$14)*$L48+OFFSET('Dist Factors'!$B$15,$K48-1,V$14)*$H48</f>
        <v>0</v>
      </c>
      <c r="W48" s="9"/>
      <c r="X48" s="20">
        <f ca="1">OFFSET('Dist Factors'!$B$15,$O48-1,X$14)*$L48+OFFSET('Dist Factors'!$B$15,$K48-1,X$14)*$H48</f>
        <v>0</v>
      </c>
      <c r="Y48" s="9"/>
      <c r="Z48" s="20">
        <f ca="1">OFFSET('Dist Factors'!$B$15,$O48-1,Z$14)*$L48+OFFSET('Dist Factors'!$B$15,$K48-1,Z$14)*$H48</f>
        <v>0</v>
      </c>
      <c r="AA48" s="20"/>
      <c r="AB48" s="20">
        <f ca="1">OFFSET('Dist Factors'!$B$15,$O48-1,AB$14)*$L48+OFFSET('Dist Factors'!$B$15,$K48-1,AB$14)*$H48</f>
        <v>0</v>
      </c>
      <c r="AC48" s="9"/>
      <c r="AD48" s="20">
        <f ca="1">OFFSET('Dist Factors'!$B$15,$O48-1,AD$14)*$L48+OFFSET('Dist Factors'!$B$15,$K48-1,AD$14)*$H48</f>
        <v>0</v>
      </c>
      <c r="AE48" s="9"/>
      <c r="AF48" s="20">
        <f ca="1">OFFSET('Dist Factors'!$B$15,$O48-1,AF$14)*$L48+OFFSET('Dist Factors'!$B$15,$K48-1,AF$14)*$H48</f>
        <v>0</v>
      </c>
      <c r="AG48" s="9"/>
      <c r="AH48" s="20">
        <f ca="1">OFFSET('Dist Factors'!$B$15,$O48-1,AH$14)*$L48+OFFSET('Dist Factors'!$B$15,$K48-1,AH$14)*$H48</f>
        <v>0</v>
      </c>
      <c r="AI48" s="9"/>
      <c r="AJ48" s="9">
        <f t="shared" ca="1" si="18"/>
        <v>0</v>
      </c>
      <c r="AL48" s="25" t="str">
        <f t="shared" ca="1" si="19"/>
        <v/>
      </c>
      <c r="AM48" s="49"/>
      <c r="AO48" s="37"/>
      <c r="AR48" s="48"/>
      <c r="AT48" s="48"/>
      <c r="AV48" s="48"/>
      <c r="AX48" s="48"/>
      <c r="AZ48" s="48"/>
      <c r="BB48" s="48"/>
      <c r="BD48" s="48"/>
      <c r="BF48" s="48"/>
      <c r="BH48" s="48"/>
      <c r="BJ48" s="48"/>
      <c r="BL48" s="48"/>
    </row>
    <row r="49" spans="2:64" ht="13" x14ac:dyDescent="0.3">
      <c r="B49" s="18">
        <f t="shared" si="20"/>
        <v>26</v>
      </c>
      <c r="D49" s="1" t="s">
        <v>49</v>
      </c>
      <c r="F49" s="48">
        <f ca="1">Function!V49</f>
        <v>-2151619.3783299127</v>
      </c>
      <c r="H49" s="48"/>
      <c r="K49" s="70">
        <f>_xlfn.IFNA(MATCH(J49,'Dist Factors'!$B$15:$B$431,0),0)</f>
        <v>0</v>
      </c>
      <c r="L49" s="48">
        <f t="shared" ca="1" si="21"/>
        <v>-2151619.3783299127</v>
      </c>
      <c r="N49" s="18" t="s">
        <v>295</v>
      </c>
      <c r="O49" s="70">
        <f>_xlfn.IFNA(MATCH(N49,'Dist Factors'!$B$15:$B$431,0),0)</f>
        <v>8</v>
      </c>
      <c r="P49" s="20">
        <f ca="1">OFFSET('Dist Factors'!$B$15,$O49-1,P$14)*$L49+OFFSET('Dist Factors'!$B$15,$K49-1,P$14)*$H49</f>
        <v>0</v>
      </c>
      <c r="R49" s="20">
        <f ca="1">OFFSET('Dist Factors'!$B$15,$O49-1,R$14)*$L49+OFFSET('Dist Factors'!$B$15,$K49-1,R$14)*$H49</f>
        <v>0</v>
      </c>
      <c r="S49" s="20"/>
      <c r="T49" s="20">
        <f ca="1">OFFSET('Dist Factors'!$B$15,$O49-1,T$14)*$L49+OFFSET('Dist Factors'!$B$15,$K49-1,T$14)*$H49</f>
        <v>0</v>
      </c>
      <c r="U49" s="20"/>
      <c r="V49" s="20">
        <f ca="1">OFFSET('Dist Factors'!$B$15,$O49-1,V$14)*$L49+OFFSET('Dist Factors'!$B$15,$K49-1,V$14)*$H49</f>
        <v>0</v>
      </c>
      <c r="W49" s="9"/>
      <c r="X49" s="20">
        <f ca="1">OFFSET('Dist Factors'!$B$15,$O49-1,X$14)*$L49+OFFSET('Dist Factors'!$B$15,$K49-1,X$14)*$H49</f>
        <v>0</v>
      </c>
      <c r="Y49" s="9"/>
      <c r="Z49" s="20">
        <f ca="1">OFFSET('Dist Factors'!$B$15,$O49-1,Z$14)*$L49+OFFSET('Dist Factors'!$B$15,$K49-1,Z$14)*$H49</f>
        <v>-2151619.3783299127</v>
      </c>
      <c r="AA49" s="20"/>
      <c r="AB49" s="20">
        <f ca="1">OFFSET('Dist Factors'!$B$15,$O49-1,AB$14)*$L49+OFFSET('Dist Factors'!$B$15,$K49-1,AB$14)*$H49</f>
        <v>0</v>
      </c>
      <c r="AC49" s="9"/>
      <c r="AD49" s="20">
        <f ca="1">OFFSET('Dist Factors'!$B$15,$O49-1,AD$14)*$L49+OFFSET('Dist Factors'!$B$15,$K49-1,AD$14)*$H49</f>
        <v>0</v>
      </c>
      <c r="AE49" s="9"/>
      <c r="AF49" s="20">
        <f ca="1">OFFSET('Dist Factors'!$B$15,$O49-1,AF$14)*$L49+OFFSET('Dist Factors'!$B$15,$K49-1,AF$14)*$H49</f>
        <v>0</v>
      </c>
      <c r="AG49" s="9"/>
      <c r="AH49" s="20">
        <f ca="1">OFFSET('Dist Factors'!$B$15,$O49-1,AH$14)*$L49+OFFSET('Dist Factors'!$B$15,$K49-1,AH$14)*$H49</f>
        <v>0</v>
      </c>
      <c r="AI49" s="9"/>
      <c r="AJ49" s="9">
        <f t="shared" ca="1" si="18"/>
        <v>-2151619.3783299127</v>
      </c>
      <c r="AL49" s="25" t="str">
        <f t="shared" ca="1" si="19"/>
        <v/>
      </c>
      <c r="AM49" s="49"/>
      <c r="AO49" s="37"/>
      <c r="AR49" s="48"/>
      <c r="AT49" s="48"/>
      <c r="AV49" s="48"/>
      <c r="AX49" s="48"/>
      <c r="AZ49" s="48"/>
      <c r="BB49" s="48"/>
      <c r="BD49" s="48"/>
      <c r="BF49" s="48"/>
      <c r="BH49" s="48"/>
      <c r="BJ49" s="48"/>
      <c r="BL49" s="48"/>
    </row>
    <row r="50" spans="2:64" ht="13" x14ac:dyDescent="0.3">
      <c r="B50" s="18">
        <f t="shared" si="20"/>
        <v>27</v>
      </c>
      <c r="D50" s="1" t="s">
        <v>51</v>
      </c>
      <c r="F50" s="48">
        <f ca="1">Function!V50</f>
        <v>-656728.98608636635</v>
      </c>
      <c r="H50" s="48"/>
      <c r="K50" s="70">
        <f>_xlfn.IFNA(MATCH(J50,'Dist Factors'!$B$15:$B$431,0),0)</f>
        <v>0</v>
      </c>
      <c r="L50" s="48">
        <f t="shared" ca="1" si="21"/>
        <v>-656728.98608636635</v>
      </c>
      <c r="N50" s="18" t="s">
        <v>296</v>
      </c>
      <c r="O50" s="70">
        <f>_xlfn.IFNA(MATCH(N50,'Dist Factors'!$B$15:$B$431,0),0)</f>
        <v>5</v>
      </c>
      <c r="P50" s="20">
        <f ca="1">OFFSET('Dist Factors'!$B$15,$O50-1,P$14)*$L50+OFFSET('Dist Factors'!$B$15,$K50-1,P$14)*$H50</f>
        <v>0</v>
      </c>
      <c r="R50" s="20">
        <f ca="1">OFFSET('Dist Factors'!$B$15,$O50-1,R$14)*$L50+OFFSET('Dist Factors'!$B$15,$K50-1,R$14)*$H50</f>
        <v>0</v>
      </c>
      <c r="S50" s="20"/>
      <c r="T50" s="20">
        <f ca="1">OFFSET('Dist Factors'!$B$15,$O50-1,T$14)*$L50+OFFSET('Dist Factors'!$B$15,$K50-1,T$14)*$H50</f>
        <v>0</v>
      </c>
      <c r="U50" s="20"/>
      <c r="V50" s="20">
        <f ca="1">OFFSET('Dist Factors'!$B$15,$O50-1,V$14)*$L50+OFFSET('Dist Factors'!$B$15,$K50-1,V$14)*$H50</f>
        <v>0</v>
      </c>
      <c r="W50" s="9"/>
      <c r="X50" s="20">
        <f ca="1">OFFSET('Dist Factors'!$B$15,$O50-1,X$14)*$L50+OFFSET('Dist Factors'!$B$15,$K50-1,X$14)*$H50</f>
        <v>0</v>
      </c>
      <c r="Y50" s="9"/>
      <c r="Z50" s="20">
        <f ca="1">OFFSET('Dist Factors'!$B$15,$O50-1,Z$14)*$L50+OFFSET('Dist Factors'!$B$15,$K50-1,Z$14)*$H50</f>
        <v>0</v>
      </c>
      <c r="AA50" s="20"/>
      <c r="AB50" s="20">
        <f ca="1">OFFSET('Dist Factors'!$B$15,$O50-1,AB$14)*$L50+OFFSET('Dist Factors'!$B$15,$K50-1,AB$14)*$H50</f>
        <v>-656728.98608636635</v>
      </c>
      <c r="AC50" s="9"/>
      <c r="AD50" s="20">
        <f ca="1">OFFSET('Dist Factors'!$B$15,$O50-1,AD$14)*$L50+OFFSET('Dist Factors'!$B$15,$K50-1,AD$14)*$H50</f>
        <v>0</v>
      </c>
      <c r="AE50" s="9"/>
      <c r="AF50" s="20">
        <f ca="1">OFFSET('Dist Factors'!$B$15,$O50-1,AF$14)*$L50+OFFSET('Dist Factors'!$B$15,$K50-1,AF$14)*$H50</f>
        <v>0</v>
      </c>
      <c r="AG50" s="9"/>
      <c r="AH50" s="20">
        <f ca="1">OFFSET('Dist Factors'!$B$15,$O50-1,AH$14)*$L50+OFFSET('Dist Factors'!$B$15,$K50-1,AH$14)*$H50</f>
        <v>0</v>
      </c>
      <c r="AI50" s="9"/>
      <c r="AJ50" s="9">
        <f t="shared" ca="1" si="18"/>
        <v>-656728.98608636635</v>
      </c>
      <c r="AL50" s="25" t="str">
        <f t="shared" ca="1" si="19"/>
        <v/>
      </c>
      <c r="AM50" s="49"/>
      <c r="AO50" s="37"/>
      <c r="AR50" s="48"/>
      <c r="AT50" s="48"/>
      <c r="AV50" s="48"/>
      <c r="AX50" s="48"/>
      <c r="AZ50" s="48"/>
      <c r="BB50" s="48"/>
      <c r="BD50" s="48"/>
      <c r="BF50" s="48"/>
      <c r="BH50" s="48"/>
      <c r="BJ50" s="48"/>
      <c r="BL50" s="48"/>
    </row>
    <row r="51" spans="2:64" ht="13" x14ac:dyDescent="0.3">
      <c r="B51" s="18">
        <f>B50+1</f>
        <v>28</v>
      </c>
      <c r="D51" s="1" t="s">
        <v>52</v>
      </c>
      <c r="F51" s="48">
        <f ca="1">Function!V51</f>
        <v>-167236.19894237144</v>
      </c>
      <c r="H51" s="48"/>
      <c r="K51" s="70">
        <f>_xlfn.IFNA(MATCH(J51,'Dist Factors'!$B$15:$B$431,0),0)</f>
        <v>0</v>
      </c>
      <c r="L51" s="48">
        <f t="shared" ca="1" si="21"/>
        <v>-167236.19894237144</v>
      </c>
      <c r="N51" s="18" t="s">
        <v>294</v>
      </c>
      <c r="O51" s="70">
        <f>_xlfn.IFNA(MATCH(N51,'Dist Factors'!$B$15:$B$431,0),0)</f>
        <v>14</v>
      </c>
      <c r="P51" s="20">
        <f ca="1">OFFSET('Dist Factors'!$B$15,$O51-1,P$14)*$L51+OFFSET('Dist Factors'!$B$15,$K51-1,P$14)*$H51</f>
        <v>0</v>
      </c>
      <c r="R51" s="20">
        <f ca="1">OFFSET('Dist Factors'!$B$15,$O51-1,R$14)*$L51+OFFSET('Dist Factors'!$B$15,$K51-1,R$14)*$H51</f>
        <v>0</v>
      </c>
      <c r="S51" s="20"/>
      <c r="T51" s="20">
        <f ca="1">OFFSET('Dist Factors'!$B$15,$O51-1,T$14)*$L51+OFFSET('Dist Factors'!$B$15,$K51-1,T$14)*$H51</f>
        <v>0</v>
      </c>
      <c r="U51" s="20"/>
      <c r="V51" s="20">
        <f ca="1">OFFSET('Dist Factors'!$B$15,$O51-1,V$14)*$L51+OFFSET('Dist Factors'!$B$15,$K51-1,V$14)*$H51</f>
        <v>0</v>
      </c>
      <c r="W51" s="9"/>
      <c r="X51" s="20">
        <f ca="1">OFFSET('Dist Factors'!$B$15,$O51-1,X$14)*$L51+OFFSET('Dist Factors'!$B$15,$K51-1,X$14)*$H51</f>
        <v>0</v>
      </c>
      <c r="Y51" s="9"/>
      <c r="Z51" s="20">
        <f ca="1">OFFSET('Dist Factors'!$B$15,$O51-1,Z$14)*$L51+OFFSET('Dist Factors'!$B$15,$K51-1,Z$14)*$H51</f>
        <v>0</v>
      </c>
      <c r="AA51" s="20"/>
      <c r="AB51" s="20">
        <f ca="1">OFFSET('Dist Factors'!$B$15,$O51-1,AB$14)*$L51+OFFSET('Dist Factors'!$B$15,$K51-1,AB$14)*$H51</f>
        <v>0</v>
      </c>
      <c r="AC51" s="9"/>
      <c r="AD51" s="20">
        <f ca="1">OFFSET('Dist Factors'!$B$15,$O51-1,AD$14)*$L51+OFFSET('Dist Factors'!$B$15,$K51-1,AD$14)*$H51</f>
        <v>-167236.19894237144</v>
      </c>
      <c r="AE51" s="9"/>
      <c r="AF51" s="20">
        <f ca="1">OFFSET('Dist Factors'!$B$15,$O51-1,AF$14)*$L51+OFFSET('Dist Factors'!$B$15,$K51-1,AF$14)*$H51</f>
        <v>0</v>
      </c>
      <c r="AG51" s="9"/>
      <c r="AH51" s="20">
        <f ca="1">OFFSET('Dist Factors'!$B$15,$O51-1,AH$14)*$L51+OFFSET('Dist Factors'!$B$15,$K51-1,AH$14)*$H51</f>
        <v>0</v>
      </c>
      <c r="AI51" s="9"/>
      <c r="AJ51" s="9">
        <f t="shared" ca="1" si="18"/>
        <v>-167236.19894237144</v>
      </c>
      <c r="AL51" s="25" t="str">
        <f t="shared" ca="1" si="19"/>
        <v/>
      </c>
      <c r="AM51" s="49"/>
      <c r="AO51" s="37"/>
      <c r="AR51" s="48"/>
      <c r="AT51" s="48"/>
      <c r="AV51" s="48"/>
      <c r="AX51" s="48"/>
      <c r="AZ51" s="48"/>
      <c r="BB51" s="48"/>
      <c r="BD51" s="48"/>
      <c r="BF51" s="48"/>
      <c r="BH51" s="48"/>
      <c r="BJ51" s="48"/>
      <c r="BL51" s="48"/>
    </row>
    <row r="52" spans="2:64" ht="13" x14ac:dyDescent="0.3">
      <c r="B52" s="18">
        <f>B51+1</f>
        <v>29</v>
      </c>
      <c r="D52" s="1" t="s">
        <v>53</v>
      </c>
      <c r="F52" s="48">
        <f ca="1">Function!V52</f>
        <v>0</v>
      </c>
      <c r="H52" s="48"/>
      <c r="K52" s="70">
        <f>_xlfn.IFNA(MATCH(J52,'Dist Factors'!$B$15:$B$431,0),0)</f>
        <v>0</v>
      </c>
      <c r="L52" s="48">
        <f t="shared" ca="1" si="21"/>
        <v>0</v>
      </c>
      <c r="N52" s="18" t="s">
        <v>297</v>
      </c>
      <c r="O52" s="70">
        <f>_xlfn.IFNA(MATCH(N52,'Dist Factors'!$B$15:$B$431,0),0)</f>
        <v>32</v>
      </c>
      <c r="P52" s="20">
        <f ca="1">OFFSET('Dist Factors'!$B$15,$O52-1,P$14)*$L52+OFFSET('Dist Factors'!$B$15,$K52-1,P$14)*$H52</f>
        <v>0</v>
      </c>
      <c r="R52" s="20">
        <f ca="1">OFFSET('Dist Factors'!$B$15,$O52-1,R$14)*$L52+OFFSET('Dist Factors'!$B$15,$K52-1,R$14)*$H52</f>
        <v>0</v>
      </c>
      <c r="S52" s="20"/>
      <c r="T52" s="20">
        <f ca="1">OFFSET('Dist Factors'!$B$15,$O52-1,T$14)*$L52+OFFSET('Dist Factors'!$B$15,$K52-1,T$14)*$H52</f>
        <v>0</v>
      </c>
      <c r="U52" s="20"/>
      <c r="V52" s="20">
        <f ca="1">OFFSET('Dist Factors'!$B$15,$O52-1,V$14)*$L52+OFFSET('Dist Factors'!$B$15,$K52-1,V$14)*$H52</f>
        <v>0</v>
      </c>
      <c r="W52" s="9"/>
      <c r="X52" s="20">
        <f ca="1">OFFSET('Dist Factors'!$B$15,$O52-1,X$14)*$L52+OFFSET('Dist Factors'!$B$15,$K52-1,X$14)*$H52</f>
        <v>0</v>
      </c>
      <c r="Y52" s="9"/>
      <c r="Z52" s="20">
        <f ca="1">OFFSET('Dist Factors'!$B$15,$O52-1,Z$14)*$L52+OFFSET('Dist Factors'!$B$15,$K52-1,Z$14)*$H52</f>
        <v>0</v>
      </c>
      <c r="AA52" s="20"/>
      <c r="AB52" s="20">
        <f ca="1">OFFSET('Dist Factors'!$B$15,$O52-1,AB$14)*$L52+OFFSET('Dist Factors'!$B$15,$K52-1,AB$14)*$H52</f>
        <v>0</v>
      </c>
      <c r="AC52" s="9"/>
      <c r="AD52" s="20">
        <f ca="1">OFFSET('Dist Factors'!$B$15,$O52-1,AD$14)*$L52+OFFSET('Dist Factors'!$B$15,$K52-1,AD$14)*$H52</f>
        <v>0</v>
      </c>
      <c r="AE52" s="9"/>
      <c r="AF52" s="20">
        <f ca="1">OFFSET('Dist Factors'!$B$15,$O52-1,AF$14)*$L52+OFFSET('Dist Factors'!$B$15,$K52-1,AF$14)*$H52</f>
        <v>0</v>
      </c>
      <c r="AG52" s="9"/>
      <c r="AH52" s="20">
        <f ca="1">OFFSET('Dist Factors'!$B$15,$O52-1,AH$14)*$L52+OFFSET('Dist Factors'!$B$15,$K52-1,AH$14)*$H52</f>
        <v>0</v>
      </c>
      <c r="AI52" s="9"/>
      <c r="AJ52" s="9">
        <f t="shared" ca="1" si="18"/>
        <v>0</v>
      </c>
      <c r="AL52" s="25" t="str">
        <f t="shared" ca="1" si="19"/>
        <v/>
      </c>
      <c r="AM52" s="49"/>
      <c r="AO52" s="37"/>
      <c r="AR52" s="48"/>
      <c r="AT52" s="48"/>
      <c r="AV52" s="48"/>
      <c r="AX52" s="48"/>
      <c r="AZ52" s="48"/>
      <c r="BB52" s="48"/>
      <c r="BD52" s="48"/>
      <c r="BF52" s="48"/>
      <c r="BH52" s="48"/>
      <c r="BJ52" s="48"/>
      <c r="BL52" s="48"/>
    </row>
    <row r="53" spans="2:64" ht="13" x14ac:dyDescent="0.3">
      <c r="B53" s="18">
        <f t="shared" si="20"/>
        <v>30</v>
      </c>
      <c r="D53" s="1" t="s">
        <v>65</v>
      </c>
      <c r="F53" s="40">
        <f ca="1">SUM(F40:F52)</f>
        <v>-6647041.7818231182</v>
      </c>
      <c r="H53" s="40">
        <f>SUM(H40:H52)</f>
        <v>0</v>
      </c>
      <c r="L53" s="40">
        <f ca="1">SUM(L40:L52)</f>
        <v>-6647041.7818231182</v>
      </c>
      <c r="P53" s="11">
        <f ca="1">SUM(P40:P52)</f>
        <v>-1014077.7048140973</v>
      </c>
      <c r="Q53" s="12"/>
      <c r="R53" s="11">
        <f ca="1">SUM(R40:R52)</f>
        <v>-193957.12640625285</v>
      </c>
      <c r="S53" s="13"/>
      <c r="T53" s="11">
        <f ca="1">SUM(T40:T52)</f>
        <v>-1180546.1793842441</v>
      </c>
      <c r="U53" s="13"/>
      <c r="V53" s="11">
        <f ca="1">SUM(V40:V52)</f>
        <v>0</v>
      </c>
      <c r="W53" s="13"/>
      <c r="X53" s="11">
        <f ca="1">SUM(X40:X52)</f>
        <v>-1275804.9269200608</v>
      </c>
      <c r="Y53" s="13"/>
      <c r="Z53" s="11">
        <f ca="1">SUM(Z40:Z52)</f>
        <v>-2151619.3783299127</v>
      </c>
      <c r="AA53" s="13"/>
      <c r="AB53" s="11">
        <f ca="1">SUM(AB40:AB52)</f>
        <v>-656728.98608636635</v>
      </c>
      <c r="AC53" s="13"/>
      <c r="AD53" s="11">
        <f ca="1">SUM(AD40:AD52)</f>
        <v>-174307.47988218354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8"/>
        <v>-6647041.7818231182</v>
      </c>
      <c r="AK53" s="8"/>
      <c r="AL53" s="25" t="str">
        <f t="shared" ca="1" si="19"/>
        <v/>
      </c>
      <c r="AM53" s="49"/>
      <c r="AO53" s="37"/>
      <c r="AR53" s="37"/>
      <c r="AT53" s="37"/>
      <c r="AV53" s="37"/>
      <c r="AX53" s="37"/>
      <c r="AZ53" s="37"/>
      <c r="BB53" s="37"/>
      <c r="BD53" s="37"/>
      <c r="BF53" s="37"/>
      <c r="BH53" s="37"/>
      <c r="BJ53" s="37"/>
      <c r="BL53" s="37"/>
    </row>
    <row r="54" spans="2:64" ht="13" x14ac:dyDescent="0.3">
      <c r="AJ54" s="8"/>
      <c r="AL54" s="25" t="str">
        <f t="shared" si="19"/>
        <v/>
      </c>
      <c r="AM54" s="49"/>
    </row>
    <row r="55" spans="2:64" ht="13" x14ac:dyDescent="0.3">
      <c r="B55" s="18">
        <f>B53+1</f>
        <v>31</v>
      </c>
      <c r="D55" s="1" t="s">
        <v>56</v>
      </c>
      <c r="F55" s="48">
        <f ca="1">Function!V55</f>
        <v>-339597.40146953578</v>
      </c>
      <c r="H55" s="48"/>
      <c r="K55" s="70">
        <f>_xlfn.IFNA(MATCH(J55,'Dist Factors'!$B$15:$B$431,0),0)</f>
        <v>0</v>
      </c>
      <c r="L55" s="48">
        <f t="shared" ref="L55" ca="1" si="22">F55-H55</f>
        <v>-339597.40146953578</v>
      </c>
      <c r="N55" s="18" t="s">
        <v>298</v>
      </c>
      <c r="O55" s="70">
        <f>_xlfn.IFNA(MATCH(N55,'Dist Factors'!$B$15:$B$431,0),0)</f>
        <v>26</v>
      </c>
      <c r="P55" s="20">
        <f ca="1">OFFSET('Dist Factors'!$B$15,$O55-1,P$14)*$L55+OFFSET('Dist Factors'!$B$15,$K55-1,P$14)*$H55</f>
        <v>-44561.051227730444</v>
      </c>
      <c r="R55" s="20">
        <f ca="1">OFFSET('Dist Factors'!$B$15,$O55-1,R$14)*$L55+OFFSET('Dist Factors'!$B$15,$K55-1,R$14)*$H55</f>
        <v>-8522.9498733106066</v>
      </c>
      <c r="S55" s="20"/>
      <c r="T55" s="20">
        <f ca="1">OFFSET('Dist Factors'!$B$15,$O55-1,T$14)*$L55+OFFSET('Dist Factors'!$B$15,$K55-1,T$14)*$H55</f>
        <v>-51876.082598509216</v>
      </c>
      <c r="U55" s="20"/>
      <c r="V55" s="20">
        <f ca="1">OFFSET('Dist Factors'!$B$15,$O55-1,V$14)*$L55+OFFSET('Dist Factors'!$B$15,$K55-1,V$14)*$H55</f>
        <v>-14145.573581777835</v>
      </c>
      <c r="W55" s="9"/>
      <c r="X55" s="20">
        <f ca="1">OFFSET('Dist Factors'!$B$15,$O55-1,X$14)*$L55+OFFSET('Dist Factors'!$B$15,$K55-1,X$14)*$H55</f>
        <v>-54922.883045563518</v>
      </c>
      <c r="Y55" s="9"/>
      <c r="Z55" s="20">
        <f ca="1">OFFSET('Dist Factors'!$B$15,$O55-1,Z$14)*$L55+OFFSET('Dist Factors'!$B$15,$K55-1,Z$14)*$H55</f>
        <v>-83393.211794677627</v>
      </c>
      <c r="AA55" s="20"/>
      <c r="AB55" s="20">
        <f ca="1">OFFSET('Dist Factors'!$B$15,$O55-1,AB$14)*$L55+OFFSET('Dist Factors'!$B$15,$K55-1,AB$14)*$H55</f>
        <v>-29974.636867731275</v>
      </c>
      <c r="AC55" s="9"/>
      <c r="AD55" s="20">
        <f ca="1">OFFSET('Dist Factors'!$B$15,$O55-1,AD$14)*$L55+OFFSET('Dist Factors'!$B$15,$K55-1,AD$14)*$H55</f>
        <v>-7351.1715194719727</v>
      </c>
      <c r="AE55" s="9"/>
      <c r="AF55" s="20">
        <f ca="1">OFFSET('Dist Factors'!$B$15,$O55-1,AF$14)*$L55+OFFSET('Dist Factors'!$B$15,$K55-1,AF$14)*$H55</f>
        <v>-44849.840960763337</v>
      </c>
      <c r="AG55" s="9"/>
      <c r="AH55" s="20">
        <f ca="1">OFFSET('Dist Factors'!$B$15,$O55-1,AH$14)*$L55+OFFSET('Dist Factors'!$B$15,$K55-1,AH$14)*$H55</f>
        <v>0</v>
      </c>
      <c r="AI55" s="9"/>
      <c r="AJ55" s="9">
        <f ca="1">SUM(P55:AI55)</f>
        <v>-339597.40146953583</v>
      </c>
      <c r="AL55" s="25" t="str">
        <f t="shared" ca="1" si="19"/>
        <v/>
      </c>
      <c r="AM55" s="49"/>
    </row>
    <row r="56" spans="2:64" ht="13" x14ac:dyDescent="0.3">
      <c r="AJ56" s="8"/>
      <c r="AL56" s="25" t="str">
        <f t="shared" si="19"/>
        <v/>
      </c>
      <c r="AM56" s="49"/>
    </row>
    <row r="57" spans="2:64" ht="13" x14ac:dyDescent="0.3">
      <c r="B57" s="18">
        <f>B55+1</f>
        <v>32</v>
      </c>
      <c r="D57" s="1" t="s">
        <v>66</v>
      </c>
      <c r="F57" s="40">
        <f ca="1">F53+F55</f>
        <v>-6986639.1832926543</v>
      </c>
      <c r="H57" s="40">
        <f>H53+H55</f>
        <v>0</v>
      </c>
      <c r="L57" s="40">
        <f ca="1">L53+L55</f>
        <v>-6986639.1832926543</v>
      </c>
      <c r="P57" s="10">
        <f ca="1">P53+P55</f>
        <v>-1058638.7560418276</v>
      </c>
      <c r="Q57" s="14"/>
      <c r="R57" s="10">
        <f ca="1">R53+R55</f>
        <v>-202480.07627956345</v>
      </c>
      <c r="S57" s="8"/>
      <c r="T57" s="10">
        <f ca="1">T53+T55</f>
        <v>-1232422.2619827534</v>
      </c>
      <c r="U57" s="8"/>
      <c r="V57" s="10">
        <f ca="1">V53+V55</f>
        <v>-14145.573581777835</v>
      </c>
      <c r="W57" s="8"/>
      <c r="X57" s="10">
        <f ca="1">X53+X55</f>
        <v>-1330727.8099656242</v>
      </c>
      <c r="Y57" s="8"/>
      <c r="Z57" s="10">
        <f ca="1">Z53+Z55</f>
        <v>-2235012.5901245903</v>
      </c>
      <c r="AA57" s="8"/>
      <c r="AB57" s="10">
        <f ca="1">AB53+AB55</f>
        <v>-686703.62295409758</v>
      </c>
      <c r="AC57" s="8"/>
      <c r="AD57" s="10">
        <f ca="1">AD53+AD55</f>
        <v>-181658.65140165552</v>
      </c>
      <c r="AE57" s="8"/>
      <c r="AF57" s="10">
        <f ca="1">AF53+AF55</f>
        <v>-44849.840960763337</v>
      </c>
      <c r="AG57" s="8"/>
      <c r="AH57" s="10">
        <f ca="1">AH53+AH55</f>
        <v>0</v>
      </c>
      <c r="AI57" s="8"/>
      <c r="AJ57" s="10">
        <f ca="1">AJ53+AJ55</f>
        <v>-6986639.1832926543</v>
      </c>
      <c r="AL57" s="25" t="str">
        <f t="shared" ca="1" si="19"/>
        <v/>
      </c>
      <c r="AM57" s="49"/>
    </row>
    <row r="58" spans="2:64" ht="13" x14ac:dyDescent="0.3">
      <c r="D58" s="6"/>
      <c r="E58" s="6"/>
      <c r="F58" s="74"/>
      <c r="H58" s="74"/>
      <c r="L58" s="74"/>
      <c r="AL58" s="25" t="str">
        <f t="shared" si="19"/>
        <v/>
      </c>
      <c r="AM58" s="49"/>
    </row>
    <row r="59" spans="2:64" ht="13" x14ac:dyDescent="0.3">
      <c r="AL59" s="25" t="str">
        <f t="shared" si="19"/>
        <v/>
      </c>
      <c r="AM59" s="49"/>
    </row>
    <row r="60" spans="2:64" ht="13" x14ac:dyDescent="0.3">
      <c r="D60" s="6" t="s">
        <v>67</v>
      </c>
      <c r="E60" s="7"/>
      <c r="F60" s="75"/>
      <c r="AL60" s="27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L60" s="2"/>
    </row>
    <row r="61" spans="2:64" ht="13" x14ac:dyDescent="0.3">
      <c r="AL61" s="25" t="str">
        <f t="shared" ref="AL61" si="23">IF(ROUND(L61,4)=ROUND(AJ61,4), "", "check")</f>
        <v/>
      </c>
      <c r="AM61" s="49"/>
    </row>
    <row r="62" spans="2:64" ht="13" x14ac:dyDescent="0.3">
      <c r="B62" s="18">
        <f>B57+1</f>
        <v>33</v>
      </c>
      <c r="D62" s="1" t="s">
        <v>33</v>
      </c>
      <c r="F62" s="48">
        <f ca="1">Function!V62</f>
        <v>111376.57056194174</v>
      </c>
      <c r="H62" s="48"/>
      <c r="J62" s="2"/>
      <c r="K62" s="70">
        <f>_xlfn.IFNA(MATCH(J62,'Dist Factors'!$B$15:$B$431,0),0)</f>
        <v>0</v>
      </c>
      <c r="L62" s="48">
        <f ca="1">F62-H62</f>
        <v>111376.57056194174</v>
      </c>
      <c r="O62" s="70">
        <f>_xlfn.IFNA(MATCH(N62,'Dist Factors'!$B$15:$B$431,0),0)</f>
        <v>0</v>
      </c>
      <c r="P62" s="20">
        <f ca="1">P18+P40</f>
        <v>30835.09154291404</v>
      </c>
      <c r="R62" s="20">
        <f ca="1">R18+R40</f>
        <v>5897.6602283488201</v>
      </c>
      <c r="S62" s="20"/>
      <c r="T62" s="20">
        <f ca="1">T18+T40</f>
        <v>35896.903500727218</v>
      </c>
      <c r="U62" s="20"/>
      <c r="V62" s="20">
        <f ca="1">V18+V40</f>
        <v>0</v>
      </c>
      <c r="X62" s="20">
        <f ca="1">X18+X40</f>
        <v>38746.915289951648</v>
      </c>
      <c r="Y62" s="9"/>
      <c r="Z62" s="20">
        <f ca="1">Z18+Z40</f>
        <v>0</v>
      </c>
      <c r="AA62" s="20"/>
      <c r="AB62" s="20">
        <f ca="1">AB18+AB40</f>
        <v>0</v>
      </c>
      <c r="AC62" s="9"/>
      <c r="AD62" s="20">
        <f ca="1">AD18+AD40</f>
        <v>0</v>
      </c>
      <c r="AE62" s="9"/>
      <c r="AF62" s="20">
        <f ca="1">AF18+AF40</f>
        <v>0</v>
      </c>
      <c r="AG62" s="9"/>
      <c r="AH62" s="20">
        <f ca="1">AH18+AH40</f>
        <v>0</v>
      </c>
      <c r="AI62" s="9"/>
      <c r="AJ62" s="9">
        <f t="shared" ref="AJ62:AJ75" ca="1" si="24">SUM(P62:AI62)</f>
        <v>111376.57056194173</v>
      </c>
      <c r="AL62" s="25" t="str">
        <f ca="1">IF(ROUND(F62,4)=ROUND(AJ62,4), "", "check")</f>
        <v/>
      </c>
      <c r="AM62" s="49"/>
      <c r="AO62" s="37"/>
      <c r="AR62" s="48"/>
      <c r="AT62" s="48"/>
      <c r="AV62" s="48"/>
      <c r="AX62" s="48"/>
      <c r="AZ62" s="48"/>
      <c r="BB62" s="48"/>
      <c r="BD62" s="48"/>
      <c r="BF62" s="48"/>
      <c r="BH62" s="48"/>
      <c r="BJ62" s="48"/>
      <c r="BL62" s="48"/>
    </row>
    <row r="63" spans="2:64" ht="13" x14ac:dyDescent="0.3">
      <c r="B63" s="18">
        <f>B62+1</f>
        <v>34</v>
      </c>
      <c r="D63" s="1" t="s">
        <v>35</v>
      </c>
      <c r="F63" s="48">
        <f ca="1">Function!V63</f>
        <v>69997.253196129066</v>
      </c>
      <c r="H63" s="48"/>
      <c r="J63" s="2"/>
      <c r="K63" s="70">
        <f>_xlfn.IFNA(MATCH(J63,'Dist Factors'!$B$15:$B$431,0),0)</f>
        <v>0</v>
      </c>
      <c r="L63" s="48">
        <f ca="1">F63-H63</f>
        <v>69997.253196129066</v>
      </c>
      <c r="O63" s="70">
        <f>_xlfn.IFNA(MATCH(N63,'Dist Factors'!$B$15:$B$431,0),0)</f>
        <v>0</v>
      </c>
      <c r="P63" s="20">
        <f t="shared" ref="P63:R74" ca="1" si="25">P19+P41</f>
        <v>19379.046231763801</v>
      </c>
      <c r="R63" s="20">
        <f t="shared" ca="1" si="25"/>
        <v>3706.5247581750964</v>
      </c>
      <c r="S63" s="20"/>
      <c r="T63" s="20">
        <f t="shared" ref="T63" ca="1" si="26">T19+T41</f>
        <v>22560.262276166897</v>
      </c>
      <c r="U63" s="20"/>
      <c r="V63" s="20">
        <f t="shared" ref="V63" ca="1" si="27">V19+V41</f>
        <v>0</v>
      </c>
      <c r="X63" s="20">
        <f t="shared" ref="X63" ca="1" si="28">X19+X41</f>
        <v>24351.419930023261</v>
      </c>
      <c r="Y63" s="9"/>
      <c r="Z63" s="20">
        <f t="shared" ref="Z63" ca="1" si="29">Z19+Z41</f>
        <v>0</v>
      </c>
      <c r="AA63" s="20"/>
      <c r="AB63" s="20">
        <f t="shared" ref="AB63" ca="1" si="30">AB19+AB41</f>
        <v>0</v>
      </c>
      <c r="AC63" s="9"/>
      <c r="AD63" s="20">
        <f t="shared" ref="AD63" ca="1" si="31">AD19+AD41</f>
        <v>0</v>
      </c>
      <c r="AE63" s="9"/>
      <c r="AF63" s="20">
        <f t="shared" ref="AF63" ca="1" si="32">AF19+AF41</f>
        <v>0</v>
      </c>
      <c r="AG63" s="9"/>
      <c r="AH63" s="20">
        <f t="shared" ref="AH63" ca="1" si="33">AH19+AH41</f>
        <v>0</v>
      </c>
      <c r="AI63" s="9"/>
      <c r="AJ63" s="9">
        <f t="shared" ca="1" si="24"/>
        <v>69997.253196129052</v>
      </c>
      <c r="AL63" s="25" t="str">
        <f t="shared" ref="AL63:AL122" ca="1" si="34">IF(ROUND(F63,4)=ROUND(AJ63,4), "", "check")</f>
        <v/>
      </c>
      <c r="AM63" s="49"/>
      <c r="AO63" s="37"/>
      <c r="AR63" s="48"/>
      <c r="AT63" s="48"/>
      <c r="AV63" s="48"/>
      <c r="AX63" s="48"/>
      <c r="AZ63" s="48"/>
      <c r="BB63" s="48"/>
      <c r="BD63" s="48"/>
      <c r="BF63" s="48"/>
      <c r="BH63" s="48"/>
      <c r="BJ63" s="48"/>
      <c r="BL63" s="48"/>
    </row>
    <row r="64" spans="2:64" ht="13" x14ac:dyDescent="0.3">
      <c r="B64" s="18">
        <f t="shared" ref="B64:B75" si="35">B63+1</f>
        <v>35</v>
      </c>
      <c r="D64" s="1" t="s">
        <v>37</v>
      </c>
      <c r="F64" s="48">
        <f ca="1">Function!V64</f>
        <v>227263.44719098904</v>
      </c>
      <c r="H64" s="48"/>
      <c r="J64" s="2"/>
      <c r="K64" s="70">
        <f>_xlfn.IFNA(MATCH(J64,'Dist Factors'!$B$15:$B$431,0),0)</f>
        <v>0</v>
      </c>
      <c r="L64" s="48">
        <f t="shared" ref="L64:L74" ca="1" si="36">F64-H64</f>
        <v>227263.44719098904</v>
      </c>
      <c r="O64" s="70">
        <f>_xlfn.IFNA(MATCH(N64,'Dist Factors'!$B$15:$B$431,0),0)</f>
        <v>0</v>
      </c>
      <c r="P64" s="20">
        <f t="shared" ca="1" si="25"/>
        <v>62918.8810818614</v>
      </c>
      <c r="R64" s="20">
        <f t="shared" ca="1" si="25"/>
        <v>12034.152129961049</v>
      </c>
      <c r="S64" s="20"/>
      <c r="T64" s="20">
        <f t="shared" ref="T64" ca="1" si="37">T20+T42</f>
        <v>73247.488155693136</v>
      </c>
      <c r="U64" s="20"/>
      <c r="V64" s="20">
        <f t="shared" ref="V64" ca="1" si="38">V20+V42</f>
        <v>0</v>
      </c>
      <c r="W64" s="9"/>
      <c r="X64" s="20">
        <f t="shared" ref="X64" ca="1" si="39">X20+X42</f>
        <v>79062.925823473401</v>
      </c>
      <c r="Y64" s="9"/>
      <c r="Z64" s="20">
        <f t="shared" ref="Z64" ca="1" si="40">Z20+Z42</f>
        <v>0</v>
      </c>
      <c r="AA64" s="20"/>
      <c r="AB64" s="20">
        <f t="shared" ref="AB64" ca="1" si="41">AB20+AB42</f>
        <v>0</v>
      </c>
      <c r="AC64" s="9"/>
      <c r="AD64" s="20">
        <f t="shared" ref="AD64" ca="1" si="42">AD20+AD42</f>
        <v>0</v>
      </c>
      <c r="AE64" s="9"/>
      <c r="AF64" s="20">
        <f t="shared" ref="AF64" ca="1" si="43">AF20+AF42</f>
        <v>0</v>
      </c>
      <c r="AG64" s="9"/>
      <c r="AH64" s="20">
        <f t="shared" ref="AH64" ca="1" si="44">AH20+AH42</f>
        <v>0</v>
      </c>
      <c r="AI64" s="9"/>
      <c r="AJ64" s="9">
        <f t="shared" ca="1" si="24"/>
        <v>227263.44719098898</v>
      </c>
      <c r="AL64" s="25" t="str">
        <f t="shared" ca="1" si="34"/>
        <v/>
      </c>
      <c r="AM64" s="49"/>
      <c r="AO64" s="37"/>
      <c r="AR64" s="48"/>
      <c r="AT64" s="48"/>
      <c r="AV64" s="48"/>
      <c r="AX64" s="48"/>
      <c r="AZ64" s="48"/>
      <c r="BB64" s="48"/>
      <c r="BD64" s="48"/>
      <c r="BF64" s="48"/>
      <c r="BH64" s="48"/>
      <c r="BJ64" s="48"/>
      <c r="BL64" s="48"/>
    </row>
    <row r="65" spans="2:64" ht="13" x14ac:dyDescent="0.3">
      <c r="B65" s="18">
        <f t="shared" si="35"/>
        <v>36</v>
      </c>
      <c r="D65" s="1" t="s">
        <v>39</v>
      </c>
      <c r="F65" s="48">
        <f ca="1">Function!V65</f>
        <v>667898.01332843932</v>
      </c>
      <c r="H65" s="48"/>
      <c r="J65" s="2"/>
      <c r="K65" s="70">
        <f>_xlfn.IFNA(MATCH(J65,'Dist Factors'!$B$15:$B$431,0),0)</f>
        <v>0</v>
      </c>
      <c r="L65" s="48">
        <f t="shared" ca="1" si="36"/>
        <v>667898.01332843932</v>
      </c>
      <c r="O65" s="70">
        <f>_xlfn.IFNA(MATCH(N65,'Dist Factors'!$B$15:$B$431,0),0)</f>
        <v>0</v>
      </c>
      <c r="P65" s="20">
        <f t="shared" ca="1" si="25"/>
        <v>283557.6777170148</v>
      </c>
      <c r="R65" s="20">
        <f t="shared" ca="1" si="25"/>
        <v>54234.534571988144</v>
      </c>
      <c r="S65" s="20"/>
      <c r="T65" s="20">
        <f t="shared" ref="T65" ca="1" si="45">T21+T43</f>
        <v>330105.80103943637</v>
      </c>
      <c r="U65" s="20"/>
      <c r="V65" s="20">
        <f t="shared" ref="V65" ca="1" si="46">V21+V43</f>
        <v>0</v>
      </c>
      <c r="W65" s="9"/>
      <c r="X65" s="20">
        <f t="shared" ref="X65" ca="1" si="47">X21+X43</f>
        <v>0</v>
      </c>
      <c r="Y65" s="9"/>
      <c r="Z65" s="20">
        <f t="shared" ref="Z65" ca="1" si="48">Z21+Z43</f>
        <v>0</v>
      </c>
      <c r="AA65" s="20"/>
      <c r="AB65" s="20">
        <f t="shared" ref="AB65" ca="1" si="49">AB21+AB43</f>
        <v>0</v>
      </c>
      <c r="AC65" s="9"/>
      <c r="AD65" s="20">
        <f t="shared" ref="AD65" ca="1" si="50">AD21+AD43</f>
        <v>0</v>
      </c>
      <c r="AE65" s="9"/>
      <c r="AF65" s="20">
        <f t="shared" ref="AF65" ca="1" si="51">AF21+AF43</f>
        <v>0</v>
      </c>
      <c r="AG65" s="9"/>
      <c r="AH65" s="20">
        <f t="shared" ref="AH65" ca="1" si="52">AH21+AH43</f>
        <v>0</v>
      </c>
      <c r="AI65" s="9"/>
      <c r="AJ65" s="9">
        <f t="shared" ca="1" si="24"/>
        <v>667898.01332843932</v>
      </c>
      <c r="AL65" s="25" t="str">
        <f t="shared" ca="1" si="34"/>
        <v/>
      </c>
      <c r="AM65" s="49"/>
      <c r="AO65" s="37"/>
      <c r="AR65" s="48"/>
      <c r="AT65" s="48"/>
      <c r="AV65" s="48"/>
      <c r="AX65" s="48"/>
      <c r="AZ65" s="48"/>
      <c r="BB65" s="48"/>
      <c r="BD65" s="48"/>
      <c r="BF65" s="48"/>
      <c r="BH65" s="48"/>
      <c r="BJ65" s="48"/>
      <c r="BL65" s="48"/>
    </row>
    <row r="66" spans="2:64" ht="13" x14ac:dyDescent="0.3">
      <c r="B66" s="18">
        <f t="shared" si="35"/>
        <v>37</v>
      </c>
      <c r="D66" s="1" t="s">
        <v>41</v>
      </c>
      <c r="F66" s="48">
        <f ca="1">Function!V66</f>
        <v>5624271.2994939499</v>
      </c>
      <c r="H66" s="48"/>
      <c r="J66" s="2"/>
      <c r="K66" s="70">
        <f>_xlfn.IFNA(MATCH(J66,'Dist Factors'!$B$15:$B$431,0),0)</f>
        <v>0</v>
      </c>
      <c r="L66" s="48">
        <f t="shared" ca="1" si="36"/>
        <v>5624271.2994939499</v>
      </c>
      <c r="O66" s="70">
        <f>_xlfn.IFNA(MATCH(N66,'Dist Factors'!$B$15:$B$431,0),0)</f>
        <v>0</v>
      </c>
      <c r="P66" s="20">
        <f t="shared" ca="1" si="25"/>
        <v>1458880.5619582105</v>
      </c>
      <c r="R66" s="20">
        <f t="shared" ca="1" si="25"/>
        <v>279032.14933536749</v>
      </c>
      <c r="S66" s="20"/>
      <c r="T66" s="20">
        <f t="shared" ref="T66" ca="1" si="53">T22+T44</f>
        <v>1698366.7675776735</v>
      </c>
      <c r="U66" s="20"/>
      <c r="V66" s="20">
        <f t="shared" ref="V66" ca="1" si="54">V22+V44</f>
        <v>0</v>
      </c>
      <c r="W66" s="9"/>
      <c r="X66" s="20">
        <f t="shared" ref="X66" ca="1" si="55">X22+X44</f>
        <v>2187991.8206226975</v>
      </c>
      <c r="Y66" s="9"/>
      <c r="Z66" s="20">
        <f t="shared" ref="Z66" ca="1" si="56">Z22+Z44</f>
        <v>0</v>
      </c>
      <c r="AA66" s="20"/>
      <c r="AB66" s="20">
        <f t="shared" ref="AB66" ca="1" si="57">AB22+AB44</f>
        <v>0</v>
      </c>
      <c r="AC66" s="9"/>
      <c r="AD66" s="20">
        <f t="shared" ref="AD66" ca="1" si="58">AD22+AD44</f>
        <v>0</v>
      </c>
      <c r="AE66" s="9"/>
      <c r="AF66" s="20">
        <f t="shared" ref="AF66" ca="1" si="59">AF22+AF44</f>
        <v>0</v>
      </c>
      <c r="AG66" s="9"/>
      <c r="AH66" s="20">
        <f t="shared" ref="AH66" ca="1" si="60">AH22+AH44</f>
        <v>0</v>
      </c>
      <c r="AI66" s="9"/>
      <c r="AJ66" s="9">
        <f t="shared" ca="1" si="24"/>
        <v>5624271.2994939489</v>
      </c>
      <c r="AL66" s="25" t="str">
        <f t="shared" ca="1" si="34"/>
        <v/>
      </c>
      <c r="AM66" s="49"/>
      <c r="AO66" s="37"/>
      <c r="AR66" s="48"/>
      <c r="AT66" s="48"/>
      <c r="AV66" s="48"/>
      <c r="AX66" s="48"/>
      <c r="AZ66" s="48"/>
      <c r="BB66" s="48"/>
      <c r="BD66" s="48"/>
      <c r="BF66" s="48"/>
      <c r="BH66" s="48"/>
      <c r="BJ66" s="48"/>
      <c r="BL66" s="48"/>
    </row>
    <row r="67" spans="2:64" ht="13" x14ac:dyDescent="0.3">
      <c r="B67" s="18">
        <f t="shared" si="35"/>
        <v>38</v>
      </c>
      <c r="D67" s="1" t="s">
        <v>43</v>
      </c>
      <c r="F67" s="48">
        <f ca="1">Function!V67</f>
        <v>30480.9594626865</v>
      </c>
      <c r="H67" s="48"/>
      <c r="K67" s="70">
        <f>_xlfn.IFNA(MATCH(J67,'Dist Factors'!$B$15:$B$431,0),0)</f>
        <v>0</v>
      </c>
      <c r="L67" s="48">
        <f t="shared" ca="1" si="36"/>
        <v>30480.9594626865</v>
      </c>
      <c r="O67" s="70">
        <f>_xlfn.IFNA(MATCH(N67,'Dist Factors'!$B$15:$B$431,0),0)</f>
        <v>0</v>
      </c>
      <c r="P67" s="20">
        <f t="shared" ca="1" si="25"/>
        <v>0</v>
      </c>
      <c r="R67" s="20">
        <f t="shared" ca="1" si="25"/>
        <v>0</v>
      </c>
      <c r="S67" s="20"/>
      <c r="T67" s="20">
        <f t="shared" ref="T67" ca="1" si="61">T23+T45</f>
        <v>0</v>
      </c>
      <c r="U67" s="20"/>
      <c r="V67" s="20">
        <f t="shared" ref="V67" ca="1" si="62">V23+V45</f>
        <v>0</v>
      </c>
      <c r="W67" s="9"/>
      <c r="X67" s="20">
        <f t="shared" ref="X67" ca="1" si="63">X23+X45</f>
        <v>0</v>
      </c>
      <c r="Y67" s="9"/>
      <c r="Z67" s="20">
        <f t="shared" ref="Z67" ca="1" si="64">Z23+Z45</f>
        <v>0</v>
      </c>
      <c r="AA67" s="20"/>
      <c r="AB67" s="20">
        <f t="shared" ref="AB67" ca="1" si="65">AB23+AB45</f>
        <v>0</v>
      </c>
      <c r="AC67" s="9"/>
      <c r="AD67" s="20">
        <f t="shared" ref="AD67" ca="1" si="66">AD23+AD45</f>
        <v>30480.9594626865</v>
      </c>
      <c r="AE67" s="9"/>
      <c r="AF67" s="20">
        <f t="shared" ref="AF67" ca="1" si="67">AF23+AF45</f>
        <v>0</v>
      </c>
      <c r="AG67" s="9"/>
      <c r="AH67" s="20">
        <f t="shared" ref="AH67" ca="1" si="68">AH23+AH45</f>
        <v>0</v>
      </c>
      <c r="AI67" s="9"/>
      <c r="AJ67" s="9">
        <f t="shared" ca="1" si="24"/>
        <v>30480.9594626865</v>
      </c>
      <c r="AL67" s="25" t="str">
        <f t="shared" ca="1" si="34"/>
        <v/>
      </c>
      <c r="AM67" s="49"/>
      <c r="AO67" s="37"/>
      <c r="AR67" s="48"/>
      <c r="AT67" s="48"/>
      <c r="AV67" s="48"/>
      <c r="AX67" s="48"/>
      <c r="AZ67" s="48"/>
      <c r="BB67" s="48"/>
      <c r="BD67" s="48"/>
      <c r="BF67" s="48"/>
      <c r="BH67" s="48"/>
      <c r="BJ67" s="48"/>
      <c r="BL67" s="48"/>
    </row>
    <row r="68" spans="2:64" ht="13" x14ac:dyDescent="0.3">
      <c r="B68" s="18">
        <f t="shared" si="35"/>
        <v>39</v>
      </c>
      <c r="D68" s="1" t="s">
        <v>45</v>
      </c>
      <c r="F68" s="48">
        <f ca="1">Function!V68</f>
        <v>0</v>
      </c>
      <c r="H68" s="48"/>
      <c r="K68" s="70">
        <f>_xlfn.IFNA(MATCH(J68,'Dist Factors'!$B$15:$B$431,0),0)</f>
        <v>0</v>
      </c>
      <c r="L68" s="48">
        <f t="shared" ca="1" si="36"/>
        <v>0</v>
      </c>
      <c r="O68" s="70">
        <f>_xlfn.IFNA(MATCH(N68,'Dist Factors'!$B$15:$B$431,0),0)</f>
        <v>0</v>
      </c>
      <c r="P68" s="20">
        <f t="shared" ca="1" si="25"/>
        <v>0</v>
      </c>
      <c r="R68" s="20">
        <f t="shared" ca="1" si="25"/>
        <v>0</v>
      </c>
      <c r="S68" s="20"/>
      <c r="T68" s="20">
        <f t="shared" ref="T68" ca="1" si="69">T24+T46</f>
        <v>0</v>
      </c>
      <c r="U68" s="20"/>
      <c r="V68" s="20">
        <f t="shared" ref="V68" ca="1" si="70">V24+V46</f>
        <v>0</v>
      </c>
      <c r="W68" s="9"/>
      <c r="X68" s="20">
        <f t="shared" ref="X68" ca="1" si="71">X24+X46</f>
        <v>0</v>
      </c>
      <c r="Y68" s="9"/>
      <c r="Z68" s="20">
        <f t="shared" ref="Z68" ca="1" si="72">Z24+Z46</f>
        <v>0</v>
      </c>
      <c r="AA68" s="20"/>
      <c r="AB68" s="20">
        <f t="shared" ref="AB68" ca="1" si="73">AB24+AB46</f>
        <v>0</v>
      </c>
      <c r="AC68" s="9"/>
      <c r="AD68" s="20">
        <f t="shared" ref="AD68" ca="1" si="74">AD24+AD46</f>
        <v>0</v>
      </c>
      <c r="AE68" s="9"/>
      <c r="AF68" s="20">
        <f t="shared" ref="AF68" ca="1" si="75">AF24+AF46</f>
        <v>0</v>
      </c>
      <c r="AG68" s="9"/>
      <c r="AH68" s="20">
        <f t="shared" ref="AH68" ca="1" si="76">AH24+AH46</f>
        <v>0</v>
      </c>
      <c r="AI68" s="9"/>
      <c r="AJ68" s="9">
        <f t="shared" ca="1" si="24"/>
        <v>0</v>
      </c>
      <c r="AL68" s="25" t="str">
        <f t="shared" ca="1" si="34"/>
        <v/>
      </c>
      <c r="AM68" s="49"/>
      <c r="AO68" s="37"/>
      <c r="AR68" s="48"/>
      <c r="AT68" s="48"/>
      <c r="AV68" s="48"/>
      <c r="AX68" s="48"/>
      <c r="AZ68" s="48"/>
      <c r="BB68" s="48"/>
      <c r="BD68" s="48"/>
      <c r="BF68" s="48"/>
      <c r="BH68" s="48"/>
      <c r="BJ68" s="48"/>
      <c r="BL68" s="48"/>
    </row>
    <row r="69" spans="2:64" ht="13" x14ac:dyDescent="0.3">
      <c r="B69" s="18">
        <f t="shared" si="35"/>
        <v>40</v>
      </c>
      <c r="D69" s="1" t="s">
        <v>47</v>
      </c>
      <c r="F69" s="48">
        <f ca="1">Function!V69</f>
        <v>0</v>
      </c>
      <c r="H69" s="48"/>
      <c r="K69" s="70">
        <f>_xlfn.IFNA(MATCH(J69,'Dist Factors'!$B$15:$B$431,0),0)</f>
        <v>0</v>
      </c>
      <c r="L69" s="48">
        <f t="shared" ca="1" si="36"/>
        <v>0</v>
      </c>
      <c r="O69" s="70">
        <f>_xlfn.IFNA(MATCH(N69,'Dist Factors'!$B$15:$B$431,0),0)</f>
        <v>0</v>
      </c>
      <c r="P69" s="20">
        <f t="shared" ca="1" si="25"/>
        <v>0</v>
      </c>
      <c r="R69" s="20">
        <f t="shared" ca="1" si="25"/>
        <v>0</v>
      </c>
      <c r="S69" s="20"/>
      <c r="T69" s="20">
        <f t="shared" ref="T69" ca="1" si="77">T25+T47</f>
        <v>0</v>
      </c>
      <c r="U69" s="20"/>
      <c r="V69" s="20">
        <f t="shared" ref="V69" ca="1" si="78">V25+V47</f>
        <v>0</v>
      </c>
      <c r="W69" s="9"/>
      <c r="X69" s="20">
        <f t="shared" ref="X69" ca="1" si="79">X25+X47</f>
        <v>0</v>
      </c>
      <c r="Y69" s="9"/>
      <c r="Z69" s="20">
        <f t="shared" ref="Z69" ca="1" si="80">Z25+Z47</f>
        <v>0</v>
      </c>
      <c r="AA69" s="20"/>
      <c r="AB69" s="20">
        <f t="shared" ref="AB69" ca="1" si="81">AB25+AB47</f>
        <v>0</v>
      </c>
      <c r="AC69" s="9"/>
      <c r="AD69" s="20">
        <f t="shared" ref="AD69" ca="1" si="82">AD25+AD47</f>
        <v>0</v>
      </c>
      <c r="AE69" s="9"/>
      <c r="AF69" s="20">
        <f t="shared" ref="AF69" ca="1" si="83">AF25+AF47</f>
        <v>0</v>
      </c>
      <c r="AG69" s="9"/>
      <c r="AH69" s="20">
        <f t="shared" ref="AH69" ca="1" si="84">AH25+AH47</f>
        <v>0</v>
      </c>
      <c r="AI69" s="9"/>
      <c r="AJ69" s="9">
        <f t="shared" ca="1" si="24"/>
        <v>0</v>
      </c>
      <c r="AL69" s="25" t="str">
        <f t="shared" ca="1" si="34"/>
        <v/>
      </c>
      <c r="AM69" s="49"/>
      <c r="AO69" s="37"/>
      <c r="AR69" s="48"/>
      <c r="AT69" s="48"/>
      <c r="AV69" s="48"/>
      <c r="AX69" s="48"/>
      <c r="AZ69" s="48"/>
      <c r="BB69" s="48"/>
      <c r="BD69" s="48"/>
      <c r="BF69" s="48"/>
      <c r="BH69" s="48"/>
      <c r="BJ69" s="48"/>
      <c r="BL69" s="48"/>
    </row>
    <row r="70" spans="2:64" ht="13" x14ac:dyDescent="0.3">
      <c r="B70" s="18">
        <f t="shared" si="35"/>
        <v>41</v>
      </c>
      <c r="D70" s="1" t="s">
        <v>48</v>
      </c>
      <c r="F70" s="48">
        <f ca="1">Function!V70</f>
        <v>0</v>
      </c>
      <c r="H70" s="48"/>
      <c r="K70" s="70">
        <f>_xlfn.IFNA(MATCH(J70,'Dist Factors'!$B$15:$B$431,0),0)</f>
        <v>0</v>
      </c>
      <c r="L70" s="48">
        <f t="shared" ca="1" si="36"/>
        <v>0</v>
      </c>
      <c r="O70" s="70">
        <f>_xlfn.IFNA(MATCH(N70,'Dist Factors'!$B$15:$B$431,0),0)</f>
        <v>0</v>
      </c>
      <c r="P70" s="20">
        <f t="shared" ca="1" si="25"/>
        <v>0</v>
      </c>
      <c r="R70" s="20">
        <f t="shared" ca="1" si="25"/>
        <v>0</v>
      </c>
      <c r="S70" s="20"/>
      <c r="T70" s="20">
        <f t="shared" ref="T70" ca="1" si="85">T26+T48</f>
        <v>0</v>
      </c>
      <c r="U70" s="20"/>
      <c r="V70" s="20">
        <f t="shared" ref="V70" ca="1" si="86">V26+V48</f>
        <v>0</v>
      </c>
      <c r="W70" s="9"/>
      <c r="X70" s="20">
        <f t="shared" ref="X70" ca="1" si="87">X26+X48</f>
        <v>0</v>
      </c>
      <c r="Y70" s="9"/>
      <c r="Z70" s="20">
        <f t="shared" ref="Z70" ca="1" si="88">Z26+Z48</f>
        <v>0</v>
      </c>
      <c r="AA70" s="20"/>
      <c r="AB70" s="20">
        <f t="shared" ref="AB70" ca="1" si="89">AB26+AB48</f>
        <v>0</v>
      </c>
      <c r="AC70" s="9"/>
      <c r="AD70" s="20">
        <f t="shared" ref="AD70" ca="1" si="90">AD26+AD48</f>
        <v>0</v>
      </c>
      <c r="AE70" s="9"/>
      <c r="AF70" s="20">
        <f t="shared" ref="AF70" ca="1" si="91">AF26+AF48</f>
        <v>0</v>
      </c>
      <c r="AG70" s="9"/>
      <c r="AH70" s="20">
        <f t="shared" ref="AH70" ca="1" si="92">AH26+AH48</f>
        <v>0</v>
      </c>
      <c r="AI70" s="9"/>
      <c r="AJ70" s="9">
        <f t="shared" ca="1" si="24"/>
        <v>0</v>
      </c>
      <c r="AL70" s="25" t="str">
        <f t="shared" ca="1" si="34"/>
        <v/>
      </c>
      <c r="AM70" s="49"/>
      <c r="AO70" s="37"/>
      <c r="AR70" s="48"/>
      <c r="AT70" s="48"/>
      <c r="AV70" s="48"/>
      <c r="AX70" s="48"/>
      <c r="AZ70" s="48"/>
      <c r="BB70" s="48"/>
      <c r="BD70" s="48"/>
      <c r="BF70" s="48"/>
      <c r="BH70" s="48"/>
      <c r="BJ70" s="48"/>
      <c r="BL70" s="48"/>
    </row>
    <row r="71" spans="2:64" ht="13" x14ac:dyDescent="0.3">
      <c r="B71" s="18">
        <f t="shared" si="35"/>
        <v>42</v>
      </c>
      <c r="D71" s="1" t="s">
        <v>49</v>
      </c>
      <c r="F71" s="48">
        <f ca="1">Function!V71</f>
        <v>3496978.1869334034</v>
      </c>
      <c r="H71" s="48"/>
      <c r="K71" s="70">
        <f>_xlfn.IFNA(MATCH(J71,'Dist Factors'!$B$15:$B$431,0),0)</f>
        <v>0</v>
      </c>
      <c r="L71" s="48">
        <f t="shared" ca="1" si="36"/>
        <v>3496978.1869334034</v>
      </c>
      <c r="O71" s="70">
        <f>_xlfn.IFNA(MATCH(N71,'Dist Factors'!$B$15:$B$431,0),0)</f>
        <v>0</v>
      </c>
      <c r="P71" s="20">
        <f t="shared" ca="1" si="25"/>
        <v>0</v>
      </c>
      <c r="R71" s="20">
        <f t="shared" ca="1" si="25"/>
        <v>0</v>
      </c>
      <c r="S71" s="20"/>
      <c r="T71" s="20">
        <f t="shared" ref="T71" ca="1" si="93">T27+T49</f>
        <v>0</v>
      </c>
      <c r="U71" s="20"/>
      <c r="V71" s="20">
        <f t="shared" ref="V71" ca="1" si="94">V27+V49</f>
        <v>0</v>
      </c>
      <c r="W71" s="9"/>
      <c r="X71" s="20">
        <f t="shared" ref="X71" ca="1" si="95">X27+X49</f>
        <v>0</v>
      </c>
      <c r="Y71" s="9"/>
      <c r="Z71" s="20">
        <f t="shared" ref="Z71" ca="1" si="96">Z27+Z49</f>
        <v>3496978.1869334034</v>
      </c>
      <c r="AA71" s="20"/>
      <c r="AB71" s="20">
        <f t="shared" ref="AB71" ca="1" si="97">AB27+AB49</f>
        <v>0</v>
      </c>
      <c r="AC71" s="9"/>
      <c r="AD71" s="20">
        <f t="shared" ref="AD71" ca="1" si="98">AD27+AD49</f>
        <v>0</v>
      </c>
      <c r="AE71" s="9"/>
      <c r="AF71" s="20">
        <f t="shared" ref="AF71" ca="1" si="99">AF27+AF49</f>
        <v>0</v>
      </c>
      <c r="AG71" s="9"/>
      <c r="AH71" s="20">
        <f t="shared" ref="AH71" ca="1" si="100">AH27+AH49</f>
        <v>0</v>
      </c>
      <c r="AI71" s="9"/>
      <c r="AJ71" s="9">
        <f t="shared" ca="1" si="24"/>
        <v>3496978.1869334034</v>
      </c>
      <c r="AL71" s="25" t="str">
        <f t="shared" ca="1" si="34"/>
        <v/>
      </c>
      <c r="AM71" s="49"/>
      <c r="AO71" s="37"/>
      <c r="AR71" s="48"/>
      <c r="AT71" s="48"/>
      <c r="AV71" s="48"/>
      <c r="AX71" s="48"/>
      <c r="AZ71" s="48"/>
      <c r="BB71" s="48"/>
      <c r="BD71" s="48"/>
      <c r="BF71" s="48"/>
      <c r="BH71" s="48"/>
      <c r="BJ71" s="48"/>
      <c r="BL71" s="48"/>
    </row>
    <row r="72" spans="2:64" ht="13" x14ac:dyDescent="0.3">
      <c r="B72" s="18">
        <f t="shared" si="35"/>
        <v>43</v>
      </c>
      <c r="D72" s="1" t="s">
        <v>51</v>
      </c>
      <c r="F72" s="48">
        <f ca="1">Function!V72</f>
        <v>1029780.7535093786</v>
      </c>
      <c r="H72" s="48"/>
      <c r="K72" s="70">
        <f>_xlfn.IFNA(MATCH(J72,'Dist Factors'!$B$15:$B$431,0),0)</f>
        <v>0</v>
      </c>
      <c r="L72" s="48">
        <f t="shared" ca="1" si="36"/>
        <v>1029780.7535093786</v>
      </c>
      <c r="O72" s="70">
        <f>_xlfn.IFNA(MATCH(N72,'Dist Factors'!$B$15:$B$431,0),0)</f>
        <v>0</v>
      </c>
      <c r="P72" s="20">
        <f t="shared" ca="1" si="25"/>
        <v>0</v>
      </c>
      <c r="R72" s="20">
        <f t="shared" ca="1" si="25"/>
        <v>0</v>
      </c>
      <c r="S72" s="20"/>
      <c r="T72" s="20">
        <f t="shared" ref="T72" ca="1" si="101">T28+T50</f>
        <v>0</v>
      </c>
      <c r="U72" s="20"/>
      <c r="V72" s="20">
        <f t="shared" ref="V72" ca="1" si="102">V28+V50</f>
        <v>0</v>
      </c>
      <c r="W72" s="9"/>
      <c r="X72" s="20">
        <f t="shared" ref="X72" ca="1" si="103">X28+X50</f>
        <v>0</v>
      </c>
      <c r="Y72" s="9"/>
      <c r="Z72" s="20">
        <f t="shared" ref="Z72" ca="1" si="104">Z28+Z50</f>
        <v>0</v>
      </c>
      <c r="AA72" s="20"/>
      <c r="AB72" s="20">
        <f t="shared" ref="AB72" ca="1" si="105">AB28+AB50</f>
        <v>1029780.7535093786</v>
      </c>
      <c r="AC72" s="9"/>
      <c r="AD72" s="20">
        <f t="shared" ref="AD72" ca="1" si="106">AD28+AD50</f>
        <v>0</v>
      </c>
      <c r="AE72" s="9"/>
      <c r="AF72" s="20">
        <f t="shared" ref="AF72" ca="1" si="107">AF28+AF50</f>
        <v>0</v>
      </c>
      <c r="AG72" s="9"/>
      <c r="AH72" s="20">
        <f t="shared" ref="AH72" ca="1" si="108">AH28+AH50</f>
        <v>0</v>
      </c>
      <c r="AI72" s="9"/>
      <c r="AJ72" s="9">
        <f t="shared" ca="1" si="24"/>
        <v>1029780.7535093786</v>
      </c>
      <c r="AL72" s="25" t="str">
        <f t="shared" ca="1" si="34"/>
        <v/>
      </c>
      <c r="AM72" s="49"/>
      <c r="AO72" s="37"/>
      <c r="AR72" s="48"/>
      <c r="AT72" s="48"/>
      <c r="AV72" s="48"/>
      <c r="AX72" s="48"/>
      <c r="AZ72" s="48"/>
      <c r="BB72" s="48"/>
      <c r="BD72" s="48"/>
      <c r="BF72" s="48"/>
      <c r="BH72" s="48"/>
      <c r="BJ72" s="48"/>
      <c r="BL72" s="48"/>
    </row>
    <row r="73" spans="2:64" ht="13" x14ac:dyDescent="0.3">
      <c r="B73" s="18">
        <f>B72+1</f>
        <v>44</v>
      </c>
      <c r="D73" s="1" t="s">
        <v>52</v>
      </c>
      <c r="F73" s="48">
        <f ca="1">Function!V73</f>
        <v>253810.37950131294</v>
      </c>
      <c r="H73" s="48"/>
      <c r="K73" s="70">
        <f>_xlfn.IFNA(MATCH(J73,'Dist Factors'!$B$15:$B$431,0),0)</f>
        <v>0</v>
      </c>
      <c r="L73" s="48">
        <f t="shared" ca="1" si="36"/>
        <v>253810.37950131294</v>
      </c>
      <c r="O73" s="70">
        <f>_xlfn.IFNA(MATCH(N73,'Dist Factors'!$B$15:$B$431,0),0)</f>
        <v>0</v>
      </c>
      <c r="P73" s="20">
        <f t="shared" ca="1" si="25"/>
        <v>0</v>
      </c>
      <c r="R73" s="20">
        <f t="shared" ca="1" si="25"/>
        <v>0</v>
      </c>
      <c r="S73" s="20"/>
      <c r="T73" s="20">
        <f t="shared" ref="T73" ca="1" si="109">T29+T51</f>
        <v>0</v>
      </c>
      <c r="U73" s="20"/>
      <c r="V73" s="20">
        <f t="shared" ref="V73" ca="1" si="110">V29+V51</f>
        <v>0</v>
      </c>
      <c r="W73" s="9"/>
      <c r="X73" s="20">
        <f t="shared" ref="X73" ca="1" si="111">X29+X51</f>
        <v>0</v>
      </c>
      <c r="Y73" s="9"/>
      <c r="Z73" s="20">
        <f t="shared" ref="Z73" ca="1" si="112">Z29+Z51</f>
        <v>0</v>
      </c>
      <c r="AA73" s="20"/>
      <c r="AB73" s="20">
        <f t="shared" ref="AB73" ca="1" si="113">AB29+AB51</f>
        <v>0</v>
      </c>
      <c r="AC73" s="9"/>
      <c r="AD73" s="20">
        <f t="shared" ref="AD73" ca="1" si="114">AD29+AD51</f>
        <v>253810.37950131294</v>
      </c>
      <c r="AE73" s="9"/>
      <c r="AF73" s="20">
        <f t="shared" ref="AF73" ca="1" si="115">AF29+AF51</f>
        <v>0</v>
      </c>
      <c r="AG73" s="9"/>
      <c r="AH73" s="20">
        <f t="shared" ref="AH73" ca="1" si="116">AH29+AH51</f>
        <v>0</v>
      </c>
      <c r="AI73" s="9"/>
      <c r="AJ73" s="9">
        <f t="shared" ca="1" si="24"/>
        <v>253810.37950131294</v>
      </c>
      <c r="AL73" s="25" t="str">
        <f t="shared" ca="1" si="34"/>
        <v/>
      </c>
      <c r="AM73" s="49"/>
      <c r="AO73" s="37"/>
      <c r="AR73" s="48"/>
      <c r="AT73" s="48"/>
      <c r="AV73" s="48"/>
      <c r="AX73" s="48"/>
      <c r="AZ73" s="48"/>
      <c r="BB73" s="48"/>
      <c r="BD73" s="48"/>
      <c r="BF73" s="48"/>
      <c r="BH73" s="48"/>
      <c r="BJ73" s="48"/>
      <c r="BL73" s="48"/>
    </row>
    <row r="74" spans="2:64" ht="13" x14ac:dyDescent="0.3">
      <c r="B74" s="18">
        <f>B73+1</f>
        <v>45</v>
      </c>
      <c r="D74" s="1" t="s">
        <v>53</v>
      </c>
      <c r="F74" s="48">
        <f ca="1">Function!V74</f>
        <v>2387.408565560464</v>
      </c>
      <c r="H74" s="48"/>
      <c r="K74" s="70">
        <f>_xlfn.IFNA(MATCH(J74,'Dist Factors'!$B$15:$B$431,0),0)</f>
        <v>0</v>
      </c>
      <c r="L74" s="48">
        <f t="shared" ca="1" si="36"/>
        <v>2387.408565560464</v>
      </c>
      <c r="O74" s="70">
        <f>_xlfn.IFNA(MATCH(N74,'Dist Factors'!$B$15:$B$431,0),0)</f>
        <v>0</v>
      </c>
      <c r="P74" s="20">
        <f t="shared" ca="1" si="25"/>
        <v>1798.6302208240654</v>
      </c>
      <c r="R74" s="20">
        <f t="shared" ca="1" si="25"/>
        <v>344.01421847888173</v>
      </c>
      <c r="S74" s="20"/>
      <c r="T74" s="20">
        <f t="shared" ref="T74" ca="1" si="117">T30+T52</f>
        <v>244.76412625751692</v>
      </c>
      <c r="U74" s="20"/>
      <c r="V74" s="20">
        <f t="shared" ref="V74" ca="1" si="118">V30+V52</f>
        <v>0</v>
      </c>
      <c r="W74" s="9"/>
      <c r="X74" s="20">
        <f t="shared" ref="X74" ca="1" si="119">X30+X52</f>
        <v>0</v>
      </c>
      <c r="Y74" s="9"/>
      <c r="Z74" s="20">
        <f t="shared" ref="Z74" ca="1" si="120">Z30+Z52</f>
        <v>0</v>
      </c>
      <c r="AA74" s="20"/>
      <c r="AB74" s="20">
        <f t="shared" ref="AB74" ca="1" si="121">AB30+AB52</f>
        <v>0</v>
      </c>
      <c r="AC74" s="9"/>
      <c r="AD74" s="20">
        <f t="shared" ref="AD74" ca="1" si="122">AD30+AD52</f>
        <v>0</v>
      </c>
      <c r="AE74" s="9"/>
      <c r="AF74" s="20">
        <f t="shared" ref="AF74" ca="1" si="123">AF30+AF52</f>
        <v>0</v>
      </c>
      <c r="AG74" s="9"/>
      <c r="AH74" s="20">
        <f t="shared" ref="AH74" ca="1" si="124">AH30+AH52</f>
        <v>0</v>
      </c>
      <c r="AI74" s="9"/>
      <c r="AJ74" s="9">
        <f t="shared" ca="1" si="24"/>
        <v>2387.408565560464</v>
      </c>
      <c r="AL74" s="25" t="str">
        <f t="shared" ca="1" si="34"/>
        <v/>
      </c>
      <c r="AM74" s="49"/>
      <c r="AO74" s="37"/>
      <c r="AR74" s="48"/>
      <c r="AT74" s="48"/>
      <c r="AV74" s="48"/>
      <c r="AX74" s="48"/>
      <c r="AZ74" s="48"/>
      <c r="BB74" s="48"/>
      <c r="BD74" s="48"/>
      <c r="BF74" s="48"/>
      <c r="BH74" s="48"/>
      <c r="BJ74" s="48"/>
      <c r="BL74" s="48"/>
    </row>
    <row r="75" spans="2:64" ht="13" x14ac:dyDescent="0.3">
      <c r="B75" s="18">
        <f t="shared" si="35"/>
        <v>46</v>
      </c>
      <c r="D75" s="1" t="s">
        <v>68</v>
      </c>
      <c r="F75" s="40">
        <f ca="1">SUM(F62:F74)</f>
        <v>11514244.271743789</v>
      </c>
      <c r="H75" s="40">
        <f>SUM(H62:H74)</f>
        <v>0</v>
      </c>
      <c r="L75" s="40">
        <f ca="1">SUM(L62:L74)</f>
        <v>11514244.271743789</v>
      </c>
      <c r="P75" s="11">
        <f ca="1">SUM(P62:P74)</f>
        <v>1857369.8887525888</v>
      </c>
      <c r="Q75" s="12"/>
      <c r="R75" s="11">
        <f ca="1">SUM(R62:R74)</f>
        <v>355249.03524231946</v>
      </c>
      <c r="S75" s="13"/>
      <c r="T75" s="11">
        <f ca="1">SUM(T62:T74)</f>
        <v>2160421.9866759549</v>
      </c>
      <c r="U75" s="13"/>
      <c r="V75" s="11">
        <f ca="1">SUM(V62:V74)</f>
        <v>0</v>
      </c>
      <c r="W75" s="13"/>
      <c r="X75" s="11">
        <f ca="1">SUM(X62:X74)</f>
        <v>2330153.0816661459</v>
      </c>
      <c r="Y75" s="13"/>
      <c r="Z75" s="11">
        <f ca="1">SUM(Z62:Z74)</f>
        <v>3496978.1869334034</v>
      </c>
      <c r="AA75" s="13"/>
      <c r="AB75" s="11">
        <f ca="1">SUM(AB62:AB74)</f>
        <v>1029780.7535093786</v>
      </c>
      <c r="AC75" s="13"/>
      <c r="AD75" s="11">
        <f ca="1">SUM(AD62:AD74)</f>
        <v>284291.33896399941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4"/>
        <v>11514244.271743789</v>
      </c>
      <c r="AK75" s="8"/>
      <c r="AL75" s="25" t="str">
        <f t="shared" ca="1" si="34"/>
        <v/>
      </c>
      <c r="AM75" s="49"/>
      <c r="AO75" s="37"/>
      <c r="AR75" s="37"/>
      <c r="AT75" s="37"/>
      <c r="AV75" s="37"/>
      <c r="AX75" s="37"/>
      <c r="AZ75" s="37"/>
      <c r="BB75" s="37"/>
      <c r="BD75" s="37"/>
      <c r="BF75" s="37"/>
      <c r="BH75" s="37"/>
      <c r="BJ75" s="37"/>
      <c r="BL75" s="37"/>
    </row>
    <row r="76" spans="2:64" ht="13" x14ac:dyDescent="0.3">
      <c r="AJ76" s="8"/>
      <c r="AL76" s="25" t="str">
        <f t="shared" si="34"/>
        <v/>
      </c>
      <c r="AM76" s="49"/>
    </row>
    <row r="77" spans="2:64" ht="13" x14ac:dyDescent="0.3">
      <c r="B77" s="18">
        <f>B75+1</f>
        <v>47</v>
      </c>
      <c r="D77" s="1" t="s">
        <v>56</v>
      </c>
      <c r="F77" s="48">
        <f ca="1">Function!V77</f>
        <v>339631.78055670322</v>
      </c>
      <c r="H77" s="48"/>
      <c r="K77" s="70">
        <f>_xlfn.IFNA(MATCH(J77,'Dist Factors'!$B$15:$B$431,0),0)</f>
        <v>0</v>
      </c>
      <c r="L77" s="48">
        <f t="shared" ref="L77" ca="1" si="125">F77-H77</f>
        <v>339631.78055670322</v>
      </c>
      <c r="O77" s="70">
        <f>_xlfn.IFNA(MATCH(N77,'Dist Factors'!$B$15:$B$431,0),0)</f>
        <v>0</v>
      </c>
      <c r="P77" s="20">
        <f t="shared" ref="P77:R77" ca="1" si="126">P33+P55</f>
        <v>44565.562358433461</v>
      </c>
      <c r="R77" s="20">
        <f t="shared" ca="1" si="126"/>
        <v>8523.8126927413523</v>
      </c>
      <c r="S77" s="20"/>
      <c r="T77" s="20">
        <f t="shared" ref="T77" ca="1" si="127">T33+T55</f>
        <v>51881.334265211735</v>
      </c>
      <c r="U77" s="20"/>
      <c r="V77" s="20">
        <f t="shared" ref="V77" ca="1" si="128">V33+V55</f>
        <v>14147.005606596334</v>
      </c>
      <c r="W77" s="9"/>
      <c r="X77" s="20">
        <f t="shared" ref="X77" ca="1" si="129">X33+X55</f>
        <v>54928.443154608933</v>
      </c>
      <c r="Y77" s="9"/>
      <c r="Z77" s="20">
        <f t="shared" ref="Z77" ca="1" si="130">Z33+Z55</f>
        <v>83401.654092778423</v>
      </c>
      <c r="AA77" s="20"/>
      <c r="AB77" s="20">
        <f t="shared" ref="AB77" ca="1" si="131">AB33+AB55</f>
        <v>29977.671345172002</v>
      </c>
      <c r="AC77" s="9"/>
      <c r="AD77" s="20">
        <f t="shared" ref="AD77" ca="1" si="132">AD33+AD55</f>
        <v>7351.915714113502</v>
      </c>
      <c r="AE77" s="9"/>
      <c r="AF77" s="20">
        <f t="shared" ref="AF77" ca="1" si="133">AF33+AF55</f>
        <v>44854.381327047551</v>
      </c>
      <c r="AG77" s="9"/>
      <c r="AH77" s="20">
        <f t="shared" ref="AH77" ca="1" si="134">AH33+AH55</f>
        <v>0</v>
      </c>
      <c r="AI77" s="9"/>
      <c r="AJ77" s="9">
        <f ca="1">SUM(P77:AI77)</f>
        <v>339631.78055670328</v>
      </c>
      <c r="AL77" s="25" t="str">
        <f t="shared" ca="1" si="34"/>
        <v/>
      </c>
      <c r="AM77" s="49"/>
    </row>
    <row r="78" spans="2:64" ht="13" x14ac:dyDescent="0.3">
      <c r="AJ78" s="8"/>
      <c r="AL78" s="25" t="str">
        <f t="shared" si="34"/>
        <v/>
      </c>
      <c r="AM78" s="49"/>
    </row>
    <row r="79" spans="2:64" ht="13" x14ac:dyDescent="0.3">
      <c r="B79" s="18">
        <f>B77+1</f>
        <v>48</v>
      </c>
      <c r="D79" s="1" t="s">
        <v>69</v>
      </c>
      <c r="F79" s="40">
        <f ca="1">F75+F77</f>
        <v>11853876.052300492</v>
      </c>
      <c r="H79" s="40">
        <f>H75+H77</f>
        <v>0</v>
      </c>
      <c r="L79" s="40">
        <f ca="1">L75+L77</f>
        <v>11853876.052300492</v>
      </c>
      <c r="P79" s="10">
        <f ca="1">P75+P77</f>
        <v>1901935.4511110222</v>
      </c>
      <c r="Q79" s="14"/>
      <c r="R79" s="10">
        <f ca="1">R75+R77</f>
        <v>363772.8479350608</v>
      </c>
      <c r="S79" s="8"/>
      <c r="T79" s="10">
        <f ca="1">T75+T77</f>
        <v>2212303.3209411665</v>
      </c>
      <c r="U79" s="8"/>
      <c r="V79" s="10">
        <f ca="1">V75+V77</f>
        <v>14147.005606596334</v>
      </c>
      <c r="W79" s="8"/>
      <c r="X79" s="10">
        <f ca="1">X75+X77</f>
        <v>2385081.5248207548</v>
      </c>
      <c r="Y79" s="8"/>
      <c r="Z79" s="10">
        <f ca="1">Z75+Z77</f>
        <v>3580379.8410261818</v>
      </c>
      <c r="AA79" s="8"/>
      <c r="AB79" s="10">
        <f ca="1">AB75+AB77</f>
        <v>1059758.4248545507</v>
      </c>
      <c r="AC79" s="8"/>
      <c r="AD79" s="10">
        <f ca="1">AD75+AD77</f>
        <v>291643.25467811292</v>
      </c>
      <c r="AE79" s="8"/>
      <c r="AF79" s="10">
        <f ca="1">AF75+AF77</f>
        <v>44854.381327047551</v>
      </c>
      <c r="AG79" s="8"/>
      <c r="AH79" s="10">
        <f ca="1">AH75+AH77</f>
        <v>0</v>
      </c>
      <c r="AI79" s="8"/>
      <c r="AJ79" s="10">
        <f ca="1">AJ75+AJ77</f>
        <v>11853876.052300492</v>
      </c>
      <c r="AL79" s="25" t="str">
        <f t="shared" ca="1" si="34"/>
        <v/>
      </c>
      <c r="AM79" s="49"/>
    </row>
    <row r="80" spans="2:64" ht="13" x14ac:dyDescent="0.3">
      <c r="D80" s="6"/>
      <c r="E80" s="6"/>
      <c r="F80" s="74"/>
      <c r="H80" s="74"/>
      <c r="L80" s="74"/>
      <c r="AL80" s="25" t="str">
        <f t="shared" si="34"/>
        <v/>
      </c>
      <c r="AM80" s="49"/>
    </row>
    <row r="81" spans="2:39" ht="13" x14ac:dyDescent="0.3">
      <c r="E81" s="18"/>
      <c r="F81" s="2"/>
      <c r="G81" s="2"/>
      <c r="H81" s="2"/>
      <c r="I81" s="2"/>
      <c r="J81" s="2"/>
      <c r="K81" s="70"/>
      <c r="L81" s="2"/>
      <c r="M81" s="2"/>
      <c r="AL81" s="25" t="str">
        <f t="shared" si="34"/>
        <v/>
      </c>
      <c r="AM81" s="49"/>
    </row>
    <row r="82" spans="2:39" ht="13" x14ac:dyDescent="0.3">
      <c r="D82" s="6" t="s">
        <v>70</v>
      </c>
      <c r="E82" s="18"/>
      <c r="F82" s="2"/>
      <c r="G82" s="2"/>
      <c r="H82" s="2"/>
      <c r="I82" s="2"/>
      <c r="J82" s="2"/>
      <c r="K82" s="70"/>
      <c r="L82" s="2"/>
      <c r="M82" s="2"/>
      <c r="AL82" s="25" t="str">
        <f t="shared" si="34"/>
        <v/>
      </c>
      <c r="AM82" s="49"/>
    </row>
    <row r="83" spans="2:39" ht="13" x14ac:dyDescent="0.3">
      <c r="N83" s="1"/>
      <c r="AL83" s="25" t="str">
        <f t="shared" si="34"/>
        <v/>
      </c>
      <c r="AM83" s="49"/>
    </row>
    <row r="84" spans="2:39" ht="13" x14ac:dyDescent="0.3">
      <c r="B84" s="18">
        <f>B79+1</f>
        <v>49</v>
      </c>
      <c r="D84" s="1" t="s">
        <v>71</v>
      </c>
      <c r="F84" s="48">
        <f ca="1">+Function!V84</f>
        <v>84076.885985193789</v>
      </c>
      <c r="H84" s="48"/>
      <c r="K84" s="70">
        <f>_xlfn.IFNA(MATCH(J84,'Dist Factors'!$B$15:$B$431,0),0)</f>
        <v>0</v>
      </c>
      <c r="L84" s="48">
        <f t="shared" ref="L84:L88" ca="1" si="135">F84-H84</f>
        <v>84076.885985193789</v>
      </c>
      <c r="N84" s="18" t="s">
        <v>299</v>
      </c>
      <c r="O84" s="70">
        <f>_xlfn.IFNA(MATCH(N84,'Dist Factors'!$B$15:$B$431,0),0)</f>
        <v>38</v>
      </c>
      <c r="P84" s="20">
        <f ca="1">OFFSET('Dist Factors'!$B$15,$O84-1,P$14)*$L84+OFFSET('Dist Factors'!$B$15,$K84-1,P$14)*$H84</f>
        <v>13552.171035064954</v>
      </c>
      <c r="R84" s="20">
        <f ca="1">OFFSET('Dist Factors'!$B$15,$O84-1,R$14)*$L84+OFFSET('Dist Factors'!$B$15,$K84-1,R$14)*$H84</f>
        <v>2592.0500352673876</v>
      </c>
      <c r="S84" s="20"/>
      <c r="T84" s="20">
        <f ca="1">OFFSET('Dist Factors'!$B$15,$O84-1,T$14)*$L84+OFFSET('Dist Factors'!$B$15,$K84-1,T$14)*$H84</f>
        <v>15776.861735403909</v>
      </c>
      <c r="U84" s="20"/>
      <c r="V84" s="20">
        <f ca="1">OFFSET('Dist Factors'!$B$15,$O84-1,V$14)*$L84+OFFSET('Dist Factors'!$B$15,$K84-1,V$14)*$H84</f>
        <v>0</v>
      </c>
      <c r="W84" s="9"/>
      <c r="X84" s="20">
        <f ca="1">OFFSET('Dist Factors'!$B$15,$O84-1,X$14)*$L84+OFFSET('Dist Factors'!$B$15,$K84-1,X$14)*$H84</f>
        <v>17018.281003991262</v>
      </c>
      <c r="Y84" s="9"/>
      <c r="Z84" s="20">
        <f ca="1">OFFSET('Dist Factors'!$B$15,$O84-1,Z$14)*$L84+OFFSET('Dist Factors'!$B$15,$K84-1,Z$14)*$H84</f>
        <v>25540.192152314237</v>
      </c>
      <c r="AA84" s="20"/>
      <c r="AB84" s="20">
        <f ca="1">OFFSET('Dist Factors'!$B$15,$O84-1,AB$14)*$L84+OFFSET('Dist Factors'!$B$15,$K84-1,AB$14)*$H84</f>
        <v>7521.0072563959484</v>
      </c>
      <c r="AC84" s="9"/>
      <c r="AD84" s="20">
        <f ca="1">OFFSET('Dist Factors'!$B$15,$O84-1,AD$14)*$L84+OFFSET('Dist Factors'!$B$15,$K84-1,AD$14)*$H84</f>
        <v>2076.3227667560855</v>
      </c>
      <c r="AE84" s="9"/>
      <c r="AF84" s="20">
        <f ca="1">OFFSET('Dist Factors'!$B$15,$O84-1,AF$14)*$L84+OFFSET('Dist Factors'!$B$15,$K84-1,AF$14)*$H84</f>
        <v>0</v>
      </c>
      <c r="AG84" s="9"/>
      <c r="AH84" s="20">
        <f ca="1">OFFSET('Dist Factors'!$B$15,$O84-1,AH$14)*$L84+OFFSET('Dist Factors'!$B$15,$K84-1,AH$14)*$H84</f>
        <v>0</v>
      </c>
      <c r="AI84" s="9"/>
      <c r="AJ84" s="20">
        <f t="shared" ref="AJ84:AJ88" ca="1" si="136">SUM(P84:AI84)</f>
        <v>84076.885985193789</v>
      </c>
      <c r="AL84" s="25" t="str">
        <f t="shared" ca="1" si="34"/>
        <v/>
      </c>
      <c r="AM84" s="49"/>
    </row>
    <row r="85" spans="2:39" ht="13" x14ac:dyDescent="0.3">
      <c r="B85" s="18">
        <f>B84+1</f>
        <v>50</v>
      </c>
      <c r="D85" s="1" t="s">
        <v>73</v>
      </c>
      <c r="F85" s="48">
        <f ca="1">+Function!V85</f>
        <v>-3989.230434967275</v>
      </c>
      <c r="H85" s="48"/>
      <c r="K85" s="70">
        <f>_xlfn.IFNA(MATCH(J85,'Dist Factors'!$B$15:$B$431,0),0)</f>
        <v>0</v>
      </c>
      <c r="L85" s="48">
        <f t="shared" ca="1" si="135"/>
        <v>-3989.230434967275</v>
      </c>
      <c r="N85" s="18" t="s">
        <v>299</v>
      </c>
      <c r="O85" s="70">
        <f>_xlfn.IFNA(MATCH(N85,'Dist Factors'!$B$15:$B$431,0),0)</f>
        <v>38</v>
      </c>
      <c r="P85" s="20">
        <f ca="1">OFFSET('Dist Factors'!$B$15,$O85-1,P$14)*$L85+OFFSET('Dist Factors'!$B$15,$K85-1,P$14)*$H85</f>
        <v>-643.01540809306016</v>
      </c>
      <c r="R85" s="20">
        <f ca="1">OFFSET('Dist Factors'!$B$15,$O85-1,R$14)*$L85+OFFSET('Dist Factors'!$B$15,$K85-1,R$14)*$H85</f>
        <v>-122.98605934891091</v>
      </c>
      <c r="S85" s="20"/>
      <c r="T85" s="20">
        <f ca="1">OFFSET('Dist Factors'!$B$15,$O85-1,T$14)*$L85+OFFSET('Dist Factors'!$B$15,$K85-1,T$14)*$H85</f>
        <v>-748.57121866082662</v>
      </c>
      <c r="U85" s="20"/>
      <c r="V85" s="20">
        <f ca="1">OFFSET('Dist Factors'!$B$15,$O85-1,V$14)*$L85+OFFSET('Dist Factors'!$B$15,$K85-1,V$14)*$H85</f>
        <v>0</v>
      </c>
      <c r="W85" s="9"/>
      <c r="X85" s="20">
        <f ca="1">OFFSET('Dist Factors'!$B$15,$O85-1,X$14)*$L85+OFFSET('Dist Factors'!$B$15,$K85-1,X$14)*$H85</f>
        <v>-807.4733470017311</v>
      </c>
      <c r="Y85" s="9"/>
      <c r="Z85" s="20">
        <f ca="1">OFFSET('Dist Factors'!$B$15,$O85-1,Z$14)*$L85+OFFSET('Dist Factors'!$B$15,$K85-1,Z$14)*$H85</f>
        <v>-1211.8159545878841</v>
      </c>
      <c r="AA85" s="20"/>
      <c r="AB85" s="20">
        <f ca="1">OFFSET('Dist Factors'!$B$15,$O85-1,AB$14)*$L85+OFFSET('Dist Factors'!$B$15,$K85-1,AB$14)*$H85</f>
        <v>-356.85231080166398</v>
      </c>
      <c r="AC85" s="9"/>
      <c r="AD85" s="20">
        <f ca="1">OFFSET('Dist Factors'!$B$15,$O85-1,AD$14)*$L85+OFFSET('Dist Factors'!$B$15,$K85-1,AD$14)*$H85</f>
        <v>-98.516136473197719</v>
      </c>
      <c r="AE85" s="9"/>
      <c r="AF85" s="20">
        <f ca="1">OFFSET('Dist Factors'!$B$15,$O85-1,AF$14)*$L85+OFFSET('Dist Factors'!$B$15,$K85-1,AF$14)*$H85</f>
        <v>0</v>
      </c>
      <c r="AG85" s="9"/>
      <c r="AH85" s="20">
        <f ca="1">OFFSET('Dist Factors'!$B$15,$O85-1,AH$14)*$L85+OFFSET('Dist Factors'!$B$15,$K85-1,AH$14)*$H85</f>
        <v>0</v>
      </c>
      <c r="AI85" s="9"/>
      <c r="AJ85" s="20">
        <f t="shared" ca="1" si="136"/>
        <v>-3989.2304349672745</v>
      </c>
      <c r="AL85" s="25" t="str">
        <f t="shared" ca="1" si="34"/>
        <v/>
      </c>
      <c r="AM85" s="49"/>
    </row>
    <row r="86" spans="2:39" ht="13" x14ac:dyDescent="0.3">
      <c r="B86" s="18">
        <f t="shared" ref="B86:B89" si="137">B85+1</f>
        <v>51</v>
      </c>
      <c r="D86" s="1" t="s">
        <v>74</v>
      </c>
      <c r="F86" s="48">
        <f ca="1">+Function!V86</f>
        <v>-47296.412746348738</v>
      </c>
      <c r="H86" s="48"/>
      <c r="K86" s="70">
        <f>_xlfn.IFNA(MATCH(J86,'Dist Factors'!$B$15:$B$431,0),0)</f>
        <v>0</v>
      </c>
      <c r="L86" s="48">
        <f t="shared" ca="1" si="135"/>
        <v>-47296.412746348738</v>
      </c>
      <c r="N86" s="18" t="s">
        <v>299</v>
      </c>
      <c r="O86" s="70">
        <f>_xlfn.IFNA(MATCH(N86,'Dist Factors'!$B$15:$B$431,0),0)</f>
        <v>38</v>
      </c>
      <c r="P86" s="20">
        <f ca="1">OFFSET('Dist Factors'!$B$15,$O86-1,P$14)*$L86+OFFSET('Dist Factors'!$B$15,$K86-1,P$14)*$H86</f>
        <v>-7623.6062667261604</v>
      </c>
      <c r="R86" s="20">
        <f ca="1">OFFSET('Dist Factors'!$B$15,$O86-1,R$14)*$L86+OFFSET('Dist Factors'!$B$15,$K86-1,R$14)*$H86</f>
        <v>-1458.1257011443488</v>
      </c>
      <c r="S86" s="20"/>
      <c r="T86" s="20">
        <f ca="1">OFFSET('Dist Factors'!$B$15,$O86-1,T$14)*$L86+OFFSET('Dist Factors'!$B$15,$K86-1,T$14)*$H86</f>
        <v>-8875.0785157664541</v>
      </c>
      <c r="U86" s="20"/>
      <c r="V86" s="20">
        <f ca="1">OFFSET('Dist Factors'!$B$15,$O86-1,V$14)*$L86+OFFSET('Dist Factors'!$B$15,$K86-1,V$14)*$H86</f>
        <v>0</v>
      </c>
      <c r="W86" s="9"/>
      <c r="X86" s="20">
        <f ca="1">OFFSET('Dist Factors'!$B$15,$O86-1,X$14)*$L86+OFFSET('Dist Factors'!$B$15,$K86-1,X$14)*$H86</f>
        <v>-9573.4235773178261</v>
      </c>
      <c r="Y86" s="9"/>
      <c r="Z86" s="20">
        <f ca="1">OFFSET('Dist Factors'!$B$15,$O86-1,Z$14)*$L86+OFFSET('Dist Factors'!$B$15,$K86-1,Z$14)*$H86</f>
        <v>-14367.319335181333</v>
      </c>
      <c r="AA86" s="20"/>
      <c r="AB86" s="20">
        <f ca="1">OFFSET('Dist Factors'!$B$15,$O86-1,AB$14)*$L86+OFFSET('Dist Factors'!$B$15,$K86-1,AB$14)*$H86</f>
        <v>-4230.849647897634</v>
      </c>
      <c r="AC86" s="9"/>
      <c r="AD86" s="20">
        <f ca="1">OFFSET('Dist Factors'!$B$15,$O86-1,AD$14)*$L86+OFFSET('Dist Factors'!$B$15,$K86-1,AD$14)*$H86</f>
        <v>-1168.0097023149788</v>
      </c>
      <c r="AE86" s="9"/>
      <c r="AF86" s="20">
        <f ca="1">OFFSET('Dist Factors'!$B$15,$O86-1,AF$14)*$L86+OFFSET('Dist Factors'!$B$15,$K86-1,AF$14)*$H86</f>
        <v>0</v>
      </c>
      <c r="AG86" s="9"/>
      <c r="AH86" s="20">
        <f ca="1">OFFSET('Dist Factors'!$B$15,$O86-1,AH$14)*$L86+OFFSET('Dist Factors'!$B$15,$K86-1,AH$14)*$H86</f>
        <v>0</v>
      </c>
      <c r="AI86" s="9"/>
      <c r="AJ86" s="20">
        <f t="shared" ca="1" si="136"/>
        <v>-47296.412746348731</v>
      </c>
      <c r="AL86" s="25" t="str">
        <f t="shared" ca="1" si="34"/>
        <v/>
      </c>
      <c r="AM86" s="49"/>
    </row>
    <row r="87" spans="2:39" ht="13" x14ac:dyDescent="0.3">
      <c r="B87" s="18">
        <f t="shared" si="137"/>
        <v>52</v>
      </c>
      <c r="D87" s="1" t="s">
        <v>75</v>
      </c>
      <c r="F87" s="48">
        <f ca="1">+Function!V87</f>
        <v>0</v>
      </c>
      <c r="H87" s="48"/>
      <c r="K87" s="70">
        <f>_xlfn.IFNA(MATCH(J87,'Dist Factors'!$B$15:$B$431,0),0)</f>
        <v>0</v>
      </c>
      <c r="L87" s="48">
        <f t="shared" ca="1" si="135"/>
        <v>0</v>
      </c>
      <c r="O87" s="70">
        <f>_xlfn.IFNA(MATCH(N87,'Dist Factors'!$B$15:$B$431,0),0)</f>
        <v>0</v>
      </c>
      <c r="P87" s="20">
        <f ca="1">OFFSET('Dist Factors'!$B$15,$O87-1,P$14)*$L87+OFFSET('Dist Factors'!$B$15,$K87-1,P$14)*$H87</f>
        <v>0</v>
      </c>
      <c r="R87" s="20">
        <f ca="1">OFFSET('Dist Factors'!$B$15,$O87-1,R$14)*$L87+OFFSET('Dist Factors'!$B$15,$K87-1,R$14)*$H87</f>
        <v>0</v>
      </c>
      <c r="S87" s="20"/>
      <c r="T87" s="20">
        <f ca="1">OFFSET('Dist Factors'!$B$15,$O87-1,T$14)*$L87+OFFSET('Dist Factors'!$B$15,$K87-1,T$14)*$H87</f>
        <v>0</v>
      </c>
      <c r="U87" s="20"/>
      <c r="V87" s="20">
        <f ca="1">OFFSET('Dist Factors'!$B$15,$O87-1,V$14)*$L87+OFFSET('Dist Factors'!$B$15,$K87-1,V$14)*$H87</f>
        <v>0</v>
      </c>
      <c r="W87" s="9"/>
      <c r="X87" s="20">
        <f ca="1">OFFSET('Dist Factors'!$B$15,$O87-1,X$14)*$L87+OFFSET('Dist Factors'!$B$15,$K87-1,X$14)*$H87</f>
        <v>0</v>
      </c>
      <c r="Y87" s="9"/>
      <c r="Z87" s="20">
        <f ca="1">OFFSET('Dist Factors'!$B$15,$O87-1,Z$14)*$L87+OFFSET('Dist Factors'!$B$15,$K87-1,Z$14)*$H87</f>
        <v>0</v>
      </c>
      <c r="AA87" s="20"/>
      <c r="AB87" s="20">
        <f ca="1">OFFSET('Dist Factors'!$B$15,$O87-1,AB$14)*$L87+OFFSET('Dist Factors'!$B$15,$K87-1,AB$14)*$H87</f>
        <v>0</v>
      </c>
      <c r="AC87" s="9"/>
      <c r="AD87" s="20">
        <f ca="1">OFFSET('Dist Factors'!$B$15,$O87-1,AD$14)*$L87+OFFSET('Dist Factors'!$B$15,$K87-1,AD$14)*$H87</f>
        <v>0</v>
      </c>
      <c r="AE87" s="9"/>
      <c r="AF87" s="20">
        <f ca="1">OFFSET('Dist Factors'!$B$15,$O87-1,AF$14)*$L87+OFFSET('Dist Factors'!$B$15,$K87-1,AF$14)*$H87</f>
        <v>0</v>
      </c>
      <c r="AG87" s="9"/>
      <c r="AH87" s="20">
        <f ca="1">OFFSET('Dist Factors'!$B$15,$O87-1,AH$14)*$L87+OFFSET('Dist Factors'!$B$15,$K87-1,AH$14)*$H87</f>
        <v>0</v>
      </c>
      <c r="AI87" s="9"/>
      <c r="AJ87" s="20">
        <f t="shared" ca="1" si="136"/>
        <v>0</v>
      </c>
      <c r="AL87" s="25" t="str">
        <f t="shared" ca="1" si="34"/>
        <v/>
      </c>
      <c r="AM87" s="49"/>
    </row>
    <row r="88" spans="2:39" ht="13" x14ac:dyDescent="0.3">
      <c r="B88" s="18">
        <f t="shared" si="137"/>
        <v>53</v>
      </c>
      <c r="D88" s="1" t="s">
        <v>76</v>
      </c>
      <c r="F88" s="48">
        <f ca="1">+Function!V88</f>
        <v>-102473.00891693014</v>
      </c>
      <c r="H88" s="48"/>
      <c r="K88" s="70">
        <f>_xlfn.IFNA(MATCH(J88,'Dist Factors'!$B$15:$B$431,0),0)</f>
        <v>0</v>
      </c>
      <c r="L88" s="48">
        <f t="shared" ca="1" si="135"/>
        <v>-102473.00891693014</v>
      </c>
      <c r="N88" s="18" t="s">
        <v>299</v>
      </c>
      <c r="O88" s="70">
        <f>_xlfn.IFNA(MATCH(N88,'Dist Factors'!$B$15:$B$431,0),0)</f>
        <v>38</v>
      </c>
      <c r="P88" s="20">
        <f ca="1">OFFSET('Dist Factors'!$B$15,$O88-1,P$14)*$L88+OFFSET('Dist Factors'!$B$15,$K88-1,P$14)*$H88</f>
        <v>-16517.402221159016</v>
      </c>
      <c r="R88" s="20">
        <f ca="1">OFFSET('Dist Factors'!$B$15,$O88-1,R$14)*$L88+OFFSET('Dist Factors'!$B$15,$K88-1,R$14)*$H88</f>
        <v>-3159.1936745119192</v>
      </c>
      <c r="S88" s="20"/>
      <c r="T88" s="20">
        <f ca="1">OFFSET('Dist Factors'!$B$15,$O88-1,T$14)*$L88+OFFSET('Dist Factors'!$B$15,$K88-1,T$14)*$H88</f>
        <v>-19228.857900112107</v>
      </c>
      <c r="U88" s="20"/>
      <c r="V88" s="20">
        <f ca="1">OFFSET('Dist Factors'!$B$15,$O88-1,V$14)*$L88+OFFSET('Dist Factors'!$B$15,$K88-1,V$14)*$H88</f>
        <v>0</v>
      </c>
      <c r="W88" s="9"/>
      <c r="X88" s="20">
        <f ca="1">OFFSET('Dist Factors'!$B$15,$O88-1,X$14)*$L88+OFFSET('Dist Factors'!$B$15,$K88-1,X$14)*$H88</f>
        <v>-20741.901185302322</v>
      </c>
      <c r="Y88" s="9"/>
      <c r="Z88" s="20">
        <f ca="1">OFFSET('Dist Factors'!$B$15,$O88-1,Z$14)*$L88+OFFSET('Dist Factors'!$B$15,$K88-1,Z$14)*$H88</f>
        <v>-31128.416656928752</v>
      </c>
      <c r="AA88" s="20"/>
      <c r="AB88" s="20">
        <f ca="1">OFFSET('Dist Factors'!$B$15,$O88-1,AB$14)*$L88+OFFSET('Dist Factors'!$B$15,$K88-1,AB$14)*$H88</f>
        <v>-9166.6126143715774</v>
      </c>
      <c r="AC88" s="9"/>
      <c r="AD88" s="20">
        <f ca="1">OFFSET('Dist Factors'!$B$15,$O88-1,AD$14)*$L88+OFFSET('Dist Factors'!$B$15,$K88-1,AD$14)*$H88</f>
        <v>-2530.6246645444312</v>
      </c>
      <c r="AE88" s="9"/>
      <c r="AF88" s="20">
        <f ca="1">OFFSET('Dist Factors'!$B$15,$O88-1,AF$14)*$L88+OFFSET('Dist Factors'!$B$15,$K88-1,AF$14)*$H88</f>
        <v>0</v>
      </c>
      <c r="AG88" s="9"/>
      <c r="AH88" s="20">
        <f ca="1">OFFSET('Dist Factors'!$B$15,$O88-1,AH$14)*$L88+OFFSET('Dist Factors'!$B$15,$K88-1,AH$14)*$H88</f>
        <v>0</v>
      </c>
      <c r="AI88" s="9"/>
      <c r="AJ88" s="20">
        <f t="shared" ca="1" si="136"/>
        <v>-102473.00891693014</v>
      </c>
      <c r="AL88" s="25" t="str">
        <f t="shared" ca="1" si="34"/>
        <v/>
      </c>
      <c r="AM88" s="49"/>
    </row>
    <row r="89" spans="2:39" ht="13" x14ac:dyDescent="0.3">
      <c r="B89" s="18">
        <f t="shared" si="137"/>
        <v>54</v>
      </c>
      <c r="D89" s="1" t="s">
        <v>77</v>
      </c>
      <c r="F89" s="40">
        <f ca="1">SUM(F81:F88)</f>
        <v>-69681.766113052363</v>
      </c>
      <c r="H89" s="40">
        <f>SUM(H81:H88)</f>
        <v>0</v>
      </c>
      <c r="L89" s="40">
        <f ca="1">SUM(L81:L88)</f>
        <v>-69681.766113052363</v>
      </c>
      <c r="P89" s="11">
        <f ca="1">SUM(P81:P88)</f>
        <v>-11231.852860913285</v>
      </c>
      <c r="Q89" s="13"/>
      <c r="R89" s="11">
        <f ca="1">SUM(R81:R88)</f>
        <v>-2148.2553997377918</v>
      </c>
      <c r="S89" s="13"/>
      <c r="T89" s="11">
        <f ca="1">SUM(T81:T88)</f>
        <v>-13075.645899135479</v>
      </c>
      <c r="U89" s="13"/>
      <c r="V89" s="11">
        <f ca="1">SUM(V81:V88)</f>
        <v>0</v>
      </c>
      <c r="W89" s="13"/>
      <c r="X89" s="11">
        <f ca="1">SUM(X81:X88)</f>
        <v>-14104.517105630617</v>
      </c>
      <c r="Y89" s="13"/>
      <c r="Z89" s="11">
        <f ca="1">SUM(Z81:Z88)</f>
        <v>-21167.35979438373</v>
      </c>
      <c r="AA89" s="13"/>
      <c r="AB89" s="11">
        <f ca="1">SUM(AB81:AB88)</f>
        <v>-6233.3073166749273</v>
      </c>
      <c r="AC89" s="13"/>
      <c r="AD89" s="11">
        <f ca="1">SUM(AD81:AD88)</f>
        <v>-1720.8277365765223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-69681.766113052348</v>
      </c>
      <c r="AL89" s="25" t="str">
        <f t="shared" ca="1" si="34"/>
        <v/>
      </c>
      <c r="AM89" s="49"/>
    </row>
    <row r="90" spans="2:39" ht="13" x14ac:dyDescent="0.3">
      <c r="AL90" s="25" t="str">
        <f t="shared" si="34"/>
        <v/>
      </c>
      <c r="AM90" s="49"/>
    </row>
    <row r="91" spans="2:39" ht="13" x14ac:dyDescent="0.3">
      <c r="AL91" s="25" t="str">
        <f t="shared" si="34"/>
        <v/>
      </c>
      <c r="AM91" s="49"/>
    </row>
    <row r="92" spans="2:39" ht="13" x14ac:dyDescent="0.3">
      <c r="B92" s="18">
        <f>B89+1</f>
        <v>55</v>
      </c>
      <c r="D92" s="1" t="s">
        <v>78</v>
      </c>
      <c r="F92" s="40">
        <f ca="1">F79+F89</f>
        <v>11784194.28618744</v>
      </c>
      <c r="H92" s="40">
        <f>H79+H89</f>
        <v>0</v>
      </c>
      <c r="L92" s="40">
        <f ca="1">L79+L89</f>
        <v>11784194.28618744</v>
      </c>
      <c r="P92" s="88">
        <f ca="1">P79+P89</f>
        <v>1890703.5982501088</v>
      </c>
      <c r="Q92" s="14"/>
      <c r="R92" s="10">
        <f ca="1">R79+R89</f>
        <v>361624.592535323</v>
      </c>
      <c r="S92" s="8"/>
      <c r="T92" s="10">
        <f ca="1">T79+T89</f>
        <v>2199227.6750420309</v>
      </c>
      <c r="U92" s="8"/>
      <c r="V92" s="10">
        <f ca="1">V79+V89</f>
        <v>14147.005606596334</v>
      </c>
      <c r="W92" s="8"/>
      <c r="X92" s="10">
        <f ca="1">X79+X89</f>
        <v>2370977.0077151242</v>
      </c>
      <c r="Y92" s="8"/>
      <c r="Z92" s="10">
        <f ca="1">Z79+Z89</f>
        <v>3559212.481231798</v>
      </c>
      <c r="AA92" s="8"/>
      <c r="AB92" s="10">
        <f ca="1">AB79+AB89</f>
        <v>1053525.1175378759</v>
      </c>
      <c r="AC92" s="8"/>
      <c r="AD92" s="10">
        <f ca="1">AD79+AD89</f>
        <v>289922.42694153643</v>
      </c>
      <c r="AE92" s="8"/>
      <c r="AF92" s="10">
        <f ca="1">AF79+AF89</f>
        <v>44854.381327047551</v>
      </c>
      <c r="AG92" s="8"/>
      <c r="AH92" s="10">
        <f ca="1">AH79+AH89</f>
        <v>0</v>
      </c>
      <c r="AI92" s="8"/>
      <c r="AJ92" s="10">
        <f ca="1">AJ79+AJ89</f>
        <v>11784194.28618744</v>
      </c>
      <c r="AL92" s="25" t="str">
        <f t="shared" ca="1" si="34"/>
        <v/>
      </c>
      <c r="AM92" s="49"/>
    </row>
    <row r="93" spans="2:39" ht="13" x14ac:dyDescent="0.3">
      <c r="AL93" s="25" t="str">
        <f t="shared" si="34"/>
        <v/>
      </c>
      <c r="AM93" s="49"/>
    </row>
    <row r="94" spans="2:39" ht="13" x14ac:dyDescent="0.3">
      <c r="AL94" s="25" t="str">
        <f t="shared" si="34"/>
        <v/>
      </c>
      <c r="AM94" s="49"/>
    </row>
    <row r="95" spans="2:39" ht="13" x14ac:dyDescent="0.3">
      <c r="B95" s="18">
        <f>B92+1</f>
        <v>56</v>
      </c>
      <c r="D95" s="1" t="s">
        <v>79</v>
      </c>
      <c r="F95" s="82">
        <f>Function!V95</f>
        <v>6.0821321807016528E-2</v>
      </c>
      <c r="H95" s="82">
        <f>$F$95</f>
        <v>6.0821321807016528E-2</v>
      </c>
      <c r="L95" s="82">
        <f>$F$95</f>
        <v>6.0821321807016528E-2</v>
      </c>
      <c r="P95" s="82">
        <f>$F$95</f>
        <v>6.0821321807016528E-2</v>
      </c>
      <c r="R95" s="82">
        <f>$F$95</f>
        <v>6.0821321807016528E-2</v>
      </c>
      <c r="T95" s="82">
        <f>$F$95</f>
        <v>6.0821321807016528E-2</v>
      </c>
      <c r="V95" s="82">
        <f>$F$95</f>
        <v>6.0821321807016528E-2</v>
      </c>
      <c r="X95" s="82">
        <f>$F$95</f>
        <v>6.0821321807016528E-2</v>
      </c>
      <c r="Z95" s="82">
        <f>$F$95</f>
        <v>6.0821321807016528E-2</v>
      </c>
      <c r="AB95" s="82">
        <f>$F$95</f>
        <v>6.0821321807016528E-2</v>
      </c>
      <c r="AD95" s="82">
        <f>$F$95</f>
        <v>6.0821321807016528E-2</v>
      </c>
      <c r="AF95" s="82">
        <f>$F$95</f>
        <v>6.0821321807016528E-2</v>
      </c>
      <c r="AH95" s="82">
        <f>$F$95</f>
        <v>6.0821321807016528E-2</v>
      </c>
      <c r="AJ95" s="17"/>
      <c r="AL95" s="25"/>
      <c r="AM95" s="49"/>
    </row>
    <row r="96" spans="2:39" ht="13" x14ac:dyDescent="0.3">
      <c r="AL96" s="25" t="str">
        <f t="shared" si="34"/>
        <v/>
      </c>
      <c r="AM96" s="49"/>
    </row>
    <row r="97" spans="2:60" ht="13" x14ac:dyDescent="0.3">
      <c r="B97" s="18">
        <f>B95+1</f>
        <v>57</v>
      </c>
      <c r="D97" s="1" t="s">
        <v>80</v>
      </c>
      <c r="F97" s="40">
        <f ca="1">F92*F95</f>
        <v>716730.27291661175</v>
      </c>
      <c r="H97" s="40">
        <f>H92*H95</f>
        <v>0</v>
      </c>
      <c r="L97" s="40">
        <f ca="1">L92*L95</f>
        <v>716730.27291661175</v>
      </c>
      <c r="N97" s="50"/>
      <c r="P97" s="10">
        <f ca="1">P92*P95</f>
        <v>114995.09199085395</v>
      </c>
      <c r="R97" s="10">
        <f ca="1">R92*R95</f>
        <v>21994.485715922106</v>
      </c>
      <c r="S97" s="20"/>
      <c r="T97" s="10">
        <f ca="1">T92*T95</f>
        <v>133759.93415062813</v>
      </c>
      <c r="U97" s="20"/>
      <c r="V97" s="10">
        <f ca="1">V92*V95</f>
        <v>860.43958060446266</v>
      </c>
      <c r="W97" s="9"/>
      <c r="X97" s="10">
        <f ca="1">X92*X95</f>
        <v>144205.95558327867</v>
      </c>
      <c r="Y97" s="9"/>
      <c r="Z97" s="10">
        <f ca="1">Z92*Z95</f>
        <v>216476.00770054894</v>
      </c>
      <c r="AA97" s="20"/>
      <c r="AB97" s="10">
        <f ca="1">AB92*AB95</f>
        <v>64076.790205546058</v>
      </c>
      <c r="AC97" s="9"/>
      <c r="AD97" s="10">
        <f ca="1">AD92*AD95</f>
        <v>17633.465228082427</v>
      </c>
      <c r="AE97" s="9"/>
      <c r="AF97" s="10">
        <f ca="1">AF92*AF95</f>
        <v>2728.1027611469922</v>
      </c>
      <c r="AG97" s="9"/>
      <c r="AH97" s="10">
        <f ca="1">AH92*AH95</f>
        <v>0</v>
      </c>
      <c r="AI97" s="9"/>
      <c r="AJ97" s="10">
        <f ca="1">SUM(P97:AI97)</f>
        <v>716730.27291661163</v>
      </c>
      <c r="AL97" s="25" t="str">
        <f t="shared" ca="1" si="34"/>
        <v/>
      </c>
      <c r="AM97" s="49"/>
    </row>
    <row r="98" spans="2:60" ht="13" x14ac:dyDescent="0.3">
      <c r="F98" s="48"/>
      <c r="H98" s="48"/>
      <c r="L98" s="48"/>
      <c r="AL98" s="25" t="str">
        <f t="shared" si="34"/>
        <v/>
      </c>
      <c r="AM98" s="49"/>
    </row>
    <row r="99" spans="2:60" ht="13" x14ac:dyDescent="0.3">
      <c r="F99" s="48"/>
      <c r="H99" s="48"/>
      <c r="L99" s="48"/>
      <c r="AL99" s="25" t="str">
        <f t="shared" si="34"/>
        <v/>
      </c>
      <c r="AM99" s="49"/>
    </row>
    <row r="100" spans="2:60" ht="13" x14ac:dyDescent="0.3">
      <c r="D100" s="6" t="s">
        <v>81</v>
      </c>
      <c r="AL100" s="25" t="str">
        <f t="shared" si="34"/>
        <v/>
      </c>
      <c r="AM100" s="49"/>
    </row>
    <row r="101" spans="2:60" ht="13" x14ac:dyDescent="0.3">
      <c r="AL101" s="25" t="str">
        <f t="shared" si="34"/>
        <v/>
      </c>
      <c r="AM101" s="49"/>
    </row>
    <row r="102" spans="2:60" ht="13" x14ac:dyDescent="0.3">
      <c r="B102" s="18">
        <f>B97+1</f>
        <v>58</v>
      </c>
      <c r="D102" s="1" t="s">
        <v>82</v>
      </c>
      <c r="F102" s="48">
        <f ca="1">Function!V102</f>
        <v>565624.78092949442</v>
      </c>
      <c r="H102" s="48"/>
      <c r="J102" s="2"/>
      <c r="K102" s="70">
        <f>_xlfn.IFNA(MATCH(J102,'Dist Factors'!$B$15:$B$431,0),0)</f>
        <v>0</v>
      </c>
      <c r="L102" s="48">
        <f t="shared" ref="L102" ca="1" si="138">F102-H102</f>
        <v>565624.78092949442</v>
      </c>
      <c r="N102" s="18" t="s">
        <v>300</v>
      </c>
      <c r="O102" s="70">
        <f>_xlfn.IFNA(MATCH(N102,'Dist Factors'!$B$15:$B$431,0),0)</f>
        <v>23</v>
      </c>
      <c r="P102" s="20">
        <f ca="1">OFFSET('Dist Factors'!$B$15,$O102-1,P$14)*$L102+OFFSET('Dist Factors'!$B$15,$K102-1,P$14)*$H102</f>
        <v>65144.815897887231</v>
      </c>
      <c r="R102" s="20">
        <f ca="1">OFFSET('Dist Factors'!$B$15,$O102-1,R$14)*$L102+OFFSET('Dist Factors'!$B$15,$K102-1,R$14)*$H102</f>
        <v>12459.894573991165</v>
      </c>
      <c r="S102" s="20"/>
      <c r="T102" s="20">
        <f ca="1">OFFSET('Dist Factors'!$B$15,$O102-1,T$14)*$L102+OFFSET('Dist Factors'!$B$15,$K102-1,T$14)*$H102</f>
        <v>75838.826896445171</v>
      </c>
      <c r="U102" s="20"/>
      <c r="V102" s="20">
        <f ca="1">OFFSET('Dist Factors'!$B$15,$O102-1,V$14)*$L102+OFFSET('Dist Factors'!$B$15,$K102-1,V$14)*$H102</f>
        <v>0</v>
      </c>
      <c r="W102" s="9"/>
      <c r="X102" s="20">
        <f ca="1">OFFSET('Dist Factors'!$B$15,$O102-1,X$14)*$L102+OFFSET('Dist Factors'!$B$15,$K102-1,X$14)*$H102</f>
        <v>79895.341118364959</v>
      </c>
      <c r="Y102" s="9"/>
      <c r="Z102" s="20">
        <f ca="1">OFFSET('Dist Factors'!$B$15,$O102-1,Z$14)*$L102+OFFSET('Dist Factors'!$B$15,$K102-1,Z$14)*$H102</f>
        <v>167835.0176424954</v>
      </c>
      <c r="AA102" s="20"/>
      <c r="AB102" s="20">
        <f ca="1">OFFSET('Dist Factors'!$B$15,$O102-1,AB$14)*$L102+OFFSET('Dist Factors'!$B$15,$K102-1,AB$14)*$H102</f>
        <v>150968.24809454844</v>
      </c>
      <c r="AC102" s="9"/>
      <c r="AD102" s="20">
        <f ca="1">OFFSET('Dist Factors'!$B$15,$O102-1,AD$14)*$L102+OFFSET('Dist Factors'!$B$15,$K102-1,AD$14)*$H102</f>
        <v>13482.636705762123</v>
      </c>
      <c r="AE102" s="9"/>
      <c r="AF102" s="20">
        <f ca="1">OFFSET('Dist Factors'!$B$15,$O102-1,AF$14)*$L102+OFFSET('Dist Factors'!$B$15,$K102-1,AF$14)*$H102</f>
        <v>0</v>
      </c>
      <c r="AG102" s="9"/>
      <c r="AH102" s="20">
        <f ca="1">OFFSET('Dist Factors'!$B$15,$O102-1,AH$14)*$L102+OFFSET('Dist Factors'!$B$15,$K102-1,AH$14)*$H102</f>
        <v>0</v>
      </c>
      <c r="AI102" s="9"/>
      <c r="AJ102" s="20">
        <f ca="1">SUM(P102:AI102)</f>
        <v>565624.78092949453</v>
      </c>
      <c r="AL102" s="25" t="str">
        <f t="shared" ca="1" si="34"/>
        <v/>
      </c>
      <c r="AM102" s="49"/>
    </row>
    <row r="103" spans="2:60" ht="13" x14ac:dyDescent="0.3">
      <c r="B103" s="18">
        <f>B102+1</f>
        <v>59</v>
      </c>
      <c r="D103" s="1" t="s">
        <v>56</v>
      </c>
      <c r="F103" s="84">
        <f ca="1">Function!V103</f>
        <v>47226.529641032546</v>
      </c>
      <c r="H103" s="84"/>
      <c r="K103" s="70">
        <f>_xlfn.IFNA(MATCH(J103,'Dist Factors'!$B$15:$B$431,0),0)</f>
        <v>0</v>
      </c>
      <c r="L103" s="84">
        <f t="shared" ref="L103" ca="1" si="139">F103-H103</f>
        <v>47226.529641032546</v>
      </c>
      <c r="N103" s="18" t="s">
        <v>298</v>
      </c>
      <c r="O103" s="70">
        <f>_xlfn.IFNA(MATCH(N103,'Dist Factors'!$B$15:$B$431,0),0)</f>
        <v>26</v>
      </c>
      <c r="P103" s="20">
        <f ca="1">OFFSET('Dist Factors'!$B$15,$O103-1,P$14)*$L103+OFFSET('Dist Factors'!$B$15,$K103-1,P$14)*$H103</f>
        <v>6196.9373073391043</v>
      </c>
      <c r="R103" s="20">
        <f ca="1">OFFSET('Dist Factors'!$B$15,$O103-1,R$14)*$L103+OFFSET('Dist Factors'!$B$15,$K103-1,R$14)*$H103</f>
        <v>1185.2544898140095</v>
      </c>
      <c r="S103" s="20"/>
      <c r="T103" s="20">
        <f ca="1">OFFSET('Dist Factors'!$B$15,$O103-1,T$14)*$L103+OFFSET('Dist Factors'!$B$15,$K103-1,T$14)*$H103</f>
        <v>7214.2111273455184</v>
      </c>
      <c r="U103" s="20"/>
      <c r="V103" s="20">
        <f ca="1">OFFSET('Dist Factors'!$B$15,$O103-1,V$14)*$L103+OFFSET('Dist Factors'!$B$15,$K103-1,V$14)*$H103</f>
        <v>1967.1715600838195</v>
      </c>
      <c r="W103" s="9"/>
      <c r="X103" s="20">
        <f ca="1">OFFSET('Dist Factors'!$B$15,$O103-1,X$14)*$L103+OFFSET('Dist Factors'!$B$15,$K103-1,X$14)*$H103</f>
        <v>7637.918172807199</v>
      </c>
      <c r="Y103" s="9"/>
      <c r="Z103" s="20">
        <f ca="1">OFFSET('Dist Factors'!$B$15,$O103-1,Z$14)*$L103+OFFSET('Dist Factors'!$B$15,$K103-1,Z$14)*$H103</f>
        <v>11597.179400194989</v>
      </c>
      <c r="AA103" s="20"/>
      <c r="AB103" s="20">
        <f ca="1">OFFSET('Dist Factors'!$B$15,$O103-1,AB$14)*$L103+OFFSET('Dist Factors'!$B$15,$K103-1,AB$14)*$H103</f>
        <v>4168.4596831053404</v>
      </c>
      <c r="AC103" s="9"/>
      <c r="AD103" s="20">
        <f ca="1">OFFSET('Dist Factors'!$B$15,$O103-1,AD$14)*$L103+OFFSET('Dist Factors'!$B$15,$K103-1,AD$14)*$H103</f>
        <v>1022.2996941624152</v>
      </c>
      <c r="AE103" s="9"/>
      <c r="AF103" s="20">
        <f ca="1">OFFSET('Dist Factors'!$B$15,$O103-1,AF$14)*$L103+OFFSET('Dist Factors'!$B$15,$K103-1,AF$14)*$H103</f>
        <v>6237.0982061801606</v>
      </c>
      <c r="AG103" s="9"/>
      <c r="AH103" s="20">
        <f ca="1">OFFSET('Dist Factors'!$B$15,$O103-1,AH$14)*$L103+OFFSET('Dist Factors'!$B$15,$K103-1,AH$14)*$H103</f>
        <v>0</v>
      </c>
      <c r="AI103" s="9"/>
      <c r="AJ103" s="20">
        <f ca="1">SUM(P103:AI103)</f>
        <v>47226.529641032561</v>
      </c>
      <c r="AL103" s="25" t="str">
        <f t="shared" ca="1" si="34"/>
        <v/>
      </c>
      <c r="AM103" s="49"/>
    </row>
    <row r="104" spans="2:60" ht="13" x14ac:dyDescent="0.3">
      <c r="B104" s="18">
        <f>B103+1</f>
        <v>60</v>
      </c>
      <c r="D104" s="1" t="s">
        <v>84</v>
      </c>
      <c r="F104" s="40">
        <f ca="1">F102+F103</f>
        <v>612851.31057052698</v>
      </c>
      <c r="H104" s="40">
        <f>H102+H103</f>
        <v>0</v>
      </c>
      <c r="L104" s="40">
        <f ca="1">L102+L103</f>
        <v>612851.31057052698</v>
      </c>
      <c r="P104" s="10">
        <f ca="1">P102+P103</f>
        <v>71341.753205226341</v>
      </c>
      <c r="R104" s="10">
        <f ca="1">R102+R103</f>
        <v>13645.149063805175</v>
      </c>
      <c r="T104" s="10">
        <f ca="1">T102+T103</f>
        <v>83053.038023790694</v>
      </c>
      <c r="V104" s="10">
        <f ca="1">V102+V103</f>
        <v>1967.1715600838195</v>
      </c>
      <c r="X104" s="10">
        <f ca="1">X102+X103</f>
        <v>87533.259291172159</v>
      </c>
      <c r="Z104" s="10">
        <f ca="1">Z102+Z103</f>
        <v>179432.19704269039</v>
      </c>
      <c r="AB104" s="10">
        <f ca="1">AB102+AB103</f>
        <v>155136.70777765379</v>
      </c>
      <c r="AD104" s="10">
        <f ca="1">AD102+AD103</f>
        <v>14504.936399924538</v>
      </c>
      <c r="AF104" s="10">
        <f ca="1">AF102+AF103</f>
        <v>6237.0982061801606</v>
      </c>
      <c r="AH104" s="10">
        <f ca="1">AH102+AH103</f>
        <v>0</v>
      </c>
      <c r="AJ104" s="10">
        <f ca="1">AJ102+AJ103</f>
        <v>612851.3105705271</v>
      </c>
      <c r="AL104" s="25" t="str">
        <f t="shared" ca="1" si="34"/>
        <v/>
      </c>
      <c r="AM104" s="49"/>
    </row>
    <row r="105" spans="2:60" ht="13" x14ac:dyDescent="0.3">
      <c r="AL105" s="25" t="str">
        <f t="shared" si="34"/>
        <v/>
      </c>
      <c r="AM105" s="49"/>
    </row>
    <row r="106" spans="2:60" ht="13" x14ac:dyDescent="0.3">
      <c r="D106" s="6" t="s">
        <v>85</v>
      </c>
      <c r="F106" s="48"/>
      <c r="H106" s="48"/>
      <c r="L106" s="48"/>
      <c r="AL106" s="25" t="str">
        <f t="shared" ref="AL106:AL111" si="140">IF(ROUND(F106,4)=ROUND(AJ106,4), "", "check")</f>
        <v/>
      </c>
      <c r="AM106" s="49"/>
    </row>
    <row r="107" spans="2:60" ht="13" x14ac:dyDescent="0.3">
      <c r="F107" s="48"/>
      <c r="H107" s="48"/>
      <c r="L107" s="48"/>
      <c r="AL107" s="25" t="str">
        <f t="shared" si="140"/>
        <v/>
      </c>
      <c r="AM107" s="49"/>
    </row>
    <row r="108" spans="2:60" ht="13" x14ac:dyDescent="0.3">
      <c r="B108" s="18">
        <f>B104+1</f>
        <v>61</v>
      </c>
      <c r="D108" s="1" t="s">
        <v>86</v>
      </c>
      <c r="F108" s="48">
        <f ca="1">Function!V108</f>
        <v>92491.927807701548</v>
      </c>
      <c r="H108" s="48"/>
      <c r="K108" s="70">
        <f>_xlfn.IFNA(MATCH(J108,'Dist Factors'!$B$15:$B$431,0),0)</f>
        <v>0</v>
      </c>
      <c r="L108" s="48">
        <f t="shared" ref="L108:L109" ca="1" si="141">F108-H108</f>
        <v>92491.927807701548</v>
      </c>
      <c r="N108" s="18" t="s">
        <v>301</v>
      </c>
      <c r="O108" s="70">
        <f>_xlfn.IFNA(MATCH(N108,'Dist Factors'!$B$15:$B$431,0),0)</f>
        <v>47</v>
      </c>
      <c r="P108" s="20">
        <f ca="1">OFFSET('Dist Factors'!$B$15,$O108-1,P$14)*$L108+OFFSET('Dist Factors'!$B$15,$K108-1,P$14)*$H108</f>
        <v>14839.777456833504</v>
      </c>
      <c r="R108" s="20">
        <f ca="1">OFFSET('Dist Factors'!$B$15,$O108-1,R$14)*$L108+OFFSET('Dist Factors'!$B$15,$K108-1,R$14)*$H108</f>
        <v>2838.3235114742711</v>
      </c>
      <c r="S108" s="20"/>
      <c r="T108" s="20">
        <f ca="1">OFFSET('Dist Factors'!$B$15,$O108-1,T$14)*$L108+OFFSET('Dist Factors'!$B$15,$K108-1,T$14)*$H108</f>
        <v>17261.324992843158</v>
      </c>
      <c r="U108" s="20"/>
      <c r="V108" s="20">
        <f ca="1">OFFSET('Dist Factors'!$B$15,$O108-1,V$14)*$L108+OFFSET('Dist Factors'!$B$15,$K108-1,V$14)*$H108</f>
        <v>111.03719011100868</v>
      </c>
      <c r="W108" s="9"/>
      <c r="X108" s="20">
        <f ca="1">OFFSET('Dist Factors'!$B$15,$O108-1,X$14)*$L108+OFFSET('Dist Factors'!$B$15,$K108-1,X$14)*$H108</f>
        <v>18609.353249407155</v>
      </c>
      <c r="Y108" s="9"/>
      <c r="Z108" s="20">
        <f ca="1">OFFSET('Dist Factors'!$B$15,$O108-1,Z$14)*$L108+OFFSET('Dist Factors'!$B$15,$K108-1,Z$14)*$H108</f>
        <v>27935.590323067208</v>
      </c>
      <c r="AA108" s="20"/>
      <c r="AB108" s="20">
        <f ca="1">OFFSET('Dist Factors'!$B$15,$O108-1,AB$14)*$L108+OFFSET('Dist Factors'!$B$15,$K108-1,AB$14)*$H108</f>
        <v>8268.9207890206326</v>
      </c>
      <c r="AC108" s="9"/>
      <c r="AD108" s="20">
        <f ca="1">OFFSET('Dist Factors'!$B$15,$O108-1,AD$14)*$L108+OFFSET('Dist Factors'!$B$15,$K108-1,AD$14)*$H108</f>
        <v>2275.5466798388866</v>
      </c>
      <c r="AE108" s="9"/>
      <c r="AF108" s="20">
        <f ca="1">OFFSET('Dist Factors'!$B$15,$O108-1,AF$14)*$L108+OFFSET('Dist Factors'!$B$15,$K108-1,AF$14)*$H108</f>
        <v>352.05361510571487</v>
      </c>
      <c r="AG108" s="9"/>
      <c r="AH108" s="20">
        <f ca="1">OFFSET('Dist Factors'!$B$15,$O108-1,AH$14)*$L108+OFFSET('Dist Factors'!$B$15,$K108-1,AH$14)*$H108</f>
        <v>0</v>
      </c>
      <c r="AI108" s="9"/>
      <c r="AJ108" s="9">
        <f ca="1">SUM(P108:AI108)</f>
        <v>92491.927807701533</v>
      </c>
      <c r="AL108" s="25" t="str">
        <f t="shared" ca="1" si="140"/>
        <v/>
      </c>
      <c r="AM108" s="49"/>
    </row>
    <row r="109" spans="2:60" ht="13" x14ac:dyDescent="0.3">
      <c r="B109" s="18">
        <f>B108+1</f>
        <v>62</v>
      </c>
      <c r="D109" s="1" t="s">
        <v>88</v>
      </c>
      <c r="F109" s="48">
        <f ca="1">Function!V109</f>
        <v>95278.782195306019</v>
      </c>
      <c r="H109" s="48"/>
      <c r="K109" s="70">
        <f>_xlfn.IFNA(MATCH(J109,'Dist Factors'!$B$15:$B$431,0),0)</f>
        <v>0</v>
      </c>
      <c r="L109" s="48">
        <f t="shared" ca="1" si="141"/>
        <v>95278.782195306019</v>
      </c>
      <c r="N109" s="18" t="s">
        <v>302</v>
      </c>
      <c r="O109" s="70">
        <f>_xlfn.IFNA(MATCH(N109,'Dist Factors'!$B$15:$B$431,0),0)</f>
        <v>44</v>
      </c>
      <c r="P109" s="20">
        <f ca="1">OFFSET('Dist Factors'!$B$15,$O109-1,P$14)*$L109+OFFSET('Dist Factors'!$B$15,$K109-1,P$14)*$H109</f>
        <v>19694.934093863736</v>
      </c>
      <c r="R109" s="20">
        <f ca="1">OFFSET('Dist Factors'!$B$15,$O109-1,R$14)*$L109+OFFSET('Dist Factors'!$B$15,$K109-1,R$14)*$H109</f>
        <v>3766.9429112502116</v>
      </c>
      <c r="S109" s="20"/>
      <c r="T109" s="20">
        <f ca="1">OFFSET('Dist Factors'!$B$15,$O109-1,T$14)*$L109+OFFSET('Dist Factors'!$B$15,$K109-1,T$14)*$H109</f>
        <v>21290.651503878958</v>
      </c>
      <c r="U109" s="20"/>
      <c r="V109" s="20">
        <f ca="1">OFFSET('Dist Factors'!$B$15,$O109-1,V$14)*$L109+OFFSET('Dist Factors'!$B$15,$K109-1,V$14)*$H109</f>
        <v>0</v>
      </c>
      <c r="W109" s="9"/>
      <c r="X109" s="20">
        <f ca="1">OFFSET('Dist Factors'!$B$15,$O109-1,X$14)*$L109+OFFSET('Dist Factors'!$B$15,$K109-1,X$14)*$H109</f>
        <v>32109.185356070342</v>
      </c>
      <c r="Y109" s="9"/>
      <c r="Z109" s="20">
        <f ca="1">OFFSET('Dist Factors'!$B$15,$O109-1,Z$14)*$L109+OFFSET('Dist Factors'!$B$15,$K109-1,Z$14)*$H109</f>
        <v>18417.068330242775</v>
      </c>
      <c r="AA109" s="20"/>
      <c r="AB109" s="20">
        <f ca="1">OFFSET('Dist Factors'!$B$15,$O109-1,AB$14)*$L109+OFFSET('Dist Factors'!$B$15,$K109-1,AB$14)*$H109</f>
        <v>0</v>
      </c>
      <c r="AC109" s="9"/>
      <c r="AD109" s="20">
        <f ca="1">OFFSET('Dist Factors'!$B$15,$O109-1,AD$14)*$L109+OFFSET('Dist Factors'!$B$15,$K109-1,AD$14)*$H109</f>
        <v>0</v>
      </c>
      <c r="AE109" s="9"/>
      <c r="AF109" s="20">
        <f ca="1">OFFSET('Dist Factors'!$B$15,$O109-1,AF$14)*$L109+OFFSET('Dist Factors'!$B$15,$K109-1,AF$14)*$H109</f>
        <v>0</v>
      </c>
      <c r="AG109" s="9"/>
      <c r="AH109" s="20">
        <f ca="1">OFFSET('Dist Factors'!$B$15,$O109-1,AH$14)*$L109+OFFSET('Dist Factors'!$B$15,$K109-1,AH$14)*$H109</f>
        <v>0</v>
      </c>
      <c r="AI109" s="9"/>
      <c r="AJ109" s="9">
        <f ca="1">SUM(P109:AI109)</f>
        <v>95278.782195306034</v>
      </c>
      <c r="AL109" s="25" t="str">
        <f t="shared" ca="1" si="140"/>
        <v/>
      </c>
      <c r="AM109" s="49"/>
    </row>
    <row r="110" spans="2:60" ht="13" x14ac:dyDescent="0.3">
      <c r="B110" s="18">
        <f>B109+1</f>
        <v>63</v>
      </c>
      <c r="D110" s="1" t="s">
        <v>90</v>
      </c>
      <c r="F110" s="40">
        <f ca="1">F108+F109</f>
        <v>187770.71000300755</v>
      </c>
      <c r="H110" s="40">
        <f>H108+H109</f>
        <v>0</v>
      </c>
      <c r="L110" s="40">
        <f ca="1">L108+L109</f>
        <v>187770.71000300755</v>
      </c>
      <c r="P110" s="10">
        <f ca="1">P108+P109</f>
        <v>34534.71155069724</v>
      </c>
      <c r="R110" s="10">
        <f ca="1">R108+R109</f>
        <v>6605.2664227244823</v>
      </c>
      <c r="T110" s="10">
        <f ca="1">T108+T109</f>
        <v>38551.976496722113</v>
      </c>
      <c r="V110" s="10">
        <f ca="1">V108+V109</f>
        <v>111.03719011100868</v>
      </c>
      <c r="X110" s="10">
        <f ca="1">X108+X109</f>
        <v>50718.538605477501</v>
      </c>
      <c r="Z110" s="10">
        <f ca="1">Z108+Z109</f>
        <v>46352.658653309983</v>
      </c>
      <c r="AB110" s="10">
        <f ca="1">AB108+AB109</f>
        <v>8268.9207890206326</v>
      </c>
      <c r="AD110" s="10">
        <f ca="1">AD108+AD109</f>
        <v>2275.5466798388866</v>
      </c>
      <c r="AF110" s="10">
        <f ca="1">AF108+AF109</f>
        <v>352.05361510571487</v>
      </c>
      <c r="AH110" s="10">
        <f ca="1">AH108+AH109</f>
        <v>0</v>
      </c>
      <c r="AJ110" s="10">
        <f ca="1">AJ108+AJ109</f>
        <v>187770.71000300755</v>
      </c>
      <c r="AL110" s="25" t="str">
        <f t="shared" ca="1" si="140"/>
        <v/>
      </c>
      <c r="AM110" s="49"/>
    </row>
    <row r="111" spans="2:60" ht="13" x14ac:dyDescent="0.3">
      <c r="AL111" s="25" t="str">
        <f t="shared" si="140"/>
        <v/>
      </c>
      <c r="AM111" s="49"/>
    </row>
    <row r="112" spans="2:60" ht="13" x14ac:dyDescent="0.3">
      <c r="AL112" s="25" t="str">
        <f t="shared" si="34"/>
        <v/>
      </c>
      <c r="AM112" s="49"/>
      <c r="AR112" s="2" t="s">
        <v>277</v>
      </c>
      <c r="AT112" s="2" t="s">
        <v>277</v>
      </c>
      <c r="AV112" s="2" t="s">
        <v>278</v>
      </c>
      <c r="AX112" s="2" t="s">
        <v>177</v>
      </c>
      <c r="BH112" s="2" t="s">
        <v>276</v>
      </c>
    </row>
    <row r="113" spans="2:64" ht="13" x14ac:dyDescent="0.3">
      <c r="D113" s="6" t="s">
        <v>91</v>
      </c>
      <c r="AL113" s="25" t="str">
        <f t="shared" si="34"/>
        <v/>
      </c>
      <c r="AM113" s="49"/>
      <c r="AO113" s="2" t="s">
        <v>92</v>
      </c>
      <c r="AP113" s="2" t="s">
        <v>93</v>
      </c>
      <c r="AR113" s="2" t="s">
        <v>282</v>
      </c>
      <c r="AS113" s="2"/>
      <c r="AT113" s="2" t="s">
        <v>282</v>
      </c>
      <c r="AU113" s="2"/>
      <c r="AV113" s="2" t="s">
        <v>282</v>
      </c>
      <c r="AW113" s="2"/>
      <c r="AX113" s="2" t="s">
        <v>279</v>
      </c>
      <c r="AY113" s="2"/>
      <c r="AZ113" s="2" t="s">
        <v>20</v>
      </c>
      <c r="BA113" s="2"/>
      <c r="BB113" s="2" t="s">
        <v>20</v>
      </c>
      <c r="BC113" s="2"/>
      <c r="BD113" s="2" t="s">
        <v>20</v>
      </c>
      <c r="BE113" s="2"/>
      <c r="BF113" s="2" t="s">
        <v>20</v>
      </c>
      <c r="BG113" s="2"/>
      <c r="BH113" s="2" t="s">
        <v>279</v>
      </c>
      <c r="BI113" s="2"/>
      <c r="BJ113" s="2" t="s">
        <v>20</v>
      </c>
    </row>
    <row r="114" spans="2:64" ht="13" x14ac:dyDescent="0.3">
      <c r="AL114" s="25" t="str">
        <f t="shared" si="34"/>
        <v/>
      </c>
      <c r="AM114" s="49"/>
      <c r="AO114" s="33" t="s">
        <v>94</v>
      </c>
      <c r="AP114" s="33" t="s">
        <v>95</v>
      </c>
      <c r="AR114" s="33" t="s">
        <v>288</v>
      </c>
      <c r="AS114" s="2"/>
      <c r="AT114" s="33" t="s">
        <v>289</v>
      </c>
      <c r="AU114" s="2"/>
      <c r="AV114" s="33" t="s">
        <v>290</v>
      </c>
      <c r="AW114" s="2"/>
      <c r="AX114" s="33" t="s">
        <v>10</v>
      </c>
      <c r="AY114" s="2"/>
      <c r="AZ114" s="33" t="s">
        <v>41</v>
      </c>
      <c r="BA114" s="2"/>
      <c r="BB114" s="33" t="s">
        <v>49</v>
      </c>
      <c r="BC114" s="2"/>
      <c r="BD114" s="33" t="s">
        <v>283</v>
      </c>
      <c r="BE114" s="2"/>
      <c r="BF114" s="33" t="s">
        <v>284</v>
      </c>
      <c r="BG114" s="2"/>
      <c r="BH114" s="33" t="s">
        <v>10</v>
      </c>
      <c r="BI114" s="2"/>
      <c r="BJ114" s="33" t="s">
        <v>175</v>
      </c>
      <c r="BL114" s="33" t="s">
        <v>2</v>
      </c>
    </row>
    <row r="115" spans="2:64" ht="13" x14ac:dyDescent="0.3">
      <c r="D115" s="1" t="s">
        <v>17</v>
      </c>
      <c r="AL115" s="25" t="str">
        <f t="shared" si="34"/>
        <v/>
      </c>
      <c r="AM115" s="49"/>
    </row>
    <row r="116" spans="2:64" ht="13" x14ac:dyDescent="0.3">
      <c r="B116" s="18">
        <f>B110+1</f>
        <v>64</v>
      </c>
      <c r="D116" s="35" t="s">
        <v>97</v>
      </c>
      <c r="F116" s="48">
        <f ca="1">Function!V116</f>
        <v>0</v>
      </c>
      <c r="H116" s="76"/>
      <c r="K116" s="70">
        <f>_xlfn.IFNA(MATCH(J116,'Dist Factors'!$B$15:$B$431,0),0)</f>
        <v>0</v>
      </c>
      <c r="L116" s="48">
        <f t="shared" ref="L116:L119" ca="1" si="142">F116-H116</f>
        <v>0</v>
      </c>
      <c r="O116" s="70">
        <f>_xlfn.IFNA(MATCH(N116,'Dist Factors'!$B$15:$B$431,0),0)</f>
        <v>0</v>
      </c>
      <c r="P116" s="20">
        <f ca="1">OFFSET('Dist Factors'!$B$15,$O116-1,P$14)*$L116+OFFSET('Dist Factors'!$B$15,$K116-1,P$14)*$H116</f>
        <v>0</v>
      </c>
      <c r="R116" s="20">
        <f ca="1">OFFSET('Dist Factors'!$B$15,$O116-1,R$14)*$L116+OFFSET('Dist Factors'!$B$15,$K116-1,R$14)*$H116</f>
        <v>0</v>
      </c>
      <c r="S116" s="20"/>
      <c r="T116" s="20">
        <f ca="1">OFFSET('Dist Factors'!$B$15,$O116-1,T$14)*$L116+OFFSET('Dist Factors'!$B$15,$K116-1,T$14)*$H116</f>
        <v>0</v>
      </c>
      <c r="U116" s="20"/>
      <c r="V116" s="20">
        <f ca="1">OFFSET('Dist Factors'!$B$15,$O116-1,V$14)*$L116+OFFSET('Dist Factors'!$B$15,$K116-1,V$14)*$H116</f>
        <v>0</v>
      </c>
      <c r="W116" s="9"/>
      <c r="X116" s="20">
        <f ca="1">OFFSET('Dist Factors'!$B$15,$O116-1,X$14)*$L116+OFFSET('Dist Factors'!$B$15,$K116-1,X$14)*$H116</f>
        <v>0</v>
      </c>
      <c r="Y116" s="9"/>
      <c r="Z116" s="20">
        <f ca="1">OFFSET('Dist Factors'!$B$15,$O116-1,Z$14)*$L116+OFFSET('Dist Factors'!$B$15,$K116-1,Z$14)*$H116</f>
        <v>0</v>
      </c>
      <c r="AA116" s="20"/>
      <c r="AB116" s="20">
        <f ca="1">OFFSET('Dist Factors'!$B$15,$O116-1,AB$14)*$L116+OFFSET('Dist Factors'!$B$15,$K116-1,AB$14)*$H116</f>
        <v>0</v>
      </c>
      <c r="AC116" s="9"/>
      <c r="AD116" s="20">
        <f ca="1">OFFSET('Dist Factors'!$B$15,$O116-1,AD$14)*$L116+OFFSET('Dist Factors'!$B$15,$K116-1,AD$14)*$H116</f>
        <v>0</v>
      </c>
      <c r="AE116" s="9"/>
      <c r="AF116" s="20">
        <f ca="1">OFFSET('Dist Factors'!$B$15,$O116-1,AF$14)*$L116+OFFSET('Dist Factors'!$B$15,$K116-1,AF$14)*$H116</f>
        <v>0</v>
      </c>
      <c r="AG116" s="9"/>
      <c r="AH116" s="20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25" t="str">
        <f t="shared" ca="1" si="34"/>
        <v/>
      </c>
      <c r="AM116" s="49"/>
      <c r="AO116" s="89">
        <f ca="1">Function!AL116</f>
        <v>0</v>
      </c>
      <c r="AP116" s="96">
        <f t="shared" ref="AP116:AP122" ca="1" si="143">IFERROR(AO116/F116,0)</f>
        <v>0</v>
      </c>
      <c r="AR116" s="48">
        <f t="shared" ref="AR116:AR158" ca="1" si="144">$AP116*P116</f>
        <v>0</v>
      </c>
      <c r="AT116" s="48">
        <f t="shared" ref="AT116:AT158" ca="1" si="145">$AP116*R116</f>
        <v>0</v>
      </c>
      <c r="AV116" s="48">
        <f t="shared" ref="AV116:AV158" ca="1" si="146">$AP116*T116</f>
        <v>0</v>
      </c>
      <c r="AX116" s="48">
        <f t="shared" ref="AX116:AX158" ca="1" si="147">$AP116*V116</f>
        <v>0</v>
      </c>
      <c r="AZ116" s="48">
        <f t="shared" ref="AZ116:AZ158" ca="1" si="148">$AP116*X116</f>
        <v>0</v>
      </c>
      <c r="BB116" s="48">
        <f t="shared" ref="BB116:BB158" ca="1" si="149">$AP116*Z116</f>
        <v>0</v>
      </c>
      <c r="BD116" s="48">
        <f t="shared" ref="BD116:BD158" ca="1" si="150">$AP116*AB116</f>
        <v>0</v>
      </c>
      <c r="BF116" s="48">
        <f t="shared" ref="BF116:BF158" ca="1" si="151">$AP116*AD116</f>
        <v>0</v>
      </c>
      <c r="BH116" s="48">
        <f t="shared" ref="BH116:BH158" ca="1" si="152">$AP116*AF116</f>
        <v>0</v>
      </c>
      <c r="BJ116" s="48">
        <f t="shared" ref="BJ116:BJ158" ca="1" si="153">$AP116*AH116</f>
        <v>0</v>
      </c>
      <c r="BL116" s="48">
        <f ca="1">SUM(AR116:BJ116)</f>
        <v>0</v>
      </c>
    </row>
    <row r="117" spans="2:64" ht="13" x14ac:dyDescent="0.3">
      <c r="B117" s="18">
        <f t="shared" ref="B117:B122" si="154">B116+1</f>
        <v>65</v>
      </c>
      <c r="D117" s="35" t="s">
        <v>99</v>
      </c>
      <c r="F117" s="48">
        <f ca="1">Function!V117</f>
        <v>0</v>
      </c>
      <c r="H117" s="76"/>
      <c r="K117" s="70">
        <f>_xlfn.IFNA(MATCH(J117,'Dist Factors'!$B$15:$B$431,0),0)</f>
        <v>0</v>
      </c>
      <c r="L117" s="48">
        <f t="shared" ca="1" si="142"/>
        <v>0</v>
      </c>
      <c r="O117" s="70">
        <f>_xlfn.IFNA(MATCH(N117,'Dist Factors'!$B$15:$B$431,0),0)</f>
        <v>0</v>
      </c>
      <c r="P117" s="20">
        <f ca="1">OFFSET('Dist Factors'!$B$15,$O117-1,P$14)*$L117+OFFSET('Dist Factors'!$B$15,$K117-1,P$14)*$H117</f>
        <v>0</v>
      </c>
      <c r="R117" s="20">
        <f ca="1">OFFSET('Dist Factors'!$B$15,$O117-1,R$14)*$L117+OFFSET('Dist Factors'!$B$15,$K117-1,R$14)*$H117</f>
        <v>0</v>
      </c>
      <c r="S117" s="20"/>
      <c r="T117" s="20">
        <f ca="1">OFFSET('Dist Factors'!$B$15,$O117-1,T$14)*$L117+OFFSET('Dist Factors'!$B$15,$K117-1,T$14)*$H117</f>
        <v>0</v>
      </c>
      <c r="U117" s="20"/>
      <c r="V117" s="20">
        <f ca="1">OFFSET('Dist Factors'!$B$15,$O117-1,V$14)*$L117+OFFSET('Dist Factors'!$B$15,$K117-1,V$14)*$H117</f>
        <v>0</v>
      </c>
      <c r="W117" s="9"/>
      <c r="X117" s="20">
        <f ca="1">OFFSET('Dist Factors'!$B$15,$O117-1,X$14)*$L117+OFFSET('Dist Factors'!$B$15,$K117-1,X$14)*$H117</f>
        <v>0</v>
      </c>
      <c r="Y117" s="9"/>
      <c r="Z117" s="20">
        <f ca="1">OFFSET('Dist Factors'!$B$15,$O117-1,Z$14)*$L117+OFFSET('Dist Factors'!$B$15,$K117-1,Z$14)*$H117</f>
        <v>0</v>
      </c>
      <c r="AA117" s="20"/>
      <c r="AB117" s="20">
        <f ca="1">OFFSET('Dist Factors'!$B$15,$O117-1,AB$14)*$L117+OFFSET('Dist Factors'!$B$15,$K117-1,AB$14)*$H117</f>
        <v>0</v>
      </c>
      <c r="AC117" s="9"/>
      <c r="AD117" s="20">
        <f ca="1">OFFSET('Dist Factors'!$B$15,$O117-1,AD$14)*$L117+OFFSET('Dist Factors'!$B$15,$K117-1,AD$14)*$H117</f>
        <v>0</v>
      </c>
      <c r="AE117" s="9"/>
      <c r="AF117" s="20">
        <f ca="1">OFFSET('Dist Factors'!$B$15,$O117-1,AF$14)*$L117+OFFSET('Dist Factors'!$B$15,$K117-1,AF$14)*$H117</f>
        <v>0</v>
      </c>
      <c r="AG117" s="9"/>
      <c r="AH117" s="20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25" t="str">
        <f t="shared" ca="1" si="34"/>
        <v/>
      </c>
      <c r="AM117" s="49"/>
      <c r="AO117" s="89">
        <f ca="1">Function!AL117</f>
        <v>0</v>
      </c>
      <c r="AP117" s="96">
        <f t="shared" ca="1" si="143"/>
        <v>0</v>
      </c>
      <c r="AR117" s="48">
        <f t="shared" ca="1" si="144"/>
        <v>0</v>
      </c>
      <c r="AT117" s="48">
        <f t="shared" ca="1" si="145"/>
        <v>0</v>
      </c>
      <c r="AV117" s="48">
        <f t="shared" ca="1" si="146"/>
        <v>0</v>
      </c>
      <c r="AX117" s="48">
        <f t="shared" ca="1" si="147"/>
        <v>0</v>
      </c>
      <c r="AZ117" s="48">
        <f t="shared" ca="1" si="148"/>
        <v>0</v>
      </c>
      <c r="BB117" s="48">
        <f t="shared" ca="1" si="149"/>
        <v>0</v>
      </c>
      <c r="BD117" s="48">
        <f t="shared" ca="1" si="150"/>
        <v>0</v>
      </c>
      <c r="BF117" s="48">
        <f t="shared" ca="1" si="151"/>
        <v>0</v>
      </c>
      <c r="BH117" s="48">
        <f t="shared" ca="1" si="152"/>
        <v>0</v>
      </c>
      <c r="BJ117" s="48">
        <f t="shared" ca="1" si="153"/>
        <v>0</v>
      </c>
      <c r="BL117" s="48">
        <f t="shared" ref="BL117:BL160" ca="1" si="155">SUM(AR117:BJ117)</f>
        <v>0</v>
      </c>
    </row>
    <row r="118" spans="2:64" ht="13" x14ac:dyDescent="0.3">
      <c r="B118" s="18">
        <f t="shared" si="154"/>
        <v>66</v>
      </c>
      <c r="D118" s="35" t="s">
        <v>101</v>
      </c>
      <c r="F118" s="48">
        <f ca="1">Function!V118</f>
        <v>16614.592810299422</v>
      </c>
      <c r="H118" s="76"/>
      <c r="K118" s="70">
        <f>_xlfn.IFNA(MATCH(J118,'Dist Factors'!$B$15:$B$431,0),0)</f>
        <v>0</v>
      </c>
      <c r="L118" s="48">
        <f t="shared" ca="1" si="142"/>
        <v>16614.592810299422</v>
      </c>
      <c r="N118" s="18" t="s">
        <v>303</v>
      </c>
      <c r="O118" s="70">
        <f>_xlfn.IFNA(MATCH(N118,'Dist Factors'!$B$15:$B$431,0),0)</f>
        <v>20</v>
      </c>
      <c r="P118" s="20">
        <f ca="1">OFFSET('Dist Factors'!$B$15,$O118-1,P$14)*$L118+OFFSET('Dist Factors'!$B$15,$K118-1,P$14)*$H118</f>
        <v>0</v>
      </c>
      <c r="R118" s="20">
        <f ca="1">OFFSET('Dist Factors'!$B$15,$O118-1,R$14)*$L118+OFFSET('Dist Factors'!$B$15,$K118-1,R$14)*$H118</f>
        <v>0</v>
      </c>
      <c r="S118" s="20"/>
      <c r="T118" s="20">
        <f ca="1">OFFSET('Dist Factors'!$B$15,$O118-1,T$14)*$L118+OFFSET('Dist Factors'!$B$15,$K118-1,T$14)*$H118</f>
        <v>0</v>
      </c>
      <c r="U118" s="20"/>
      <c r="V118" s="20">
        <f ca="1">OFFSET('Dist Factors'!$B$15,$O118-1,V$14)*$L118+OFFSET('Dist Factors'!$B$15,$K118-1,V$14)*$H118</f>
        <v>0</v>
      </c>
      <c r="W118" s="9"/>
      <c r="X118" s="20">
        <f ca="1">OFFSET('Dist Factors'!$B$15,$O118-1,X$14)*$L118+OFFSET('Dist Factors'!$B$15,$K118-1,X$14)*$H118</f>
        <v>0</v>
      </c>
      <c r="Y118" s="9"/>
      <c r="Z118" s="20">
        <f ca="1">OFFSET('Dist Factors'!$B$15,$O118-1,Z$14)*$L118+OFFSET('Dist Factors'!$B$15,$K118-1,Z$14)*$H118</f>
        <v>0</v>
      </c>
      <c r="AA118" s="20"/>
      <c r="AB118" s="20">
        <f ca="1">OFFSET('Dist Factors'!$B$15,$O118-1,AB$14)*$L118+OFFSET('Dist Factors'!$B$15,$K118-1,AB$14)*$H118</f>
        <v>0</v>
      </c>
      <c r="AC118" s="9"/>
      <c r="AD118" s="20">
        <f ca="1">OFFSET('Dist Factors'!$B$15,$O118-1,AD$14)*$L118+OFFSET('Dist Factors'!$B$15,$K118-1,AD$14)*$H118</f>
        <v>0</v>
      </c>
      <c r="AE118" s="9"/>
      <c r="AF118" s="20">
        <f ca="1">OFFSET('Dist Factors'!$B$15,$O118-1,AF$14)*$L118+OFFSET('Dist Factors'!$B$15,$K118-1,AF$14)*$H118</f>
        <v>0</v>
      </c>
      <c r="AG118" s="9"/>
      <c r="AH118" s="20">
        <f ca="1">OFFSET('Dist Factors'!$B$15,$O118-1,AH$14)*$L118+OFFSET('Dist Factors'!$B$15,$K118-1,AH$14)*$H118</f>
        <v>16614.592810299422</v>
      </c>
      <c r="AI118" s="9"/>
      <c r="AJ118" s="9">
        <f ca="1">SUM(P118:AI118)</f>
        <v>16614.592810299422</v>
      </c>
      <c r="AL118" s="25" t="str">
        <f t="shared" ca="1" si="34"/>
        <v/>
      </c>
      <c r="AM118" s="49"/>
      <c r="AO118" s="89">
        <f ca="1">Function!AL118</f>
        <v>0</v>
      </c>
      <c r="AP118" s="96">
        <f t="shared" ca="1" si="143"/>
        <v>0</v>
      </c>
      <c r="AR118" s="48">
        <f t="shared" ca="1" si="144"/>
        <v>0</v>
      </c>
      <c r="AT118" s="48">
        <f t="shared" ca="1" si="145"/>
        <v>0</v>
      </c>
      <c r="AV118" s="48">
        <f t="shared" ca="1" si="146"/>
        <v>0</v>
      </c>
      <c r="AX118" s="48">
        <f t="shared" ca="1" si="147"/>
        <v>0</v>
      </c>
      <c r="AZ118" s="48">
        <f t="shared" ca="1" si="148"/>
        <v>0</v>
      </c>
      <c r="BB118" s="48">
        <f t="shared" ca="1" si="149"/>
        <v>0</v>
      </c>
      <c r="BD118" s="48">
        <f t="shared" ca="1" si="150"/>
        <v>0</v>
      </c>
      <c r="BF118" s="48">
        <f t="shared" ca="1" si="151"/>
        <v>0</v>
      </c>
      <c r="BH118" s="48">
        <f t="shared" ca="1" si="152"/>
        <v>0</v>
      </c>
      <c r="BJ118" s="48">
        <f t="shared" ca="1" si="153"/>
        <v>0</v>
      </c>
      <c r="BL118" s="48">
        <f t="shared" ca="1" si="155"/>
        <v>0</v>
      </c>
    </row>
    <row r="119" spans="2:64" ht="13" x14ac:dyDescent="0.3">
      <c r="B119" s="18">
        <f t="shared" si="154"/>
        <v>67</v>
      </c>
      <c r="D119" s="35" t="s">
        <v>103</v>
      </c>
      <c r="F119" s="48">
        <f ca="1">Function!V119</f>
        <v>1725.290575876292</v>
      </c>
      <c r="H119" s="76"/>
      <c r="K119" s="70">
        <f>_xlfn.IFNA(MATCH(J119,'Dist Factors'!$B$15:$B$431,0),0)</f>
        <v>0</v>
      </c>
      <c r="L119" s="48">
        <f t="shared" ca="1" si="142"/>
        <v>1725.290575876292</v>
      </c>
      <c r="N119" s="18" t="s">
        <v>303</v>
      </c>
      <c r="O119" s="70">
        <f>_xlfn.IFNA(MATCH(N119,'Dist Factors'!$B$15:$B$431,0),0)</f>
        <v>20</v>
      </c>
      <c r="P119" s="20">
        <f ca="1">OFFSET('Dist Factors'!$B$15,$O119-1,P$14)*$L119+OFFSET('Dist Factors'!$B$15,$K119-1,P$14)*$H119</f>
        <v>0</v>
      </c>
      <c r="R119" s="20">
        <f ca="1">OFFSET('Dist Factors'!$B$15,$O119-1,R$14)*$L119+OFFSET('Dist Factors'!$B$15,$K119-1,R$14)*$H119</f>
        <v>0</v>
      </c>
      <c r="S119" s="20"/>
      <c r="T119" s="20">
        <f ca="1">OFFSET('Dist Factors'!$B$15,$O119-1,T$14)*$L119+OFFSET('Dist Factors'!$B$15,$K119-1,T$14)*$H119</f>
        <v>0</v>
      </c>
      <c r="U119" s="20"/>
      <c r="V119" s="20">
        <f ca="1">OFFSET('Dist Factors'!$B$15,$O119-1,V$14)*$L119+OFFSET('Dist Factors'!$B$15,$K119-1,V$14)*$H119</f>
        <v>0</v>
      </c>
      <c r="W119" s="9"/>
      <c r="X119" s="20">
        <f ca="1">OFFSET('Dist Factors'!$B$15,$O119-1,X$14)*$L119+OFFSET('Dist Factors'!$B$15,$K119-1,X$14)*$H119</f>
        <v>0</v>
      </c>
      <c r="Y119" s="9"/>
      <c r="Z119" s="20">
        <f ca="1">OFFSET('Dist Factors'!$B$15,$O119-1,Z$14)*$L119+OFFSET('Dist Factors'!$B$15,$K119-1,Z$14)*$H119</f>
        <v>0</v>
      </c>
      <c r="AA119" s="20"/>
      <c r="AB119" s="20">
        <f ca="1">OFFSET('Dist Factors'!$B$15,$O119-1,AB$14)*$L119+OFFSET('Dist Factors'!$B$15,$K119-1,AB$14)*$H119</f>
        <v>0</v>
      </c>
      <c r="AC119" s="9"/>
      <c r="AD119" s="20">
        <f ca="1">OFFSET('Dist Factors'!$B$15,$O119-1,AD$14)*$L119+OFFSET('Dist Factors'!$B$15,$K119-1,AD$14)*$H119</f>
        <v>0</v>
      </c>
      <c r="AE119" s="9"/>
      <c r="AF119" s="20">
        <f ca="1">OFFSET('Dist Factors'!$B$15,$O119-1,AF$14)*$L119+OFFSET('Dist Factors'!$B$15,$K119-1,AF$14)*$H119</f>
        <v>0</v>
      </c>
      <c r="AG119" s="9"/>
      <c r="AH119" s="20">
        <f ca="1">OFFSET('Dist Factors'!$B$15,$O119-1,AH$14)*$L119+OFFSET('Dist Factors'!$B$15,$K119-1,AH$14)*$H119</f>
        <v>1725.290575876292</v>
      </c>
      <c r="AI119" s="9"/>
      <c r="AJ119" s="9">
        <f t="shared" ref="AJ119:AJ160" ca="1" si="156">SUM(P119:AI119)</f>
        <v>1725.290575876292</v>
      </c>
      <c r="AL119" s="25"/>
      <c r="AM119" s="49"/>
      <c r="AO119" s="89">
        <f ca="1">Function!AL119</f>
        <v>0</v>
      </c>
      <c r="AP119" s="96">
        <f t="shared" ca="1" si="143"/>
        <v>0</v>
      </c>
      <c r="AR119" s="48">
        <f t="shared" ca="1" si="144"/>
        <v>0</v>
      </c>
      <c r="AT119" s="48">
        <f t="shared" ca="1" si="145"/>
        <v>0</v>
      </c>
      <c r="AV119" s="48">
        <f t="shared" ca="1" si="146"/>
        <v>0</v>
      </c>
      <c r="AX119" s="48">
        <f t="shared" ca="1" si="147"/>
        <v>0</v>
      </c>
      <c r="AZ119" s="48">
        <f t="shared" ca="1" si="148"/>
        <v>0</v>
      </c>
      <c r="BB119" s="48">
        <f t="shared" ca="1" si="149"/>
        <v>0</v>
      </c>
      <c r="BD119" s="48">
        <f t="shared" ca="1" si="150"/>
        <v>0</v>
      </c>
      <c r="BF119" s="48">
        <f t="shared" ca="1" si="151"/>
        <v>0</v>
      </c>
      <c r="BH119" s="48">
        <f t="shared" ca="1" si="152"/>
        <v>0</v>
      </c>
      <c r="BJ119" s="48">
        <f t="shared" ca="1" si="153"/>
        <v>0</v>
      </c>
      <c r="BL119" s="48">
        <f t="shared" ca="1" si="155"/>
        <v>0</v>
      </c>
    </row>
    <row r="120" spans="2:64" ht="13" x14ac:dyDescent="0.3">
      <c r="B120" s="18">
        <f t="shared" si="154"/>
        <v>68</v>
      </c>
      <c r="D120" s="35" t="s">
        <v>105</v>
      </c>
      <c r="F120" s="48">
        <f ca="1">Function!V120</f>
        <v>0</v>
      </c>
      <c r="H120" s="76"/>
      <c r="K120" s="70">
        <f>_xlfn.IFNA(MATCH(J120,'Dist Factors'!$B$15:$B$431,0),0)</f>
        <v>0</v>
      </c>
      <c r="L120" s="48">
        <f t="shared" ref="L120:L122" ca="1" si="157">F120-H120</f>
        <v>0</v>
      </c>
      <c r="O120" s="70">
        <f>_xlfn.IFNA(MATCH(N120,'Dist Factors'!$B$15:$B$431,0),0)</f>
        <v>0</v>
      </c>
      <c r="P120" s="20">
        <f ca="1">OFFSET('Dist Factors'!$B$15,$O120-1,P$14)*$L120+OFFSET('Dist Factors'!$B$15,$K120-1,P$14)*$H120</f>
        <v>0</v>
      </c>
      <c r="R120" s="20">
        <f ca="1">OFFSET('Dist Factors'!$B$15,$O120-1,R$14)*$L120+OFFSET('Dist Factors'!$B$15,$K120-1,R$14)*$H120</f>
        <v>0</v>
      </c>
      <c r="S120" s="20"/>
      <c r="T120" s="20">
        <f ca="1">OFFSET('Dist Factors'!$B$15,$O120-1,T$14)*$L120+OFFSET('Dist Factors'!$B$15,$K120-1,T$14)*$H120</f>
        <v>0</v>
      </c>
      <c r="U120" s="20"/>
      <c r="V120" s="20">
        <f ca="1">OFFSET('Dist Factors'!$B$15,$O120-1,V$14)*$L120+OFFSET('Dist Factors'!$B$15,$K120-1,V$14)*$H120</f>
        <v>0</v>
      </c>
      <c r="W120" s="9"/>
      <c r="X120" s="20">
        <f ca="1">OFFSET('Dist Factors'!$B$15,$O120-1,X$14)*$L120+OFFSET('Dist Factors'!$B$15,$K120-1,X$14)*$H120</f>
        <v>0</v>
      </c>
      <c r="Y120" s="9"/>
      <c r="Z120" s="20">
        <f ca="1">OFFSET('Dist Factors'!$B$15,$O120-1,Z$14)*$L120+OFFSET('Dist Factors'!$B$15,$K120-1,Z$14)*$H120</f>
        <v>0</v>
      </c>
      <c r="AA120" s="20"/>
      <c r="AB120" s="20">
        <f ca="1">OFFSET('Dist Factors'!$B$15,$O120-1,AB$14)*$L120+OFFSET('Dist Factors'!$B$15,$K120-1,AB$14)*$H120</f>
        <v>0</v>
      </c>
      <c r="AC120" s="9"/>
      <c r="AD120" s="20">
        <f ca="1">OFFSET('Dist Factors'!$B$15,$O120-1,AD$14)*$L120+OFFSET('Dist Factors'!$B$15,$K120-1,AD$14)*$H120</f>
        <v>0</v>
      </c>
      <c r="AE120" s="9"/>
      <c r="AF120" s="20">
        <f ca="1">OFFSET('Dist Factors'!$B$15,$O120-1,AF$14)*$L120+OFFSET('Dist Factors'!$B$15,$K120-1,AF$14)*$H120</f>
        <v>0</v>
      </c>
      <c r="AG120" s="9"/>
      <c r="AH120" s="20">
        <f ca="1">OFFSET('Dist Factors'!$B$15,$O120-1,AH$14)*$L120+OFFSET('Dist Factors'!$B$15,$K120-1,AH$14)*$H120</f>
        <v>0</v>
      </c>
      <c r="AI120" s="9"/>
      <c r="AJ120" s="9">
        <f t="shared" ca="1" si="156"/>
        <v>0</v>
      </c>
      <c r="AL120" s="25" t="str">
        <f t="shared" ca="1" si="34"/>
        <v/>
      </c>
      <c r="AM120" s="49"/>
      <c r="AO120" s="89">
        <f ca="1">Function!AL120</f>
        <v>0</v>
      </c>
      <c r="AP120" s="96">
        <f t="shared" ca="1" si="143"/>
        <v>0</v>
      </c>
      <c r="AR120" s="48">
        <f t="shared" ca="1" si="144"/>
        <v>0</v>
      </c>
      <c r="AT120" s="48">
        <f t="shared" ca="1" si="145"/>
        <v>0</v>
      </c>
      <c r="AV120" s="48">
        <f t="shared" ca="1" si="146"/>
        <v>0</v>
      </c>
      <c r="AX120" s="48">
        <f t="shared" ca="1" si="147"/>
        <v>0</v>
      </c>
      <c r="AZ120" s="48">
        <f t="shared" ca="1" si="148"/>
        <v>0</v>
      </c>
      <c r="BB120" s="48">
        <f t="shared" ca="1" si="149"/>
        <v>0</v>
      </c>
      <c r="BD120" s="48">
        <f t="shared" ca="1" si="150"/>
        <v>0</v>
      </c>
      <c r="BF120" s="48">
        <f t="shared" ca="1" si="151"/>
        <v>0</v>
      </c>
      <c r="BH120" s="48">
        <f t="shared" ca="1" si="152"/>
        <v>0</v>
      </c>
      <c r="BJ120" s="48">
        <f t="shared" ca="1" si="153"/>
        <v>0</v>
      </c>
      <c r="BL120" s="48">
        <f t="shared" ca="1" si="155"/>
        <v>0</v>
      </c>
    </row>
    <row r="121" spans="2:64" ht="13" x14ac:dyDescent="0.3">
      <c r="B121" s="18">
        <f t="shared" si="154"/>
        <v>69</v>
      </c>
      <c r="D121" s="35" t="s">
        <v>106</v>
      </c>
      <c r="F121" s="48"/>
      <c r="H121" s="76"/>
      <c r="K121" s="70">
        <f>_xlfn.IFNA(MATCH(J121,'Dist Factors'!$B$15:$B$431,0),0)</f>
        <v>0</v>
      </c>
      <c r="L121" s="48"/>
      <c r="O121" s="70">
        <f>_xlfn.IFNA(MATCH(N121,'Dist Factors'!$B$15:$B$431,0),0)</f>
        <v>0</v>
      </c>
      <c r="P121" s="20">
        <f ca="1">OFFSET('Dist Factors'!$B$15,$O121-1,P$14)*$L121+OFFSET('Dist Factors'!$B$15,$K121-1,P$14)*$H121</f>
        <v>0</v>
      </c>
      <c r="R121" s="20">
        <f ca="1">OFFSET('Dist Factors'!$B$15,$O121-1,R$14)*$L121+OFFSET('Dist Factors'!$B$15,$K121-1,R$14)*$H121</f>
        <v>0</v>
      </c>
      <c r="S121" s="20"/>
      <c r="T121" s="20">
        <f ca="1">OFFSET('Dist Factors'!$B$15,$O121-1,T$14)*$L121+OFFSET('Dist Factors'!$B$15,$K121-1,T$14)*$H121</f>
        <v>0</v>
      </c>
      <c r="U121" s="20"/>
      <c r="V121" s="20">
        <f ca="1">OFFSET('Dist Factors'!$B$15,$O121-1,V$14)*$L121+OFFSET('Dist Factors'!$B$15,$K121-1,V$14)*$H121</f>
        <v>0</v>
      </c>
      <c r="W121" s="9"/>
      <c r="X121" s="20">
        <f ca="1">OFFSET('Dist Factors'!$B$15,$O121-1,X$14)*$L121+OFFSET('Dist Factors'!$B$15,$K121-1,X$14)*$H121</f>
        <v>0</v>
      </c>
      <c r="Y121" s="9"/>
      <c r="Z121" s="20">
        <f ca="1">OFFSET('Dist Factors'!$B$15,$O121-1,Z$14)*$L121+OFFSET('Dist Factors'!$B$15,$K121-1,Z$14)*$H121</f>
        <v>0</v>
      </c>
      <c r="AA121" s="20"/>
      <c r="AB121" s="20">
        <f ca="1">OFFSET('Dist Factors'!$B$15,$O121-1,AB$14)*$L121+OFFSET('Dist Factors'!$B$15,$K121-1,AB$14)*$H121</f>
        <v>0</v>
      </c>
      <c r="AC121" s="9"/>
      <c r="AD121" s="20">
        <f ca="1">OFFSET('Dist Factors'!$B$15,$O121-1,AD$14)*$L121+OFFSET('Dist Factors'!$B$15,$K121-1,AD$14)*$H121</f>
        <v>0</v>
      </c>
      <c r="AE121" s="9"/>
      <c r="AF121" s="20">
        <f ca="1">OFFSET('Dist Factors'!$B$15,$O121-1,AF$14)*$L121+OFFSET('Dist Factors'!$B$15,$K121-1,AF$14)*$H121</f>
        <v>0</v>
      </c>
      <c r="AG121" s="9"/>
      <c r="AH121" s="20">
        <f ca="1">OFFSET('Dist Factors'!$B$15,$O121-1,AH$14)*$L121+OFFSET('Dist Factors'!$B$15,$K121-1,AH$14)*$H121</f>
        <v>0</v>
      </c>
      <c r="AI121" s="9"/>
      <c r="AJ121" s="9">
        <f t="shared" ca="1" si="156"/>
        <v>0</v>
      </c>
      <c r="AL121" s="25"/>
      <c r="AM121" s="49"/>
      <c r="AO121" s="89">
        <f ca="1">Function!AL121</f>
        <v>0</v>
      </c>
      <c r="AP121" s="96">
        <f t="shared" ca="1" si="143"/>
        <v>0</v>
      </c>
      <c r="AR121" s="48">
        <f t="shared" ca="1" si="144"/>
        <v>0</v>
      </c>
      <c r="AT121" s="48">
        <f t="shared" ca="1" si="145"/>
        <v>0</v>
      </c>
      <c r="AV121" s="48">
        <f t="shared" ca="1" si="146"/>
        <v>0</v>
      </c>
      <c r="AX121" s="48">
        <f t="shared" ca="1" si="147"/>
        <v>0</v>
      </c>
      <c r="AZ121" s="48">
        <f t="shared" ca="1" si="148"/>
        <v>0</v>
      </c>
      <c r="BB121" s="48">
        <f t="shared" ca="1" si="149"/>
        <v>0</v>
      </c>
      <c r="BD121" s="48">
        <f t="shared" ca="1" si="150"/>
        <v>0</v>
      </c>
      <c r="BF121" s="48">
        <f t="shared" ca="1" si="151"/>
        <v>0</v>
      </c>
      <c r="BH121" s="48">
        <f t="shared" ca="1" si="152"/>
        <v>0</v>
      </c>
      <c r="BJ121" s="48">
        <f t="shared" ca="1" si="153"/>
        <v>0</v>
      </c>
      <c r="BL121" s="48">
        <f t="shared" ca="1" si="155"/>
        <v>0</v>
      </c>
    </row>
    <row r="122" spans="2:64" ht="13" x14ac:dyDescent="0.3">
      <c r="B122" s="18">
        <f t="shared" si="154"/>
        <v>70</v>
      </c>
      <c r="D122" s="35" t="s">
        <v>108</v>
      </c>
      <c r="F122" s="48">
        <f ca="1">Function!V122</f>
        <v>10709.990086266376</v>
      </c>
      <c r="H122" s="76"/>
      <c r="K122" s="70">
        <f>_xlfn.IFNA(MATCH(J122,'Dist Factors'!$B$15:$B$431,0),0)</f>
        <v>0</v>
      </c>
      <c r="L122" s="48">
        <f t="shared" ca="1" si="157"/>
        <v>10709.990086266376</v>
      </c>
      <c r="N122" s="18" t="s">
        <v>304</v>
      </c>
      <c r="O122" s="70">
        <f>_xlfn.IFNA(MATCH(N122,'Dist Factors'!$B$15:$B$431,0),0)</f>
        <v>59</v>
      </c>
      <c r="P122" s="20">
        <f ca="1">OFFSET('Dist Factors'!$B$15,$O122-1,P$14)*$L122+OFFSET('Dist Factors'!$B$15,$K122-1,P$14)*$H122</f>
        <v>10709.990086266376</v>
      </c>
      <c r="R122" s="20">
        <f ca="1">OFFSET('Dist Factors'!$B$15,$O122-1,R$14)*$L122+OFFSET('Dist Factors'!$B$15,$K122-1,R$14)*$H122</f>
        <v>0</v>
      </c>
      <c r="S122" s="20"/>
      <c r="T122" s="20">
        <f ca="1">OFFSET('Dist Factors'!$B$15,$O122-1,T$14)*$L122+OFFSET('Dist Factors'!$B$15,$K122-1,T$14)*$H122</f>
        <v>0</v>
      </c>
      <c r="U122" s="20"/>
      <c r="V122" s="20">
        <f ca="1">OFFSET('Dist Factors'!$B$15,$O122-1,V$14)*$L122+OFFSET('Dist Factors'!$B$15,$K122-1,V$14)*$H122</f>
        <v>0</v>
      </c>
      <c r="W122" s="9"/>
      <c r="X122" s="20">
        <f ca="1">OFFSET('Dist Factors'!$B$15,$O122-1,X$14)*$L122+OFFSET('Dist Factors'!$B$15,$K122-1,X$14)*$H122</f>
        <v>0</v>
      </c>
      <c r="Y122" s="9"/>
      <c r="Z122" s="20">
        <f ca="1">OFFSET('Dist Factors'!$B$15,$O122-1,Z$14)*$L122+OFFSET('Dist Factors'!$B$15,$K122-1,Z$14)*$H122</f>
        <v>0</v>
      </c>
      <c r="AA122" s="20"/>
      <c r="AB122" s="20">
        <f ca="1">OFFSET('Dist Factors'!$B$15,$O122-1,AB$14)*$L122+OFFSET('Dist Factors'!$B$15,$K122-1,AB$14)*$H122</f>
        <v>0</v>
      </c>
      <c r="AC122" s="9"/>
      <c r="AD122" s="20">
        <f ca="1">OFFSET('Dist Factors'!$B$15,$O122-1,AD$14)*$L122+OFFSET('Dist Factors'!$B$15,$K122-1,AD$14)*$H122</f>
        <v>0</v>
      </c>
      <c r="AE122" s="9"/>
      <c r="AF122" s="20">
        <f ca="1">OFFSET('Dist Factors'!$B$15,$O122-1,AF$14)*$L122+OFFSET('Dist Factors'!$B$15,$K122-1,AF$14)*$H122</f>
        <v>0</v>
      </c>
      <c r="AG122" s="9"/>
      <c r="AH122" s="20">
        <f ca="1">OFFSET('Dist Factors'!$B$15,$O122-1,AH$14)*$L122+OFFSET('Dist Factors'!$B$15,$K122-1,AH$14)*$H122</f>
        <v>0</v>
      </c>
      <c r="AI122" s="9"/>
      <c r="AJ122" s="9">
        <f t="shared" ca="1" si="156"/>
        <v>10709.990086266376</v>
      </c>
      <c r="AL122" s="25" t="str">
        <f t="shared" ca="1" si="34"/>
        <v/>
      </c>
      <c r="AM122" s="49"/>
      <c r="AO122" s="89">
        <f ca="1">Function!AL122</f>
        <v>0</v>
      </c>
      <c r="AP122" s="96">
        <f t="shared" ca="1" si="143"/>
        <v>0</v>
      </c>
      <c r="AR122" s="48">
        <f t="shared" ca="1" si="144"/>
        <v>0</v>
      </c>
      <c r="AT122" s="48">
        <f t="shared" ca="1" si="145"/>
        <v>0</v>
      </c>
      <c r="AV122" s="48">
        <f t="shared" ca="1" si="146"/>
        <v>0</v>
      </c>
      <c r="AX122" s="48">
        <f t="shared" ca="1" si="147"/>
        <v>0</v>
      </c>
      <c r="AZ122" s="48">
        <f t="shared" ca="1" si="148"/>
        <v>0</v>
      </c>
      <c r="BB122" s="48">
        <f t="shared" ca="1" si="149"/>
        <v>0</v>
      </c>
      <c r="BD122" s="48">
        <f t="shared" ca="1" si="150"/>
        <v>0</v>
      </c>
      <c r="BF122" s="48">
        <f t="shared" ca="1" si="151"/>
        <v>0</v>
      </c>
      <c r="BH122" s="48">
        <f t="shared" ca="1" si="152"/>
        <v>0</v>
      </c>
      <c r="BJ122" s="48">
        <f t="shared" ca="1" si="153"/>
        <v>0</v>
      </c>
      <c r="BL122" s="48">
        <f t="shared" ca="1" si="155"/>
        <v>0</v>
      </c>
    </row>
    <row r="123" spans="2:64" ht="13" x14ac:dyDescent="0.3">
      <c r="D123" s="1" t="s">
        <v>18</v>
      </c>
      <c r="O123" s="70"/>
      <c r="AD123" s="9"/>
      <c r="AE123" s="9"/>
      <c r="AF123" s="9"/>
      <c r="AG123" s="9"/>
      <c r="AH123" s="9"/>
      <c r="AJ123" s="9">
        <f t="shared" si="156"/>
        <v>0</v>
      </c>
      <c r="AL123" s="25" t="str">
        <f t="shared" ref="AL123:AL180" si="158">IF(ROUND(F123,4)=ROUND(AJ123,4), "", "check")</f>
        <v/>
      </c>
      <c r="AM123" s="49"/>
      <c r="AR123" s="48">
        <f t="shared" si="144"/>
        <v>0</v>
      </c>
      <c r="AT123" s="48">
        <f t="shared" si="145"/>
        <v>0</v>
      </c>
      <c r="AV123" s="48">
        <f t="shared" si="146"/>
        <v>0</v>
      </c>
      <c r="AX123" s="48">
        <f t="shared" si="147"/>
        <v>0</v>
      </c>
      <c r="AZ123" s="48">
        <f t="shared" si="148"/>
        <v>0</v>
      </c>
      <c r="BB123" s="48">
        <f t="shared" si="149"/>
        <v>0</v>
      </c>
      <c r="BD123" s="48">
        <f t="shared" si="150"/>
        <v>0</v>
      </c>
      <c r="BF123" s="48">
        <f t="shared" si="151"/>
        <v>0</v>
      </c>
      <c r="BH123" s="48">
        <f t="shared" si="152"/>
        <v>0</v>
      </c>
      <c r="BJ123" s="48">
        <f t="shared" si="153"/>
        <v>0</v>
      </c>
      <c r="BL123" s="48">
        <f t="shared" si="155"/>
        <v>0</v>
      </c>
    </row>
    <row r="124" spans="2:64" ht="13" x14ac:dyDescent="0.3">
      <c r="B124" s="18">
        <f>B122+1</f>
        <v>71</v>
      </c>
      <c r="D124" s="35" t="s">
        <v>110</v>
      </c>
      <c r="F124" s="48">
        <f ca="1">Function!V124</f>
        <v>0</v>
      </c>
      <c r="H124" s="76"/>
      <c r="K124" s="70">
        <f>_xlfn.IFNA(MATCH(J124,'Dist Factors'!$B$15:$B$431,0),0)</f>
        <v>0</v>
      </c>
      <c r="L124" s="48">
        <f t="shared" ref="L124" ca="1" si="159">F124-H124</f>
        <v>0</v>
      </c>
      <c r="O124" s="70">
        <f>_xlfn.IFNA(MATCH(N124,'Dist Factors'!$B$15:$B$431,0),0)</f>
        <v>0</v>
      </c>
      <c r="P124" s="20">
        <f ca="1">OFFSET('Dist Factors'!$B$15,$O124-1,P$14)*$L124+OFFSET('Dist Factors'!$B$15,$K124-1,P$14)*$H124</f>
        <v>0</v>
      </c>
      <c r="R124" s="20">
        <f ca="1">OFFSET('Dist Factors'!$B$15,$O124-1,R$14)*$L124+OFFSET('Dist Factors'!$B$15,$K124-1,R$14)*$H124</f>
        <v>0</v>
      </c>
      <c r="S124" s="20"/>
      <c r="T124" s="20">
        <f ca="1">OFFSET('Dist Factors'!$B$15,$O124-1,T$14)*$L124+OFFSET('Dist Factors'!$B$15,$K124-1,T$14)*$H124</f>
        <v>0</v>
      </c>
      <c r="U124" s="20"/>
      <c r="V124" s="20">
        <f ca="1">OFFSET('Dist Factors'!$B$15,$O124-1,V$14)*$L124+OFFSET('Dist Factors'!$B$15,$K124-1,V$14)*$H124</f>
        <v>0</v>
      </c>
      <c r="W124" s="9"/>
      <c r="X124" s="20">
        <f ca="1">OFFSET('Dist Factors'!$B$15,$O124-1,X$14)*$L124+OFFSET('Dist Factors'!$B$15,$K124-1,X$14)*$H124</f>
        <v>0</v>
      </c>
      <c r="Y124" s="9"/>
      <c r="Z124" s="20">
        <f ca="1">OFFSET('Dist Factors'!$B$15,$O124-1,Z$14)*$L124+OFFSET('Dist Factors'!$B$15,$K124-1,Z$14)*$H124</f>
        <v>0</v>
      </c>
      <c r="AA124" s="20"/>
      <c r="AB124" s="20">
        <f ca="1">OFFSET('Dist Factors'!$B$15,$O124-1,AB$14)*$L124+OFFSET('Dist Factors'!$B$15,$K124-1,AB$14)*$H124</f>
        <v>0</v>
      </c>
      <c r="AC124" s="9"/>
      <c r="AD124" s="20">
        <f ca="1">OFFSET('Dist Factors'!$B$15,$O124-1,AD$14)*$L124+OFFSET('Dist Factors'!$B$15,$K124-1,AD$14)*$H124</f>
        <v>0</v>
      </c>
      <c r="AE124" s="9"/>
      <c r="AF124" s="20">
        <f ca="1">OFFSET('Dist Factors'!$B$15,$O124-1,AF$14)*$L124+OFFSET('Dist Factors'!$B$15,$K124-1,AF$14)*$H124</f>
        <v>0</v>
      </c>
      <c r="AG124" s="9"/>
      <c r="AH124" s="20">
        <f ca="1">OFFSET('Dist Factors'!$B$15,$O124-1,AH$14)*$L124+OFFSET('Dist Factors'!$B$15,$K124-1,AH$14)*$H124</f>
        <v>0</v>
      </c>
      <c r="AI124" s="9"/>
      <c r="AJ124" s="9">
        <f t="shared" ca="1" si="156"/>
        <v>0</v>
      </c>
      <c r="AL124" s="25" t="str">
        <f t="shared" ca="1" si="158"/>
        <v/>
      </c>
      <c r="AM124" s="49"/>
      <c r="AO124" s="89">
        <f ca="1">Function!AL124</f>
        <v>0</v>
      </c>
      <c r="AP124" s="96">
        <f t="shared" ref="AP124:AP131" ca="1" si="160">IFERROR(AO124/F124,0)</f>
        <v>0</v>
      </c>
      <c r="AR124" s="48">
        <f t="shared" ca="1" si="144"/>
        <v>0</v>
      </c>
      <c r="AT124" s="48">
        <f t="shared" ca="1" si="145"/>
        <v>0</v>
      </c>
      <c r="AV124" s="48">
        <f t="shared" ca="1" si="146"/>
        <v>0</v>
      </c>
      <c r="AX124" s="48">
        <f t="shared" ca="1" si="147"/>
        <v>0</v>
      </c>
      <c r="AZ124" s="48">
        <f t="shared" ca="1" si="148"/>
        <v>0</v>
      </c>
      <c r="BB124" s="48">
        <f t="shared" ca="1" si="149"/>
        <v>0</v>
      </c>
      <c r="BD124" s="48">
        <f t="shared" ca="1" si="150"/>
        <v>0</v>
      </c>
      <c r="BF124" s="48">
        <f t="shared" ca="1" si="151"/>
        <v>0</v>
      </c>
      <c r="BH124" s="48">
        <f t="shared" ca="1" si="152"/>
        <v>0</v>
      </c>
      <c r="BJ124" s="48">
        <f t="shared" ca="1" si="153"/>
        <v>0</v>
      </c>
      <c r="BL124" s="48">
        <f t="shared" ca="1" si="155"/>
        <v>0</v>
      </c>
    </row>
    <row r="125" spans="2:64" ht="13" x14ac:dyDescent="0.3">
      <c r="B125" s="18">
        <f t="shared" ref="B125:B131" si="161">B124+1</f>
        <v>72</v>
      </c>
      <c r="D125" s="35" t="s">
        <v>111</v>
      </c>
      <c r="F125" s="48">
        <f ca="1">Function!V125</f>
        <v>0</v>
      </c>
      <c r="H125" s="76"/>
      <c r="K125" s="70">
        <f>_xlfn.IFNA(MATCH(J125,'Dist Factors'!$B$15:$B$431,0),0)</f>
        <v>0</v>
      </c>
      <c r="L125" s="48"/>
      <c r="O125" s="70">
        <f>_xlfn.IFNA(MATCH(N125,'Dist Factors'!$B$15:$B$431,0),0)</f>
        <v>0</v>
      </c>
      <c r="P125" s="20">
        <f ca="1">OFFSET('Dist Factors'!$B$15,$O125-1,P$14)*$L125+OFFSET('Dist Factors'!$B$15,$K125-1,P$14)*$H125</f>
        <v>0</v>
      </c>
      <c r="R125" s="20">
        <f ca="1">OFFSET('Dist Factors'!$B$15,$O125-1,R$14)*$L125+OFFSET('Dist Factors'!$B$15,$K125-1,R$14)*$H125</f>
        <v>0</v>
      </c>
      <c r="S125" s="20"/>
      <c r="T125" s="20">
        <f ca="1">OFFSET('Dist Factors'!$B$15,$O125-1,T$14)*$L125+OFFSET('Dist Factors'!$B$15,$K125-1,T$14)*$H125</f>
        <v>0</v>
      </c>
      <c r="U125" s="20"/>
      <c r="V125" s="20">
        <f ca="1">OFFSET('Dist Factors'!$B$15,$O125-1,V$14)*$L125+OFFSET('Dist Factors'!$B$15,$K125-1,V$14)*$H125</f>
        <v>0</v>
      </c>
      <c r="W125" s="9"/>
      <c r="X125" s="20">
        <f ca="1">OFFSET('Dist Factors'!$B$15,$O125-1,X$14)*$L125+OFFSET('Dist Factors'!$B$15,$K125-1,X$14)*$H125</f>
        <v>0</v>
      </c>
      <c r="Y125" s="9"/>
      <c r="Z125" s="20">
        <f ca="1">OFFSET('Dist Factors'!$B$15,$O125-1,Z$14)*$L125+OFFSET('Dist Factors'!$B$15,$K125-1,Z$14)*$H125</f>
        <v>0</v>
      </c>
      <c r="AA125" s="20"/>
      <c r="AB125" s="20">
        <f ca="1">OFFSET('Dist Factors'!$B$15,$O125-1,AB$14)*$L125+OFFSET('Dist Factors'!$B$15,$K125-1,AB$14)*$H125</f>
        <v>0</v>
      </c>
      <c r="AC125" s="9"/>
      <c r="AD125" s="20">
        <f ca="1">OFFSET('Dist Factors'!$B$15,$O125-1,AD$14)*$L125+OFFSET('Dist Factors'!$B$15,$K125-1,AD$14)*$H125</f>
        <v>0</v>
      </c>
      <c r="AE125" s="9"/>
      <c r="AF125" s="20">
        <f ca="1">OFFSET('Dist Factors'!$B$15,$O125-1,AF$14)*$L125+OFFSET('Dist Factors'!$B$15,$K125-1,AF$14)*$H125</f>
        <v>0</v>
      </c>
      <c r="AG125" s="9"/>
      <c r="AH125" s="20">
        <f ca="1">OFFSET('Dist Factors'!$B$15,$O125-1,AH$14)*$L125+OFFSET('Dist Factors'!$B$15,$K125-1,AH$14)*$H125</f>
        <v>0</v>
      </c>
      <c r="AI125" s="9"/>
      <c r="AJ125" s="9">
        <f t="shared" ca="1" si="156"/>
        <v>0</v>
      </c>
      <c r="AL125" s="25" t="str">
        <f t="shared" ca="1" si="158"/>
        <v/>
      </c>
      <c r="AM125" s="49"/>
      <c r="AO125" s="89">
        <f ca="1">Function!AL125</f>
        <v>0</v>
      </c>
      <c r="AP125" s="96">
        <f t="shared" ca="1" si="160"/>
        <v>0</v>
      </c>
      <c r="AR125" s="48">
        <f t="shared" ca="1" si="144"/>
        <v>0</v>
      </c>
      <c r="AT125" s="48">
        <f t="shared" ca="1" si="145"/>
        <v>0</v>
      </c>
      <c r="AV125" s="48">
        <f t="shared" ca="1" si="146"/>
        <v>0</v>
      </c>
      <c r="AX125" s="48">
        <f t="shared" ca="1" si="147"/>
        <v>0</v>
      </c>
      <c r="AZ125" s="48">
        <f t="shared" ca="1" si="148"/>
        <v>0</v>
      </c>
      <c r="BB125" s="48">
        <f t="shared" ca="1" si="149"/>
        <v>0</v>
      </c>
      <c r="BD125" s="48">
        <f t="shared" ca="1" si="150"/>
        <v>0</v>
      </c>
      <c r="BF125" s="48">
        <f t="shared" ca="1" si="151"/>
        <v>0</v>
      </c>
      <c r="BH125" s="48">
        <f t="shared" ca="1" si="152"/>
        <v>0</v>
      </c>
      <c r="BJ125" s="48">
        <f t="shared" ca="1" si="153"/>
        <v>0</v>
      </c>
      <c r="BL125" s="48">
        <f t="shared" ca="1" si="155"/>
        <v>0</v>
      </c>
    </row>
    <row r="126" spans="2:64" ht="13" x14ac:dyDescent="0.3">
      <c r="B126" s="18">
        <f t="shared" si="161"/>
        <v>73</v>
      </c>
      <c r="D126" s="35" t="s">
        <v>113</v>
      </c>
      <c r="F126" s="48">
        <f ca="1">Function!V126</f>
        <v>0</v>
      </c>
      <c r="H126" s="76"/>
      <c r="K126" s="70">
        <f>_xlfn.IFNA(MATCH(J126,'Dist Factors'!$B$15:$B$431,0),0)</f>
        <v>0</v>
      </c>
      <c r="L126" s="48">
        <f t="shared" ref="L126:L131" ca="1" si="162">F126-H126</f>
        <v>0</v>
      </c>
      <c r="O126" s="70">
        <f>_xlfn.IFNA(MATCH(N126,'Dist Factors'!$B$15:$B$431,0),0)</f>
        <v>0</v>
      </c>
      <c r="P126" s="20">
        <f ca="1">OFFSET('Dist Factors'!$B$15,$O126-1,P$14)*$L126+OFFSET('Dist Factors'!$B$15,$K126-1,P$14)*$H126</f>
        <v>0</v>
      </c>
      <c r="R126" s="20">
        <f ca="1">OFFSET('Dist Factors'!$B$15,$O126-1,R$14)*$L126+OFFSET('Dist Factors'!$B$15,$K126-1,R$14)*$H126</f>
        <v>0</v>
      </c>
      <c r="S126" s="20"/>
      <c r="T126" s="20">
        <f ca="1">OFFSET('Dist Factors'!$B$15,$O126-1,T$14)*$L126+OFFSET('Dist Factors'!$B$15,$K126-1,T$14)*$H126</f>
        <v>0</v>
      </c>
      <c r="U126" s="20"/>
      <c r="V126" s="20">
        <f ca="1">OFFSET('Dist Factors'!$B$15,$O126-1,V$14)*$L126+OFFSET('Dist Factors'!$B$15,$K126-1,V$14)*$H126</f>
        <v>0</v>
      </c>
      <c r="W126" s="9"/>
      <c r="X126" s="20">
        <f ca="1">OFFSET('Dist Factors'!$B$15,$O126-1,X$14)*$L126+OFFSET('Dist Factors'!$B$15,$K126-1,X$14)*$H126</f>
        <v>0</v>
      </c>
      <c r="Y126" s="9"/>
      <c r="Z126" s="20">
        <f ca="1">OFFSET('Dist Factors'!$B$15,$O126-1,Z$14)*$L126+OFFSET('Dist Factors'!$B$15,$K126-1,Z$14)*$H126</f>
        <v>0</v>
      </c>
      <c r="AA126" s="20"/>
      <c r="AB126" s="20">
        <f ca="1">OFFSET('Dist Factors'!$B$15,$O126-1,AB$14)*$L126+OFFSET('Dist Factors'!$B$15,$K126-1,AB$14)*$H126</f>
        <v>0</v>
      </c>
      <c r="AC126" s="9"/>
      <c r="AD126" s="20">
        <f ca="1">OFFSET('Dist Factors'!$B$15,$O126-1,AD$14)*$L126+OFFSET('Dist Factors'!$B$15,$K126-1,AD$14)*$H126</f>
        <v>0</v>
      </c>
      <c r="AE126" s="9"/>
      <c r="AF126" s="20">
        <f ca="1">OFFSET('Dist Factors'!$B$15,$O126-1,AF$14)*$L126+OFFSET('Dist Factors'!$B$15,$K126-1,AF$14)*$H126</f>
        <v>0</v>
      </c>
      <c r="AG126" s="9"/>
      <c r="AH126" s="20">
        <f ca="1">OFFSET('Dist Factors'!$B$15,$O126-1,AH$14)*$L126+OFFSET('Dist Factors'!$B$15,$K126-1,AH$14)*$H126</f>
        <v>0</v>
      </c>
      <c r="AI126" s="9"/>
      <c r="AJ126" s="9">
        <f t="shared" ca="1" si="156"/>
        <v>0</v>
      </c>
      <c r="AL126" s="25" t="str">
        <f t="shared" ca="1" si="158"/>
        <v/>
      </c>
      <c r="AM126" s="49"/>
      <c r="AO126" s="89">
        <f ca="1">Function!AL126</f>
        <v>0</v>
      </c>
      <c r="AP126" s="96">
        <f t="shared" ca="1" si="160"/>
        <v>0</v>
      </c>
      <c r="AR126" s="48">
        <f t="shared" ca="1" si="144"/>
        <v>0</v>
      </c>
      <c r="AT126" s="48">
        <f t="shared" ca="1" si="145"/>
        <v>0</v>
      </c>
      <c r="AV126" s="48">
        <f t="shared" ca="1" si="146"/>
        <v>0</v>
      </c>
      <c r="AX126" s="48">
        <f t="shared" ca="1" si="147"/>
        <v>0</v>
      </c>
      <c r="AZ126" s="48">
        <f t="shared" ca="1" si="148"/>
        <v>0</v>
      </c>
      <c r="BB126" s="48">
        <f t="shared" ca="1" si="149"/>
        <v>0</v>
      </c>
      <c r="BD126" s="48">
        <f t="shared" ca="1" si="150"/>
        <v>0</v>
      </c>
      <c r="BF126" s="48">
        <f t="shared" ca="1" si="151"/>
        <v>0</v>
      </c>
      <c r="BH126" s="48">
        <f t="shared" ca="1" si="152"/>
        <v>0</v>
      </c>
      <c r="BJ126" s="48">
        <f t="shared" ca="1" si="153"/>
        <v>0</v>
      </c>
      <c r="BL126" s="48">
        <f t="shared" ca="1" si="155"/>
        <v>0</v>
      </c>
    </row>
    <row r="127" spans="2:64" ht="13" x14ac:dyDescent="0.3">
      <c r="B127" s="18">
        <f t="shared" si="161"/>
        <v>74</v>
      </c>
      <c r="D127" s="35" t="s">
        <v>114</v>
      </c>
      <c r="F127" s="48">
        <f ca="1">Function!V127</f>
        <v>0</v>
      </c>
      <c r="H127" s="76"/>
      <c r="K127" s="70">
        <f>_xlfn.IFNA(MATCH(J127,'Dist Factors'!$B$15:$B$431,0),0)</f>
        <v>0</v>
      </c>
      <c r="L127" s="48">
        <f t="shared" ca="1" si="162"/>
        <v>0</v>
      </c>
      <c r="O127" s="70">
        <f>_xlfn.IFNA(MATCH(N127,'Dist Factors'!$B$15:$B$431,0),0)</f>
        <v>0</v>
      </c>
      <c r="P127" s="20">
        <f ca="1">OFFSET('Dist Factors'!$B$15,$O127-1,P$14)*$L127+OFFSET('Dist Factors'!$B$15,$K127-1,P$14)*$H127</f>
        <v>0</v>
      </c>
      <c r="R127" s="20">
        <f ca="1">OFFSET('Dist Factors'!$B$15,$O127-1,R$14)*$L127+OFFSET('Dist Factors'!$B$15,$K127-1,R$14)*$H127</f>
        <v>0</v>
      </c>
      <c r="S127" s="20"/>
      <c r="T127" s="20">
        <f ca="1">OFFSET('Dist Factors'!$B$15,$O127-1,T$14)*$L127+OFFSET('Dist Factors'!$B$15,$K127-1,T$14)*$H127</f>
        <v>0</v>
      </c>
      <c r="U127" s="20"/>
      <c r="V127" s="20">
        <f ca="1">OFFSET('Dist Factors'!$B$15,$O127-1,V$14)*$L127+OFFSET('Dist Factors'!$B$15,$K127-1,V$14)*$H127</f>
        <v>0</v>
      </c>
      <c r="W127" s="9"/>
      <c r="X127" s="20">
        <f ca="1">OFFSET('Dist Factors'!$B$15,$O127-1,X$14)*$L127+OFFSET('Dist Factors'!$B$15,$K127-1,X$14)*$H127</f>
        <v>0</v>
      </c>
      <c r="Y127" s="9"/>
      <c r="Z127" s="20">
        <f ca="1">OFFSET('Dist Factors'!$B$15,$O127-1,Z$14)*$L127+OFFSET('Dist Factors'!$B$15,$K127-1,Z$14)*$H127</f>
        <v>0</v>
      </c>
      <c r="AA127" s="20"/>
      <c r="AB127" s="20">
        <f ca="1">OFFSET('Dist Factors'!$B$15,$O127-1,AB$14)*$L127+OFFSET('Dist Factors'!$B$15,$K127-1,AB$14)*$H127</f>
        <v>0</v>
      </c>
      <c r="AC127" s="9"/>
      <c r="AD127" s="20">
        <f ca="1">OFFSET('Dist Factors'!$B$15,$O127-1,AD$14)*$L127+OFFSET('Dist Factors'!$B$15,$K127-1,AD$14)*$H127</f>
        <v>0</v>
      </c>
      <c r="AE127" s="9"/>
      <c r="AF127" s="20">
        <f ca="1">OFFSET('Dist Factors'!$B$15,$O127-1,AF$14)*$L127+OFFSET('Dist Factors'!$B$15,$K127-1,AF$14)*$H127</f>
        <v>0</v>
      </c>
      <c r="AG127" s="9"/>
      <c r="AH127" s="20">
        <f ca="1">OFFSET('Dist Factors'!$B$15,$O127-1,AH$14)*$L127+OFFSET('Dist Factors'!$B$15,$K127-1,AH$14)*$H127</f>
        <v>0</v>
      </c>
      <c r="AI127" s="9"/>
      <c r="AJ127" s="9">
        <f t="shared" ca="1" si="156"/>
        <v>0</v>
      </c>
      <c r="AL127" s="25" t="str">
        <f t="shared" ca="1" si="158"/>
        <v/>
      </c>
      <c r="AM127" s="49"/>
      <c r="AO127" s="89">
        <f ca="1">Function!AL127</f>
        <v>0</v>
      </c>
      <c r="AP127" s="96">
        <f t="shared" ca="1" si="160"/>
        <v>0</v>
      </c>
      <c r="AR127" s="48">
        <f t="shared" ca="1" si="144"/>
        <v>0</v>
      </c>
      <c r="AT127" s="48">
        <f t="shared" ca="1" si="145"/>
        <v>0</v>
      </c>
      <c r="AV127" s="48">
        <f t="shared" ca="1" si="146"/>
        <v>0</v>
      </c>
      <c r="AX127" s="48">
        <f t="shared" ca="1" si="147"/>
        <v>0</v>
      </c>
      <c r="AZ127" s="48">
        <f t="shared" ca="1" si="148"/>
        <v>0</v>
      </c>
      <c r="BB127" s="48">
        <f t="shared" ca="1" si="149"/>
        <v>0</v>
      </c>
      <c r="BD127" s="48">
        <f t="shared" ca="1" si="150"/>
        <v>0</v>
      </c>
      <c r="BF127" s="48">
        <f t="shared" ca="1" si="151"/>
        <v>0</v>
      </c>
      <c r="BH127" s="48">
        <f t="shared" ca="1" si="152"/>
        <v>0</v>
      </c>
      <c r="BJ127" s="48">
        <f t="shared" ca="1" si="153"/>
        <v>0</v>
      </c>
      <c r="BL127" s="48">
        <f t="shared" ca="1" si="155"/>
        <v>0</v>
      </c>
    </row>
    <row r="128" spans="2:64" ht="13" x14ac:dyDescent="0.3">
      <c r="B128" s="18">
        <f t="shared" si="161"/>
        <v>75</v>
      </c>
      <c r="D128" s="35" t="s">
        <v>39</v>
      </c>
      <c r="F128" s="48">
        <f ca="1">Function!V128</f>
        <v>0</v>
      </c>
      <c r="H128" s="76"/>
      <c r="K128" s="70">
        <f>_xlfn.IFNA(MATCH(J128,'Dist Factors'!$B$15:$B$431,0),0)</f>
        <v>0</v>
      </c>
      <c r="L128" s="48">
        <f t="shared" ca="1" si="162"/>
        <v>0</v>
      </c>
      <c r="O128" s="70">
        <f>_xlfn.IFNA(MATCH(N128,'Dist Factors'!$B$15:$B$431,0),0)</f>
        <v>0</v>
      </c>
      <c r="P128" s="20">
        <f ca="1">OFFSET('Dist Factors'!$B$15,$O128-1,P$14)*$L128+OFFSET('Dist Factors'!$B$15,$K128-1,P$14)*$H128</f>
        <v>0</v>
      </c>
      <c r="R128" s="20">
        <f ca="1">OFFSET('Dist Factors'!$B$15,$O128-1,R$14)*$L128+OFFSET('Dist Factors'!$B$15,$K128-1,R$14)*$H128</f>
        <v>0</v>
      </c>
      <c r="S128" s="20"/>
      <c r="T128" s="20">
        <f ca="1">OFFSET('Dist Factors'!$B$15,$O128-1,T$14)*$L128+OFFSET('Dist Factors'!$B$15,$K128-1,T$14)*$H128</f>
        <v>0</v>
      </c>
      <c r="U128" s="20"/>
      <c r="V128" s="20">
        <f ca="1">OFFSET('Dist Factors'!$B$15,$O128-1,V$14)*$L128+OFFSET('Dist Factors'!$B$15,$K128-1,V$14)*$H128</f>
        <v>0</v>
      </c>
      <c r="W128" s="9"/>
      <c r="X128" s="20">
        <f ca="1">OFFSET('Dist Factors'!$B$15,$O128-1,X$14)*$L128+OFFSET('Dist Factors'!$B$15,$K128-1,X$14)*$H128</f>
        <v>0</v>
      </c>
      <c r="Y128" s="9"/>
      <c r="Z128" s="20">
        <f ca="1">OFFSET('Dist Factors'!$B$15,$O128-1,Z$14)*$L128+OFFSET('Dist Factors'!$B$15,$K128-1,Z$14)*$H128</f>
        <v>0</v>
      </c>
      <c r="AA128" s="20"/>
      <c r="AB128" s="20">
        <f ca="1">OFFSET('Dist Factors'!$B$15,$O128-1,AB$14)*$L128+OFFSET('Dist Factors'!$B$15,$K128-1,AB$14)*$H128</f>
        <v>0</v>
      </c>
      <c r="AC128" s="9"/>
      <c r="AD128" s="20">
        <f ca="1">OFFSET('Dist Factors'!$B$15,$O128-1,AD$14)*$L128+OFFSET('Dist Factors'!$B$15,$K128-1,AD$14)*$H128</f>
        <v>0</v>
      </c>
      <c r="AE128" s="9"/>
      <c r="AF128" s="20">
        <f ca="1">OFFSET('Dist Factors'!$B$15,$O128-1,AF$14)*$L128+OFFSET('Dist Factors'!$B$15,$K128-1,AF$14)*$H128</f>
        <v>0</v>
      </c>
      <c r="AG128" s="9"/>
      <c r="AH128" s="20">
        <f ca="1">OFFSET('Dist Factors'!$B$15,$O128-1,AH$14)*$L128+OFFSET('Dist Factors'!$B$15,$K128-1,AH$14)*$H128</f>
        <v>0</v>
      </c>
      <c r="AI128" s="9"/>
      <c r="AJ128" s="9">
        <f t="shared" ca="1" si="156"/>
        <v>0</v>
      </c>
      <c r="AL128" s="25" t="str">
        <f t="shared" ca="1" si="158"/>
        <v/>
      </c>
      <c r="AM128" s="49"/>
      <c r="AO128" s="89">
        <f ca="1">Function!AL128</f>
        <v>0</v>
      </c>
      <c r="AP128" s="96">
        <f t="shared" ca="1" si="160"/>
        <v>0</v>
      </c>
      <c r="AR128" s="48">
        <f t="shared" ca="1" si="144"/>
        <v>0</v>
      </c>
      <c r="AT128" s="48">
        <f t="shared" ca="1" si="145"/>
        <v>0</v>
      </c>
      <c r="AV128" s="48">
        <f t="shared" ca="1" si="146"/>
        <v>0</v>
      </c>
      <c r="AX128" s="48">
        <f t="shared" ca="1" si="147"/>
        <v>0</v>
      </c>
      <c r="AZ128" s="48">
        <f t="shared" ca="1" si="148"/>
        <v>0</v>
      </c>
      <c r="BB128" s="48">
        <f t="shared" ca="1" si="149"/>
        <v>0</v>
      </c>
      <c r="BD128" s="48">
        <f t="shared" ca="1" si="150"/>
        <v>0</v>
      </c>
      <c r="BF128" s="48">
        <f t="shared" ca="1" si="151"/>
        <v>0</v>
      </c>
      <c r="BH128" s="48">
        <f t="shared" ca="1" si="152"/>
        <v>0</v>
      </c>
      <c r="BJ128" s="48">
        <f t="shared" ca="1" si="153"/>
        <v>0</v>
      </c>
      <c r="BL128" s="48">
        <f t="shared" ca="1" si="155"/>
        <v>0</v>
      </c>
    </row>
    <row r="129" spans="2:64" ht="13" x14ac:dyDescent="0.3">
      <c r="B129" s="18">
        <f t="shared" si="161"/>
        <v>76</v>
      </c>
      <c r="D129" s="35" t="s">
        <v>116</v>
      </c>
      <c r="F129" s="48">
        <f ca="1">Function!V129</f>
        <v>0</v>
      </c>
      <c r="H129" s="76"/>
      <c r="K129" s="70">
        <f>_xlfn.IFNA(MATCH(J129,'Dist Factors'!$B$15:$B$431,0),0)</f>
        <v>0</v>
      </c>
      <c r="L129" s="48">
        <f t="shared" ca="1" si="162"/>
        <v>0</v>
      </c>
      <c r="O129" s="70">
        <f>_xlfn.IFNA(MATCH(N129,'Dist Factors'!$B$15:$B$431,0),0)</f>
        <v>0</v>
      </c>
      <c r="P129" s="20">
        <f ca="1">OFFSET('Dist Factors'!$B$15,$O129-1,P$14)*$L129+OFFSET('Dist Factors'!$B$15,$K129-1,P$14)*$H129</f>
        <v>0</v>
      </c>
      <c r="R129" s="20">
        <f ca="1">OFFSET('Dist Factors'!$B$15,$O129-1,R$14)*$L129+OFFSET('Dist Factors'!$B$15,$K129-1,R$14)*$H129</f>
        <v>0</v>
      </c>
      <c r="S129" s="20"/>
      <c r="T129" s="20">
        <f ca="1">OFFSET('Dist Factors'!$B$15,$O129-1,T$14)*$L129+OFFSET('Dist Factors'!$B$15,$K129-1,T$14)*$H129</f>
        <v>0</v>
      </c>
      <c r="U129" s="20"/>
      <c r="V129" s="20">
        <f ca="1">OFFSET('Dist Factors'!$B$15,$O129-1,V$14)*$L129+OFFSET('Dist Factors'!$B$15,$K129-1,V$14)*$H129</f>
        <v>0</v>
      </c>
      <c r="W129" s="9"/>
      <c r="X129" s="20">
        <f ca="1">OFFSET('Dist Factors'!$B$15,$O129-1,X$14)*$L129+OFFSET('Dist Factors'!$B$15,$K129-1,X$14)*$H129</f>
        <v>0</v>
      </c>
      <c r="Y129" s="9"/>
      <c r="Z129" s="20">
        <f ca="1">OFFSET('Dist Factors'!$B$15,$O129-1,Z$14)*$L129+OFFSET('Dist Factors'!$B$15,$K129-1,Z$14)*$H129</f>
        <v>0</v>
      </c>
      <c r="AA129" s="20"/>
      <c r="AB129" s="20">
        <f ca="1">OFFSET('Dist Factors'!$B$15,$O129-1,AB$14)*$L129+OFFSET('Dist Factors'!$B$15,$K129-1,AB$14)*$H129</f>
        <v>0</v>
      </c>
      <c r="AC129" s="9"/>
      <c r="AD129" s="20">
        <f ca="1">OFFSET('Dist Factors'!$B$15,$O129-1,AD$14)*$L129+OFFSET('Dist Factors'!$B$15,$K129-1,AD$14)*$H129</f>
        <v>0</v>
      </c>
      <c r="AE129" s="9"/>
      <c r="AF129" s="20">
        <f ca="1">OFFSET('Dist Factors'!$B$15,$O129-1,AF$14)*$L129+OFFSET('Dist Factors'!$B$15,$K129-1,AF$14)*$H129</f>
        <v>0</v>
      </c>
      <c r="AG129" s="9"/>
      <c r="AH129" s="20">
        <f ca="1">OFFSET('Dist Factors'!$B$15,$O129-1,AH$14)*$L129+OFFSET('Dist Factors'!$B$15,$K129-1,AH$14)*$H129</f>
        <v>0</v>
      </c>
      <c r="AI129" s="9"/>
      <c r="AJ129" s="9">
        <f t="shared" ca="1" si="156"/>
        <v>0</v>
      </c>
      <c r="AL129" s="25" t="str">
        <f t="shared" ca="1" si="158"/>
        <v/>
      </c>
      <c r="AM129" s="49"/>
      <c r="AO129" s="89">
        <f ca="1">Function!AL129</f>
        <v>0</v>
      </c>
      <c r="AP129" s="96">
        <f t="shared" ca="1" si="160"/>
        <v>0</v>
      </c>
      <c r="AR129" s="48">
        <f t="shared" ca="1" si="144"/>
        <v>0</v>
      </c>
      <c r="AT129" s="48">
        <f t="shared" ca="1" si="145"/>
        <v>0</v>
      </c>
      <c r="AV129" s="48">
        <f t="shared" ca="1" si="146"/>
        <v>0</v>
      </c>
      <c r="AX129" s="48">
        <f t="shared" ca="1" si="147"/>
        <v>0</v>
      </c>
      <c r="AZ129" s="48">
        <f t="shared" ca="1" si="148"/>
        <v>0</v>
      </c>
      <c r="BB129" s="48">
        <f t="shared" ca="1" si="149"/>
        <v>0</v>
      </c>
      <c r="BD129" s="48">
        <f t="shared" ca="1" si="150"/>
        <v>0</v>
      </c>
      <c r="BF129" s="48">
        <f t="shared" ca="1" si="151"/>
        <v>0</v>
      </c>
      <c r="BH129" s="48">
        <f t="shared" ca="1" si="152"/>
        <v>0</v>
      </c>
      <c r="BJ129" s="48">
        <f t="shared" ca="1" si="153"/>
        <v>0</v>
      </c>
      <c r="BL129" s="48">
        <f t="shared" ca="1" si="155"/>
        <v>0</v>
      </c>
    </row>
    <row r="130" spans="2:64" ht="13" x14ac:dyDescent="0.3">
      <c r="B130" s="18">
        <f t="shared" si="161"/>
        <v>77</v>
      </c>
      <c r="D130" s="35" t="s">
        <v>117</v>
      </c>
      <c r="F130" s="48">
        <f ca="1">Function!V130</f>
        <v>0</v>
      </c>
      <c r="H130" s="76"/>
      <c r="K130" s="70">
        <f>_xlfn.IFNA(MATCH(J130,'Dist Factors'!$B$15:$B$431,0),0)</f>
        <v>0</v>
      </c>
      <c r="L130" s="48">
        <f t="shared" ca="1" si="162"/>
        <v>0</v>
      </c>
      <c r="O130" s="70">
        <f>_xlfn.IFNA(MATCH(N130,'Dist Factors'!$B$15:$B$431,0),0)</f>
        <v>0</v>
      </c>
      <c r="P130" s="20">
        <f ca="1">OFFSET('Dist Factors'!$B$15,$O130-1,P$14)*$L130+OFFSET('Dist Factors'!$B$15,$K130-1,P$14)*$H130</f>
        <v>0</v>
      </c>
      <c r="R130" s="20">
        <f ca="1">OFFSET('Dist Factors'!$B$15,$O130-1,R$14)*$L130+OFFSET('Dist Factors'!$B$15,$K130-1,R$14)*$H130</f>
        <v>0</v>
      </c>
      <c r="S130" s="20"/>
      <c r="T130" s="20">
        <f ca="1">OFFSET('Dist Factors'!$B$15,$O130-1,T$14)*$L130+OFFSET('Dist Factors'!$B$15,$K130-1,T$14)*$H130</f>
        <v>0</v>
      </c>
      <c r="U130" s="20"/>
      <c r="V130" s="20">
        <f ca="1">OFFSET('Dist Factors'!$B$15,$O130-1,V$14)*$L130+OFFSET('Dist Factors'!$B$15,$K130-1,V$14)*$H130</f>
        <v>0</v>
      </c>
      <c r="W130" s="9"/>
      <c r="X130" s="20">
        <f ca="1">OFFSET('Dist Factors'!$B$15,$O130-1,X$14)*$L130+OFFSET('Dist Factors'!$B$15,$K130-1,X$14)*$H130</f>
        <v>0</v>
      </c>
      <c r="Y130" s="9"/>
      <c r="Z130" s="20">
        <f ca="1">OFFSET('Dist Factors'!$B$15,$O130-1,Z$14)*$L130+OFFSET('Dist Factors'!$B$15,$K130-1,Z$14)*$H130</f>
        <v>0</v>
      </c>
      <c r="AA130" s="20"/>
      <c r="AB130" s="20">
        <f ca="1">OFFSET('Dist Factors'!$B$15,$O130-1,AB$14)*$L130+OFFSET('Dist Factors'!$B$15,$K130-1,AB$14)*$H130</f>
        <v>0</v>
      </c>
      <c r="AC130" s="9"/>
      <c r="AD130" s="20">
        <f ca="1">OFFSET('Dist Factors'!$B$15,$O130-1,AD$14)*$L130+OFFSET('Dist Factors'!$B$15,$K130-1,AD$14)*$H130</f>
        <v>0</v>
      </c>
      <c r="AE130" s="9"/>
      <c r="AF130" s="20">
        <f ca="1">OFFSET('Dist Factors'!$B$15,$O130-1,AF$14)*$L130+OFFSET('Dist Factors'!$B$15,$K130-1,AF$14)*$H130</f>
        <v>0</v>
      </c>
      <c r="AG130" s="9"/>
      <c r="AH130" s="20">
        <f ca="1">OFFSET('Dist Factors'!$B$15,$O130-1,AH$14)*$L130+OFFSET('Dist Factors'!$B$15,$K130-1,AH$14)*$H130</f>
        <v>0</v>
      </c>
      <c r="AI130" s="9"/>
      <c r="AJ130" s="9">
        <f t="shared" ca="1" si="156"/>
        <v>0</v>
      </c>
      <c r="AL130" s="25" t="str">
        <f t="shared" ca="1" si="158"/>
        <v/>
      </c>
      <c r="AM130" s="49"/>
      <c r="AO130" s="89">
        <f ca="1">Function!AL130</f>
        <v>0</v>
      </c>
      <c r="AP130" s="96">
        <f t="shared" ca="1" si="160"/>
        <v>0</v>
      </c>
      <c r="AR130" s="48">
        <f t="shared" ca="1" si="144"/>
        <v>0</v>
      </c>
      <c r="AT130" s="48">
        <f t="shared" ca="1" si="145"/>
        <v>0</v>
      </c>
      <c r="AV130" s="48">
        <f t="shared" ca="1" si="146"/>
        <v>0</v>
      </c>
      <c r="AX130" s="48">
        <f t="shared" ca="1" si="147"/>
        <v>0</v>
      </c>
      <c r="AZ130" s="48">
        <f t="shared" ca="1" si="148"/>
        <v>0</v>
      </c>
      <c r="BB130" s="48">
        <f t="shared" ca="1" si="149"/>
        <v>0</v>
      </c>
      <c r="BD130" s="48">
        <f t="shared" ca="1" si="150"/>
        <v>0</v>
      </c>
      <c r="BF130" s="48">
        <f t="shared" ca="1" si="151"/>
        <v>0</v>
      </c>
      <c r="BH130" s="48">
        <f t="shared" ca="1" si="152"/>
        <v>0</v>
      </c>
      <c r="BJ130" s="48">
        <f t="shared" ca="1" si="153"/>
        <v>0</v>
      </c>
      <c r="BL130" s="48">
        <f t="shared" ca="1" si="155"/>
        <v>0</v>
      </c>
    </row>
    <row r="131" spans="2:64" ht="13" x14ac:dyDescent="0.3">
      <c r="B131" s="18">
        <f t="shared" si="161"/>
        <v>78</v>
      </c>
      <c r="D131" s="35" t="s">
        <v>118</v>
      </c>
      <c r="F131" s="48">
        <f ca="1">Function!V131</f>
        <v>0</v>
      </c>
      <c r="H131" s="76"/>
      <c r="K131" s="70">
        <f>_xlfn.IFNA(MATCH(J131,'Dist Factors'!$B$15:$B$431,0),0)</f>
        <v>0</v>
      </c>
      <c r="L131" s="48">
        <f t="shared" ca="1" si="162"/>
        <v>0</v>
      </c>
      <c r="O131" s="70">
        <f>_xlfn.IFNA(MATCH(N131,'Dist Factors'!$B$15:$B$431,0),0)</f>
        <v>0</v>
      </c>
      <c r="P131" s="20">
        <f ca="1">OFFSET('Dist Factors'!$B$15,$O131-1,P$14)*$L131+OFFSET('Dist Factors'!$B$15,$K131-1,P$14)*$H131</f>
        <v>0</v>
      </c>
      <c r="R131" s="20">
        <f ca="1">OFFSET('Dist Factors'!$B$15,$O131-1,R$14)*$L131+OFFSET('Dist Factors'!$B$15,$K131-1,R$14)*$H131</f>
        <v>0</v>
      </c>
      <c r="S131" s="20"/>
      <c r="T131" s="20">
        <f ca="1">OFFSET('Dist Factors'!$B$15,$O131-1,T$14)*$L131+OFFSET('Dist Factors'!$B$15,$K131-1,T$14)*$H131</f>
        <v>0</v>
      </c>
      <c r="U131" s="20"/>
      <c r="V131" s="20">
        <f ca="1">OFFSET('Dist Factors'!$B$15,$O131-1,V$14)*$L131+OFFSET('Dist Factors'!$B$15,$K131-1,V$14)*$H131</f>
        <v>0</v>
      </c>
      <c r="W131" s="9"/>
      <c r="X131" s="20">
        <f ca="1">OFFSET('Dist Factors'!$B$15,$O131-1,X$14)*$L131+OFFSET('Dist Factors'!$B$15,$K131-1,X$14)*$H131</f>
        <v>0</v>
      </c>
      <c r="Y131" s="9"/>
      <c r="Z131" s="20">
        <f ca="1">OFFSET('Dist Factors'!$B$15,$O131-1,Z$14)*$L131+OFFSET('Dist Factors'!$B$15,$K131-1,Z$14)*$H131</f>
        <v>0</v>
      </c>
      <c r="AA131" s="20"/>
      <c r="AB131" s="20">
        <f ca="1">OFFSET('Dist Factors'!$B$15,$O131-1,AB$14)*$L131+OFFSET('Dist Factors'!$B$15,$K131-1,AB$14)*$H131</f>
        <v>0</v>
      </c>
      <c r="AC131" s="9"/>
      <c r="AD131" s="20">
        <f ca="1">OFFSET('Dist Factors'!$B$15,$O131-1,AD$14)*$L131+OFFSET('Dist Factors'!$B$15,$K131-1,AD$14)*$H131</f>
        <v>0</v>
      </c>
      <c r="AE131" s="9"/>
      <c r="AF131" s="20">
        <f ca="1">OFFSET('Dist Factors'!$B$15,$O131-1,AF$14)*$L131+OFFSET('Dist Factors'!$B$15,$K131-1,AF$14)*$H131</f>
        <v>0</v>
      </c>
      <c r="AG131" s="9"/>
      <c r="AH131" s="20">
        <f ca="1">OFFSET('Dist Factors'!$B$15,$O131-1,AH$14)*$L131+OFFSET('Dist Factors'!$B$15,$K131-1,AH$14)*$H131</f>
        <v>0</v>
      </c>
      <c r="AI131" s="9"/>
      <c r="AJ131" s="9">
        <f t="shared" ca="1" si="156"/>
        <v>0</v>
      </c>
      <c r="AL131" s="25" t="str">
        <f t="shared" ca="1" si="158"/>
        <v/>
      </c>
      <c r="AM131" s="49"/>
      <c r="AO131" s="89">
        <f ca="1">Function!AL131</f>
        <v>0</v>
      </c>
      <c r="AP131" s="96">
        <f t="shared" ca="1" si="160"/>
        <v>0</v>
      </c>
      <c r="AR131" s="48">
        <f t="shared" ca="1" si="144"/>
        <v>0</v>
      </c>
      <c r="AT131" s="48">
        <f t="shared" ca="1" si="145"/>
        <v>0</v>
      </c>
      <c r="AV131" s="48">
        <f t="shared" ca="1" si="146"/>
        <v>0</v>
      </c>
      <c r="AX131" s="48">
        <f t="shared" ca="1" si="147"/>
        <v>0</v>
      </c>
      <c r="AZ131" s="48">
        <f t="shared" ca="1" si="148"/>
        <v>0</v>
      </c>
      <c r="BB131" s="48">
        <f t="shared" ca="1" si="149"/>
        <v>0</v>
      </c>
      <c r="BD131" s="48">
        <f t="shared" ca="1" si="150"/>
        <v>0</v>
      </c>
      <c r="BF131" s="48">
        <f t="shared" ca="1" si="151"/>
        <v>0</v>
      </c>
      <c r="BH131" s="48">
        <f t="shared" ca="1" si="152"/>
        <v>0</v>
      </c>
      <c r="BJ131" s="48">
        <f t="shared" ca="1" si="153"/>
        <v>0</v>
      </c>
      <c r="BL131" s="48">
        <f t="shared" ca="1" si="155"/>
        <v>0</v>
      </c>
    </row>
    <row r="132" spans="2:64" ht="13" x14ac:dyDescent="0.3">
      <c r="D132" s="1" t="s">
        <v>19</v>
      </c>
      <c r="AD132" s="9"/>
      <c r="AE132" s="9"/>
      <c r="AF132" s="9"/>
      <c r="AG132" s="9"/>
      <c r="AH132" s="9"/>
      <c r="AJ132" s="9">
        <f t="shared" si="156"/>
        <v>0</v>
      </c>
      <c r="AL132" s="25" t="str">
        <f t="shared" si="158"/>
        <v/>
      </c>
      <c r="AM132" s="49"/>
      <c r="AR132" s="48">
        <f t="shared" si="144"/>
        <v>0</v>
      </c>
      <c r="AT132" s="48">
        <f t="shared" si="145"/>
        <v>0</v>
      </c>
      <c r="AV132" s="48">
        <f t="shared" si="146"/>
        <v>0</v>
      </c>
      <c r="AX132" s="48">
        <f t="shared" si="147"/>
        <v>0</v>
      </c>
      <c r="AZ132" s="48">
        <f t="shared" si="148"/>
        <v>0</v>
      </c>
      <c r="BB132" s="48">
        <f t="shared" si="149"/>
        <v>0</v>
      </c>
      <c r="BD132" s="48">
        <f t="shared" si="150"/>
        <v>0</v>
      </c>
      <c r="BF132" s="48">
        <f t="shared" si="151"/>
        <v>0</v>
      </c>
      <c r="BH132" s="48">
        <f t="shared" si="152"/>
        <v>0</v>
      </c>
      <c r="BJ132" s="48">
        <f t="shared" si="153"/>
        <v>0</v>
      </c>
      <c r="BL132" s="48">
        <f t="shared" si="155"/>
        <v>0</v>
      </c>
    </row>
    <row r="133" spans="2:64" ht="13" x14ac:dyDescent="0.3">
      <c r="B133" s="18">
        <f>B131+1</f>
        <v>79</v>
      </c>
      <c r="D133" s="1" t="s">
        <v>119</v>
      </c>
      <c r="F133" s="48">
        <f ca="1">Function!V133</f>
        <v>0</v>
      </c>
      <c r="AD133" s="9"/>
      <c r="AE133" s="9"/>
      <c r="AF133" s="9"/>
      <c r="AG133" s="9"/>
      <c r="AH133" s="9"/>
      <c r="AJ133" s="9">
        <f t="shared" si="156"/>
        <v>0</v>
      </c>
      <c r="AL133" s="25" t="str">
        <f t="shared" ca="1" si="158"/>
        <v/>
      </c>
      <c r="AM133" s="49"/>
      <c r="AO133" s="89">
        <f ca="1">Function!AL133</f>
        <v>0</v>
      </c>
      <c r="AP133" s="96">
        <f ca="1">IFERROR(AO133/F133,0)</f>
        <v>0</v>
      </c>
      <c r="AR133" s="48">
        <f t="shared" ca="1" si="144"/>
        <v>0</v>
      </c>
      <c r="AT133" s="48">
        <f t="shared" ca="1" si="145"/>
        <v>0</v>
      </c>
      <c r="AV133" s="48">
        <f t="shared" ca="1" si="146"/>
        <v>0</v>
      </c>
      <c r="AX133" s="48">
        <f t="shared" ca="1" si="147"/>
        <v>0</v>
      </c>
      <c r="AZ133" s="48">
        <f t="shared" ca="1" si="148"/>
        <v>0</v>
      </c>
      <c r="BB133" s="48">
        <f t="shared" ca="1" si="149"/>
        <v>0</v>
      </c>
      <c r="BD133" s="48">
        <f t="shared" ca="1" si="150"/>
        <v>0</v>
      </c>
      <c r="BF133" s="48">
        <f t="shared" ca="1" si="151"/>
        <v>0</v>
      </c>
      <c r="BH133" s="48">
        <f t="shared" ca="1" si="152"/>
        <v>0</v>
      </c>
      <c r="BJ133" s="48">
        <f t="shared" ca="1" si="153"/>
        <v>0</v>
      </c>
      <c r="BL133" s="48">
        <f t="shared" ca="1" si="155"/>
        <v>0</v>
      </c>
    </row>
    <row r="134" spans="2:64" ht="13" x14ac:dyDescent="0.3">
      <c r="B134" s="18">
        <f>B133+1</f>
        <v>80</v>
      </c>
      <c r="D134" s="35" t="s">
        <v>120</v>
      </c>
      <c r="F134" s="48">
        <f ca="1">Function!V134</f>
        <v>0</v>
      </c>
      <c r="H134" s="76"/>
      <c r="K134" s="70">
        <f>_xlfn.IFNA(MATCH(J134,'Dist Factors'!$B$15:$B$431,0),0)</f>
        <v>0</v>
      </c>
      <c r="L134" s="48">
        <f t="shared" ref="L134:L136" ca="1" si="163">F134-H134</f>
        <v>0</v>
      </c>
      <c r="O134" s="70">
        <f>_xlfn.IFNA(MATCH(N134,'Dist Factors'!$B$15:$B$431,0),0)</f>
        <v>0</v>
      </c>
      <c r="P134" s="20">
        <f ca="1">OFFSET('Dist Factors'!$B$15,$O134-1,P$14)*$L134+OFFSET('Dist Factors'!$B$15,$K134-1,P$14)*$H134</f>
        <v>0</v>
      </c>
      <c r="R134" s="20">
        <f ca="1">OFFSET('Dist Factors'!$B$15,$O134-1,R$14)*$L134+OFFSET('Dist Factors'!$B$15,$K134-1,R$14)*$H134</f>
        <v>0</v>
      </c>
      <c r="S134" s="20"/>
      <c r="T134" s="20">
        <f ca="1">OFFSET('Dist Factors'!$B$15,$O134-1,T$14)*$L134+OFFSET('Dist Factors'!$B$15,$K134-1,T$14)*$H134</f>
        <v>0</v>
      </c>
      <c r="U134" s="20"/>
      <c r="V134" s="20">
        <f ca="1">OFFSET('Dist Factors'!$B$15,$O134-1,V$14)*$L134+OFFSET('Dist Factors'!$B$15,$K134-1,V$14)*$H134</f>
        <v>0</v>
      </c>
      <c r="W134" s="9"/>
      <c r="X134" s="20">
        <f ca="1">OFFSET('Dist Factors'!$B$15,$O134-1,X$14)*$L134+OFFSET('Dist Factors'!$B$15,$K134-1,X$14)*$H134</f>
        <v>0</v>
      </c>
      <c r="Y134" s="9"/>
      <c r="Z134" s="20">
        <f ca="1">OFFSET('Dist Factors'!$B$15,$O134-1,Z$14)*$L134+OFFSET('Dist Factors'!$B$15,$K134-1,Z$14)*$H134</f>
        <v>0</v>
      </c>
      <c r="AA134" s="20"/>
      <c r="AB134" s="20">
        <f ca="1">OFFSET('Dist Factors'!$B$15,$O134-1,AB$14)*$L134+OFFSET('Dist Factors'!$B$15,$K134-1,AB$14)*$H134</f>
        <v>0</v>
      </c>
      <c r="AC134" s="9"/>
      <c r="AD134" s="20">
        <f ca="1">OFFSET('Dist Factors'!$B$15,$O134-1,AD$14)*$L134+OFFSET('Dist Factors'!$B$15,$K134-1,AD$14)*$H134</f>
        <v>0</v>
      </c>
      <c r="AE134" s="9"/>
      <c r="AF134" s="20">
        <f ca="1">OFFSET('Dist Factors'!$B$15,$O134-1,AF$14)*$L134+OFFSET('Dist Factors'!$B$15,$K134-1,AF$14)*$H134</f>
        <v>0</v>
      </c>
      <c r="AG134" s="9"/>
      <c r="AH134" s="20">
        <f ca="1">OFFSET('Dist Factors'!$B$15,$O134-1,AH$14)*$L134+OFFSET('Dist Factors'!$B$15,$K134-1,AH$14)*$H134</f>
        <v>0</v>
      </c>
      <c r="AI134" s="9"/>
      <c r="AJ134" s="9">
        <f t="shared" ca="1" si="156"/>
        <v>0</v>
      </c>
      <c r="AL134" s="25" t="str">
        <f t="shared" ca="1" si="158"/>
        <v/>
      </c>
      <c r="AM134" s="49"/>
      <c r="AO134" s="89">
        <f ca="1">Function!AL134</f>
        <v>0</v>
      </c>
      <c r="AP134" s="96">
        <f ca="1">IFERROR(AO134/F134,0)</f>
        <v>0</v>
      </c>
      <c r="AR134" s="48">
        <f t="shared" ca="1" si="144"/>
        <v>0</v>
      </c>
      <c r="AT134" s="48">
        <f t="shared" ca="1" si="145"/>
        <v>0</v>
      </c>
      <c r="AV134" s="48">
        <f t="shared" ca="1" si="146"/>
        <v>0</v>
      </c>
      <c r="AX134" s="48">
        <f t="shared" ca="1" si="147"/>
        <v>0</v>
      </c>
      <c r="AZ134" s="48">
        <f t="shared" ca="1" si="148"/>
        <v>0</v>
      </c>
      <c r="BB134" s="48">
        <f t="shared" ca="1" si="149"/>
        <v>0</v>
      </c>
      <c r="BD134" s="48">
        <f t="shared" ca="1" si="150"/>
        <v>0</v>
      </c>
      <c r="BF134" s="48">
        <f t="shared" ca="1" si="151"/>
        <v>0</v>
      </c>
      <c r="BH134" s="48">
        <f t="shared" ca="1" si="152"/>
        <v>0</v>
      </c>
      <c r="BJ134" s="48">
        <f t="shared" ca="1" si="153"/>
        <v>0</v>
      </c>
      <c r="BL134" s="48">
        <f t="shared" ca="1" si="155"/>
        <v>0</v>
      </c>
    </row>
    <row r="135" spans="2:64" ht="13" x14ac:dyDescent="0.3">
      <c r="B135" s="18">
        <f t="shared" ref="B135:B136" si="164">B134+1</f>
        <v>81</v>
      </c>
      <c r="D135" s="35" t="s">
        <v>114</v>
      </c>
      <c r="F135" s="48">
        <f ca="1">Function!V135</f>
        <v>0</v>
      </c>
      <c r="H135" s="76"/>
      <c r="K135" s="70">
        <f>_xlfn.IFNA(MATCH(J135,'Dist Factors'!$B$15:$B$431,0),0)</f>
        <v>0</v>
      </c>
      <c r="L135" s="48">
        <f t="shared" ca="1" si="163"/>
        <v>0</v>
      </c>
      <c r="O135" s="70">
        <f>_xlfn.IFNA(MATCH(N135,'Dist Factors'!$B$15:$B$431,0),0)</f>
        <v>0</v>
      </c>
      <c r="P135" s="20">
        <f ca="1">OFFSET('Dist Factors'!$B$15,$O135-1,P$14)*$L135+OFFSET('Dist Factors'!$B$15,$K135-1,P$14)*$H135</f>
        <v>0</v>
      </c>
      <c r="R135" s="20">
        <f ca="1">OFFSET('Dist Factors'!$B$15,$O135-1,R$14)*$L135+OFFSET('Dist Factors'!$B$15,$K135-1,R$14)*$H135</f>
        <v>0</v>
      </c>
      <c r="S135" s="20"/>
      <c r="T135" s="20">
        <f ca="1">OFFSET('Dist Factors'!$B$15,$O135-1,T$14)*$L135+OFFSET('Dist Factors'!$B$15,$K135-1,T$14)*$H135</f>
        <v>0</v>
      </c>
      <c r="U135" s="20"/>
      <c r="V135" s="20">
        <f ca="1">OFFSET('Dist Factors'!$B$15,$O135-1,V$14)*$L135+OFFSET('Dist Factors'!$B$15,$K135-1,V$14)*$H135</f>
        <v>0</v>
      </c>
      <c r="W135" s="9"/>
      <c r="X135" s="20">
        <f ca="1">OFFSET('Dist Factors'!$B$15,$O135-1,X$14)*$L135+OFFSET('Dist Factors'!$B$15,$K135-1,X$14)*$H135</f>
        <v>0</v>
      </c>
      <c r="Y135" s="9"/>
      <c r="Z135" s="20">
        <f ca="1">OFFSET('Dist Factors'!$B$15,$O135-1,Z$14)*$L135+OFFSET('Dist Factors'!$B$15,$K135-1,Z$14)*$H135</f>
        <v>0</v>
      </c>
      <c r="AA135" s="20"/>
      <c r="AB135" s="20">
        <f ca="1">OFFSET('Dist Factors'!$B$15,$O135-1,AB$14)*$L135+OFFSET('Dist Factors'!$B$15,$K135-1,AB$14)*$H135</f>
        <v>0</v>
      </c>
      <c r="AC135" s="9"/>
      <c r="AD135" s="20">
        <f ca="1">OFFSET('Dist Factors'!$B$15,$O135-1,AD$14)*$L135+OFFSET('Dist Factors'!$B$15,$K135-1,AD$14)*$H135</f>
        <v>0</v>
      </c>
      <c r="AE135" s="9"/>
      <c r="AF135" s="20">
        <f ca="1">OFFSET('Dist Factors'!$B$15,$O135-1,AF$14)*$L135+OFFSET('Dist Factors'!$B$15,$K135-1,AF$14)*$H135</f>
        <v>0</v>
      </c>
      <c r="AG135" s="9"/>
      <c r="AH135" s="20">
        <f ca="1">OFFSET('Dist Factors'!$B$15,$O135-1,AH$14)*$L135+OFFSET('Dist Factors'!$B$15,$K135-1,AH$14)*$H135</f>
        <v>0</v>
      </c>
      <c r="AI135" s="9"/>
      <c r="AJ135" s="9">
        <f t="shared" ca="1" si="156"/>
        <v>0</v>
      </c>
      <c r="AL135" s="25" t="str">
        <f t="shared" ca="1" si="158"/>
        <v/>
      </c>
      <c r="AM135" s="49"/>
      <c r="AO135" s="89">
        <f ca="1">Function!AL135</f>
        <v>0</v>
      </c>
      <c r="AP135" s="96">
        <f ca="1">IFERROR(AO135/F135,0)</f>
        <v>0</v>
      </c>
      <c r="AR135" s="48">
        <f t="shared" ca="1" si="144"/>
        <v>0</v>
      </c>
      <c r="AT135" s="48">
        <f t="shared" ca="1" si="145"/>
        <v>0</v>
      </c>
      <c r="AV135" s="48">
        <f t="shared" ca="1" si="146"/>
        <v>0</v>
      </c>
      <c r="AX135" s="48">
        <f t="shared" ca="1" si="147"/>
        <v>0</v>
      </c>
      <c r="AZ135" s="48">
        <f t="shared" ca="1" si="148"/>
        <v>0</v>
      </c>
      <c r="BB135" s="48">
        <f t="shared" ca="1" si="149"/>
        <v>0</v>
      </c>
      <c r="BD135" s="48">
        <f t="shared" ca="1" si="150"/>
        <v>0</v>
      </c>
      <c r="BF135" s="48">
        <f t="shared" ca="1" si="151"/>
        <v>0</v>
      </c>
      <c r="BH135" s="48">
        <f t="shared" ca="1" si="152"/>
        <v>0</v>
      </c>
      <c r="BJ135" s="48">
        <f t="shared" ca="1" si="153"/>
        <v>0</v>
      </c>
      <c r="BL135" s="48">
        <f t="shared" ca="1" si="155"/>
        <v>0</v>
      </c>
    </row>
    <row r="136" spans="2:64" ht="13" x14ac:dyDescent="0.3">
      <c r="B136" s="18">
        <f t="shared" si="164"/>
        <v>82</v>
      </c>
      <c r="D136" s="35" t="s">
        <v>39</v>
      </c>
      <c r="F136" s="48">
        <f ca="1">Function!V136</f>
        <v>0</v>
      </c>
      <c r="H136" s="76"/>
      <c r="K136" s="70">
        <f>_xlfn.IFNA(MATCH(J136,'Dist Factors'!$B$15:$B$431,0),0)</f>
        <v>0</v>
      </c>
      <c r="L136" s="48">
        <f t="shared" ca="1" si="163"/>
        <v>0</v>
      </c>
      <c r="O136" s="70">
        <f>_xlfn.IFNA(MATCH(N136,'Dist Factors'!$B$15:$B$431,0),0)</f>
        <v>0</v>
      </c>
      <c r="P136" s="20">
        <f ca="1">OFFSET('Dist Factors'!$B$15,$O136-1,P$14)*$L136+OFFSET('Dist Factors'!$B$15,$K136-1,P$14)*$H136</f>
        <v>0</v>
      </c>
      <c r="R136" s="20">
        <f ca="1">OFFSET('Dist Factors'!$B$15,$O136-1,R$14)*$L136+OFFSET('Dist Factors'!$B$15,$K136-1,R$14)*$H136</f>
        <v>0</v>
      </c>
      <c r="S136" s="20"/>
      <c r="T136" s="20">
        <f ca="1">OFFSET('Dist Factors'!$B$15,$O136-1,T$14)*$L136+OFFSET('Dist Factors'!$B$15,$K136-1,T$14)*$H136</f>
        <v>0</v>
      </c>
      <c r="U136" s="20"/>
      <c r="V136" s="20">
        <f ca="1">OFFSET('Dist Factors'!$B$15,$O136-1,V$14)*$L136+OFFSET('Dist Factors'!$B$15,$K136-1,V$14)*$H136</f>
        <v>0</v>
      </c>
      <c r="W136" s="9"/>
      <c r="X136" s="20">
        <f ca="1">OFFSET('Dist Factors'!$B$15,$O136-1,X$14)*$L136+OFFSET('Dist Factors'!$B$15,$K136-1,X$14)*$H136</f>
        <v>0</v>
      </c>
      <c r="Y136" s="9"/>
      <c r="Z136" s="20">
        <f ca="1">OFFSET('Dist Factors'!$B$15,$O136-1,Z$14)*$L136+OFFSET('Dist Factors'!$B$15,$K136-1,Z$14)*$H136</f>
        <v>0</v>
      </c>
      <c r="AA136" s="20"/>
      <c r="AB136" s="20">
        <f ca="1">OFFSET('Dist Factors'!$B$15,$O136-1,AB$14)*$L136+OFFSET('Dist Factors'!$B$15,$K136-1,AB$14)*$H136</f>
        <v>0</v>
      </c>
      <c r="AC136" s="9"/>
      <c r="AD136" s="20">
        <f ca="1">OFFSET('Dist Factors'!$B$15,$O136-1,AD$14)*$L136+OFFSET('Dist Factors'!$B$15,$K136-1,AD$14)*$H136</f>
        <v>0</v>
      </c>
      <c r="AE136" s="9"/>
      <c r="AF136" s="20">
        <f ca="1">OFFSET('Dist Factors'!$B$15,$O136-1,AF$14)*$L136+OFFSET('Dist Factors'!$B$15,$K136-1,AF$14)*$H136</f>
        <v>0</v>
      </c>
      <c r="AG136" s="9"/>
      <c r="AH136" s="20">
        <f ca="1">OFFSET('Dist Factors'!$B$15,$O136-1,AH$14)*$L136+OFFSET('Dist Factors'!$B$15,$K136-1,AH$14)*$H136</f>
        <v>0</v>
      </c>
      <c r="AI136" s="9"/>
      <c r="AJ136" s="9">
        <f t="shared" ca="1" si="156"/>
        <v>0</v>
      </c>
      <c r="AL136" s="25" t="str">
        <f t="shared" ca="1" si="158"/>
        <v/>
      </c>
      <c r="AM136" s="49"/>
      <c r="AO136" s="89">
        <f ca="1">Function!AL136</f>
        <v>0</v>
      </c>
      <c r="AP136" s="96">
        <f ca="1">IFERROR(AO136/F136,0)</f>
        <v>0</v>
      </c>
      <c r="AR136" s="48">
        <f t="shared" ca="1" si="144"/>
        <v>0</v>
      </c>
      <c r="AT136" s="48">
        <f t="shared" ca="1" si="145"/>
        <v>0</v>
      </c>
      <c r="AV136" s="48">
        <f t="shared" ca="1" si="146"/>
        <v>0</v>
      </c>
      <c r="AX136" s="48">
        <f t="shared" ca="1" si="147"/>
        <v>0</v>
      </c>
      <c r="AZ136" s="48">
        <f t="shared" ca="1" si="148"/>
        <v>0</v>
      </c>
      <c r="BB136" s="48">
        <f t="shared" ca="1" si="149"/>
        <v>0</v>
      </c>
      <c r="BD136" s="48">
        <f t="shared" ca="1" si="150"/>
        <v>0</v>
      </c>
      <c r="BF136" s="48">
        <f t="shared" ca="1" si="151"/>
        <v>0</v>
      </c>
      <c r="BH136" s="48">
        <f t="shared" ca="1" si="152"/>
        <v>0</v>
      </c>
      <c r="BJ136" s="48">
        <f t="shared" ca="1" si="153"/>
        <v>0</v>
      </c>
      <c r="BL136" s="48">
        <f t="shared" ca="1" si="155"/>
        <v>0</v>
      </c>
    </row>
    <row r="137" spans="2:64" ht="13" x14ac:dyDescent="0.3">
      <c r="D137" s="1" t="s">
        <v>20</v>
      </c>
      <c r="AD137" s="9"/>
      <c r="AE137" s="9"/>
      <c r="AF137" s="9"/>
      <c r="AG137" s="9"/>
      <c r="AH137" s="9"/>
      <c r="AJ137" s="9">
        <f t="shared" si="156"/>
        <v>0</v>
      </c>
      <c r="AL137" s="25" t="str">
        <f t="shared" si="158"/>
        <v/>
      </c>
      <c r="AM137" s="49"/>
      <c r="AP137" s="96"/>
      <c r="AR137" s="48">
        <f t="shared" si="144"/>
        <v>0</v>
      </c>
      <c r="AT137" s="48">
        <f t="shared" si="145"/>
        <v>0</v>
      </c>
      <c r="AV137" s="48">
        <f t="shared" si="146"/>
        <v>0</v>
      </c>
      <c r="AX137" s="48">
        <f t="shared" si="147"/>
        <v>0</v>
      </c>
      <c r="AZ137" s="48">
        <f t="shared" si="148"/>
        <v>0</v>
      </c>
      <c r="BB137" s="48">
        <f t="shared" si="149"/>
        <v>0</v>
      </c>
      <c r="BD137" s="48">
        <f t="shared" si="150"/>
        <v>0</v>
      </c>
      <c r="BF137" s="48">
        <f t="shared" si="151"/>
        <v>0</v>
      </c>
      <c r="BH137" s="48">
        <f t="shared" si="152"/>
        <v>0</v>
      </c>
      <c r="BJ137" s="48">
        <f t="shared" si="153"/>
        <v>0</v>
      </c>
      <c r="BL137" s="48">
        <f t="shared" si="155"/>
        <v>0</v>
      </c>
    </row>
    <row r="138" spans="2:64" ht="13" x14ac:dyDescent="0.3">
      <c r="B138" s="18">
        <f>B136+1</f>
        <v>83</v>
      </c>
      <c r="D138" s="1" t="s">
        <v>121</v>
      </c>
      <c r="F138" s="48">
        <f ca="1">Function!V138</f>
        <v>10616.772187581613</v>
      </c>
      <c r="K138" s="70">
        <f>_xlfn.IFNA(MATCH(J138,'Dist Factors'!$B$15:$B$431,0),0)</f>
        <v>0</v>
      </c>
      <c r="L138" s="48">
        <f t="shared" ref="L138:L143" ca="1" si="165">F138-H138</f>
        <v>10616.772187581613</v>
      </c>
      <c r="N138" s="18" t="s">
        <v>305</v>
      </c>
      <c r="O138" s="70">
        <f>_xlfn.IFNA(MATCH(N138,'Dist Factors'!$B$15:$B$431,0),0)</f>
        <v>50</v>
      </c>
      <c r="P138" s="20">
        <f ca="1">OFFSET('Dist Factors'!$B$15,$O138-1,P$14)*$L138+OFFSET('Dist Factors'!$B$15,$K138-1,P$14)*$H138</f>
        <v>1508.3075931592221</v>
      </c>
      <c r="R138" s="20">
        <f ca="1">OFFSET('Dist Factors'!$B$15,$O138-1,R$14)*$L138+OFFSET('Dist Factors'!$B$15,$K138-1,R$14)*$H138</f>
        <v>288.48578872910383</v>
      </c>
      <c r="S138" s="20"/>
      <c r="T138" s="20">
        <f ca="1">OFFSET('Dist Factors'!$B$15,$O138-1,T$14)*$L138+OFFSET('Dist Factors'!$B$15,$K138-1,T$14)*$H138</f>
        <v>1755.9076173228684</v>
      </c>
      <c r="U138" s="20"/>
      <c r="V138" s="20">
        <f ca="1">OFFSET('Dist Factors'!$B$15,$O138-1,V$14)*$L138+OFFSET('Dist Factors'!$B$15,$K138-1,V$14)*$H138</f>
        <v>0</v>
      </c>
      <c r="W138" s="9"/>
      <c r="X138" s="20">
        <f ca="1">OFFSET('Dist Factors'!$B$15,$O138-1,X$14)*$L138+OFFSET('Dist Factors'!$B$15,$K138-1,X$14)*$H138</f>
        <v>1654.1818277903585</v>
      </c>
      <c r="Y138" s="9"/>
      <c r="Z138" s="20">
        <f ca="1">OFFSET('Dist Factors'!$B$15,$O138-1,Z$14)*$L138+OFFSET('Dist Factors'!$B$15,$K138-1,Z$14)*$H138</f>
        <v>2732.8190337742058</v>
      </c>
      <c r="AA138" s="20"/>
      <c r="AB138" s="20">
        <f ca="1">OFFSET('Dist Factors'!$B$15,$O138-1,AB$14)*$L138+OFFSET('Dist Factors'!$B$15,$K138-1,AB$14)*$H138</f>
        <v>2299.9543136867696</v>
      </c>
      <c r="AC138" s="9"/>
      <c r="AD138" s="20">
        <f ca="1">OFFSET('Dist Factors'!$B$15,$O138-1,AD$14)*$L138+OFFSET('Dist Factors'!$B$15,$K138-1,AD$14)*$H138</f>
        <v>377.11601311908538</v>
      </c>
      <c r="AE138" s="9"/>
      <c r="AF138" s="20">
        <f ca="1">OFFSET('Dist Factors'!$B$15,$O138-1,AF$14)*$L138+OFFSET('Dist Factors'!$B$15,$K138-1,AF$14)*$H138</f>
        <v>0</v>
      </c>
      <c r="AG138" s="9"/>
      <c r="AH138" s="20">
        <f ca="1">OFFSET('Dist Factors'!$B$15,$O138-1,AH$14)*$L138+OFFSET('Dist Factors'!$B$15,$K138-1,AH$14)*$H138</f>
        <v>0</v>
      </c>
      <c r="AI138" s="9"/>
      <c r="AJ138" s="9">
        <f t="shared" ca="1" si="156"/>
        <v>10616.772187581613</v>
      </c>
      <c r="AL138" s="25" t="str">
        <f t="shared" ca="1" si="158"/>
        <v/>
      </c>
      <c r="AM138" s="49"/>
      <c r="AO138" s="89">
        <f ca="1">Function!AL138</f>
        <v>7329.8580613904187</v>
      </c>
      <c r="AP138" s="96">
        <f t="shared" ref="AP138:AP143" ca="1" si="166">IFERROR(AO138/F138,0)</f>
        <v>0.69040363039569763</v>
      </c>
      <c r="AR138" s="48">
        <f t="shared" ca="1" si="144"/>
        <v>1041.3410380705238</v>
      </c>
      <c r="AT138" s="48">
        <f t="shared" ca="1" si="145"/>
        <v>199.17163585613952</v>
      </c>
      <c r="AV138" s="48">
        <f t="shared" ca="1" si="146"/>
        <v>1212.2849936391676</v>
      </c>
      <c r="AX138" s="48">
        <f t="shared" ca="1" si="147"/>
        <v>0</v>
      </c>
      <c r="AZ138" s="48">
        <f t="shared" ca="1" si="148"/>
        <v>1142.0531392410542</v>
      </c>
      <c r="BB138" s="48">
        <f t="shared" ca="1" si="149"/>
        <v>1886.7481821321742</v>
      </c>
      <c r="BD138" s="48">
        <f t="shared" ca="1" si="150"/>
        <v>1587.8968079135909</v>
      </c>
      <c r="BF138" s="48">
        <f t="shared" ca="1" si="151"/>
        <v>260.36226453776806</v>
      </c>
      <c r="BH138" s="48">
        <f t="shared" ca="1" si="152"/>
        <v>0</v>
      </c>
      <c r="BJ138" s="48">
        <f t="shared" ca="1" si="153"/>
        <v>0</v>
      </c>
      <c r="BL138" s="48">
        <f t="shared" ca="1" si="155"/>
        <v>7329.8580613904187</v>
      </c>
    </row>
    <row r="139" spans="2:64" ht="13" x14ac:dyDescent="0.3">
      <c r="B139" s="18">
        <f>B138+1</f>
        <v>84</v>
      </c>
      <c r="D139" s="35" t="s">
        <v>122</v>
      </c>
      <c r="F139" s="48">
        <f ca="1">Function!V139</f>
        <v>22130.98895566666</v>
      </c>
      <c r="H139" s="76">
        <v>2479.1055581980895</v>
      </c>
      <c r="J139" s="2" t="s">
        <v>294</v>
      </c>
      <c r="K139" s="70">
        <f>_xlfn.IFNA(MATCH(J139,'Dist Factors'!$B$15:$B$431,0),0)</f>
        <v>14</v>
      </c>
      <c r="L139" s="48">
        <f t="shared" ca="1" si="165"/>
        <v>19651.883397468569</v>
      </c>
      <c r="N139" s="18" t="s">
        <v>296</v>
      </c>
      <c r="O139" s="70">
        <f>_xlfn.IFNA(MATCH(N139,'Dist Factors'!$B$15:$B$431,0),0)</f>
        <v>5</v>
      </c>
      <c r="P139" s="20">
        <f ca="1">OFFSET('Dist Factors'!$B$15,$O139-1,P$14)*$L139+OFFSET('Dist Factors'!$B$15,$K139-1,P$14)*$H139</f>
        <v>0</v>
      </c>
      <c r="R139" s="20">
        <f ca="1">OFFSET('Dist Factors'!$B$15,$O139-1,R$14)*$L139+OFFSET('Dist Factors'!$B$15,$K139-1,R$14)*$H139</f>
        <v>0</v>
      </c>
      <c r="S139" s="20"/>
      <c r="T139" s="20">
        <f ca="1">OFFSET('Dist Factors'!$B$15,$O139-1,T$14)*$L139+OFFSET('Dist Factors'!$B$15,$K139-1,T$14)*$H139</f>
        <v>0</v>
      </c>
      <c r="U139" s="20"/>
      <c r="V139" s="20">
        <f ca="1">OFFSET('Dist Factors'!$B$15,$O139-1,V$14)*$L139+OFFSET('Dist Factors'!$B$15,$K139-1,V$14)*$H139</f>
        <v>0</v>
      </c>
      <c r="W139" s="9"/>
      <c r="X139" s="20">
        <f ca="1">OFFSET('Dist Factors'!$B$15,$O139-1,X$14)*$L139+OFFSET('Dist Factors'!$B$15,$K139-1,X$14)*$H139</f>
        <v>0</v>
      </c>
      <c r="Y139" s="9"/>
      <c r="Z139" s="20">
        <f ca="1">OFFSET('Dist Factors'!$B$15,$O139-1,Z$14)*$L139+OFFSET('Dist Factors'!$B$15,$K139-1,Z$14)*$H139</f>
        <v>0</v>
      </c>
      <c r="AA139" s="20"/>
      <c r="AB139" s="20">
        <f ca="1">OFFSET('Dist Factors'!$B$15,$O139-1,AB$14)*$L139+OFFSET('Dist Factors'!$B$15,$K139-1,AB$14)*$H139</f>
        <v>19651.883397468569</v>
      </c>
      <c r="AC139" s="9"/>
      <c r="AD139" s="20">
        <f ca="1">OFFSET('Dist Factors'!$B$15,$O139-1,AD$14)*$L139+OFFSET('Dist Factors'!$B$15,$K139-1,AD$14)*$H139</f>
        <v>2479.1055581980895</v>
      </c>
      <c r="AE139" s="9"/>
      <c r="AF139" s="20">
        <f ca="1">OFFSET('Dist Factors'!$B$15,$O139-1,AF$14)*$L139+OFFSET('Dist Factors'!$B$15,$K139-1,AF$14)*$H139</f>
        <v>0</v>
      </c>
      <c r="AG139" s="9"/>
      <c r="AH139" s="20">
        <f ca="1">OFFSET('Dist Factors'!$B$15,$O139-1,AH$14)*$L139+OFFSET('Dist Factors'!$B$15,$K139-1,AH$14)*$H139</f>
        <v>0</v>
      </c>
      <c r="AI139" s="9"/>
      <c r="AJ139" s="9">
        <f t="shared" ca="1" si="156"/>
        <v>22130.98895566666</v>
      </c>
      <c r="AL139" s="25" t="str">
        <f t="shared" ca="1" si="158"/>
        <v/>
      </c>
      <c r="AM139" s="49"/>
      <c r="AO139" s="89">
        <f ca="1">Function!AL139</f>
        <v>5485.71519527688</v>
      </c>
      <c r="AP139" s="96">
        <f t="shared" ca="1" si="166"/>
        <v>0.24787483317017595</v>
      </c>
      <c r="AR139" s="48">
        <f t="shared" ca="1" si="144"/>
        <v>0</v>
      </c>
      <c r="AT139" s="48">
        <f t="shared" ca="1" si="145"/>
        <v>0</v>
      </c>
      <c r="AV139" s="48">
        <f t="shared" ca="1" si="146"/>
        <v>0</v>
      </c>
      <c r="AX139" s="48">
        <f t="shared" ca="1" si="147"/>
        <v>0</v>
      </c>
      <c r="AZ139" s="48">
        <f t="shared" ca="1" si="148"/>
        <v>0</v>
      </c>
      <c r="BB139" s="48">
        <f t="shared" ca="1" si="149"/>
        <v>0</v>
      </c>
      <c r="BD139" s="48">
        <f t="shared" ca="1" si="150"/>
        <v>4871.2073186272719</v>
      </c>
      <c r="BF139" s="48">
        <f t="shared" ca="1" si="151"/>
        <v>614.5078766496074</v>
      </c>
      <c r="BH139" s="48">
        <f t="shared" ca="1" si="152"/>
        <v>0</v>
      </c>
      <c r="BJ139" s="48">
        <f t="shared" ca="1" si="153"/>
        <v>0</v>
      </c>
      <c r="BL139" s="48">
        <f t="shared" ca="1" si="155"/>
        <v>5485.7151952768791</v>
      </c>
    </row>
    <row r="140" spans="2:64" ht="13" x14ac:dyDescent="0.3">
      <c r="B140" s="18">
        <f t="shared" ref="B140:B143" si="167">B139+1</f>
        <v>85</v>
      </c>
      <c r="D140" s="35" t="s">
        <v>123</v>
      </c>
      <c r="F140" s="48">
        <f ca="1">Function!V140</f>
        <v>0</v>
      </c>
      <c r="H140" s="76"/>
      <c r="K140" s="70">
        <f>_xlfn.IFNA(MATCH(J140,'Dist Factors'!$B$15:$B$431,0),0)</f>
        <v>0</v>
      </c>
      <c r="L140" s="48">
        <f t="shared" ca="1" si="165"/>
        <v>0</v>
      </c>
      <c r="N140" s="18" t="s">
        <v>296</v>
      </c>
      <c r="O140" s="70">
        <f>_xlfn.IFNA(MATCH(N140,'Dist Factors'!$B$15:$B$431,0),0)</f>
        <v>5</v>
      </c>
      <c r="P140" s="20">
        <f ca="1">OFFSET('Dist Factors'!$B$15,$O140-1,P$14)*$L140+OFFSET('Dist Factors'!$B$15,$K140-1,P$14)*$H140</f>
        <v>0</v>
      </c>
      <c r="R140" s="20">
        <f ca="1">OFFSET('Dist Factors'!$B$15,$O140-1,R$14)*$L140+OFFSET('Dist Factors'!$B$15,$K140-1,R$14)*$H140</f>
        <v>0</v>
      </c>
      <c r="S140" s="20"/>
      <c r="T140" s="20">
        <f ca="1">OFFSET('Dist Factors'!$B$15,$O140-1,T$14)*$L140+OFFSET('Dist Factors'!$B$15,$K140-1,T$14)*$H140</f>
        <v>0</v>
      </c>
      <c r="U140" s="20"/>
      <c r="V140" s="20">
        <f ca="1">OFFSET('Dist Factors'!$B$15,$O140-1,V$14)*$L140+OFFSET('Dist Factors'!$B$15,$K140-1,V$14)*$H140</f>
        <v>0</v>
      </c>
      <c r="W140" s="9"/>
      <c r="X140" s="20">
        <f ca="1">OFFSET('Dist Factors'!$B$15,$O140-1,X$14)*$L140+OFFSET('Dist Factors'!$B$15,$K140-1,X$14)*$H140</f>
        <v>0</v>
      </c>
      <c r="Y140" s="9"/>
      <c r="Z140" s="20">
        <f ca="1">OFFSET('Dist Factors'!$B$15,$O140-1,Z$14)*$L140+OFFSET('Dist Factors'!$B$15,$K140-1,Z$14)*$H140</f>
        <v>0</v>
      </c>
      <c r="AA140" s="20"/>
      <c r="AB140" s="20">
        <f ca="1">OFFSET('Dist Factors'!$B$15,$O140-1,AB$14)*$L140+OFFSET('Dist Factors'!$B$15,$K140-1,AB$14)*$H140</f>
        <v>0</v>
      </c>
      <c r="AC140" s="9"/>
      <c r="AD140" s="20">
        <f ca="1">OFFSET('Dist Factors'!$B$15,$O140-1,AD$14)*$L140+OFFSET('Dist Factors'!$B$15,$K140-1,AD$14)*$H140</f>
        <v>0</v>
      </c>
      <c r="AE140" s="9"/>
      <c r="AF140" s="20">
        <f ca="1">OFFSET('Dist Factors'!$B$15,$O140-1,AF$14)*$L140+OFFSET('Dist Factors'!$B$15,$K140-1,AF$14)*$H140</f>
        <v>0</v>
      </c>
      <c r="AG140" s="9"/>
      <c r="AH140" s="20">
        <f ca="1">OFFSET('Dist Factors'!$B$15,$O140-1,AH$14)*$L140+OFFSET('Dist Factors'!$B$15,$K140-1,AH$14)*$H140</f>
        <v>0</v>
      </c>
      <c r="AI140" s="9"/>
      <c r="AJ140" s="9">
        <f t="shared" ca="1" si="156"/>
        <v>0</v>
      </c>
      <c r="AL140" s="25" t="str">
        <f t="shared" ca="1" si="158"/>
        <v/>
      </c>
      <c r="AM140" s="49"/>
      <c r="AO140" s="89">
        <f ca="1">Function!AL140</f>
        <v>0</v>
      </c>
      <c r="AP140" s="96">
        <f t="shared" ca="1" si="166"/>
        <v>0</v>
      </c>
      <c r="AR140" s="48">
        <f t="shared" ca="1" si="144"/>
        <v>0</v>
      </c>
      <c r="AT140" s="48">
        <f t="shared" ca="1" si="145"/>
        <v>0</v>
      </c>
      <c r="AV140" s="48">
        <f t="shared" ca="1" si="146"/>
        <v>0</v>
      </c>
      <c r="AX140" s="48">
        <f t="shared" ca="1" si="147"/>
        <v>0</v>
      </c>
      <c r="AZ140" s="48">
        <f t="shared" ca="1" si="148"/>
        <v>0</v>
      </c>
      <c r="BB140" s="48">
        <f t="shared" ca="1" si="149"/>
        <v>0</v>
      </c>
      <c r="BD140" s="48">
        <f t="shared" ca="1" si="150"/>
        <v>0</v>
      </c>
      <c r="BF140" s="48">
        <f t="shared" ca="1" si="151"/>
        <v>0</v>
      </c>
      <c r="BH140" s="48">
        <f t="shared" ca="1" si="152"/>
        <v>0</v>
      </c>
      <c r="BJ140" s="48">
        <f t="shared" ca="1" si="153"/>
        <v>0</v>
      </c>
      <c r="BL140" s="48">
        <f t="shared" ca="1" si="155"/>
        <v>0</v>
      </c>
    </row>
    <row r="141" spans="2:64" ht="13" x14ac:dyDescent="0.3">
      <c r="B141" s="18">
        <f t="shared" si="167"/>
        <v>86</v>
      </c>
      <c r="D141" s="35" t="s">
        <v>124</v>
      </c>
      <c r="F141" s="48">
        <f ca="1">Function!V141</f>
        <v>59329.65715247715</v>
      </c>
      <c r="H141" s="76"/>
      <c r="K141" s="70">
        <f>_xlfn.IFNA(MATCH(J141,'Dist Factors'!$B$15:$B$431,0),0)</f>
        <v>0</v>
      </c>
      <c r="L141" s="48">
        <f t="shared" ca="1" si="165"/>
        <v>59329.65715247715</v>
      </c>
      <c r="N141" s="18" t="s">
        <v>306</v>
      </c>
      <c r="O141" s="70">
        <f>_xlfn.IFNA(MATCH(N141,'Dist Factors'!$B$15:$B$431,0),0)</f>
        <v>56</v>
      </c>
      <c r="P141" s="20">
        <f ca="1">OFFSET('Dist Factors'!$B$15,$O141-1,P$14)*$L141+OFFSET('Dist Factors'!$B$15,$K141-1,P$14)*$H141</f>
        <v>9368.445668548602</v>
      </c>
      <c r="R141" s="20">
        <f ca="1">OFFSET('Dist Factors'!$B$15,$O141-1,R$14)*$L141+OFFSET('Dist Factors'!$B$15,$K141-1,R$14)*$H141</f>
        <v>1791.8516422742016</v>
      </c>
      <c r="S141" s="20"/>
      <c r="T141" s="20">
        <f ca="1">OFFSET('Dist Factors'!$B$15,$O141-1,T$14)*$L141+OFFSET('Dist Factors'!$B$15,$K141-1,T$14)*$H141</f>
        <v>10906.346415338499</v>
      </c>
      <c r="U141" s="20"/>
      <c r="V141" s="20">
        <f ca="1">OFFSET('Dist Factors'!$B$15,$O141-1,V$14)*$L141+OFFSET('Dist Factors'!$B$15,$K141-1,V$14)*$H141</f>
        <v>0</v>
      </c>
      <c r="W141" s="9"/>
      <c r="X141" s="20">
        <f ca="1">OFFSET('Dist Factors'!$B$15,$O141-1,X$14)*$L141+OFFSET('Dist Factors'!$B$15,$K141-1,X$14)*$H141</f>
        <v>14050.555630968538</v>
      </c>
      <c r="Y141" s="9"/>
      <c r="Z141" s="20">
        <f ca="1">OFFSET('Dist Factors'!$B$15,$O141-1,Z$14)*$L141+OFFSET('Dist Factors'!$B$15,$K141-1,Z$14)*$H141</f>
        <v>23212.457795347313</v>
      </c>
      <c r="AA141" s="20"/>
      <c r="AB141" s="20">
        <f ca="1">OFFSET('Dist Factors'!$B$15,$O141-1,AB$14)*$L141+OFFSET('Dist Factors'!$B$15,$K141-1,AB$14)*$H141</f>
        <v>0</v>
      </c>
      <c r="AC141" s="9"/>
      <c r="AD141" s="20">
        <f ca="1">OFFSET('Dist Factors'!$B$15,$O141-1,AD$14)*$L141+OFFSET('Dist Factors'!$B$15,$K141-1,AD$14)*$H141</f>
        <v>0</v>
      </c>
      <c r="AE141" s="9"/>
      <c r="AF141" s="20">
        <f ca="1">OFFSET('Dist Factors'!$B$15,$O141-1,AF$14)*$L141+OFFSET('Dist Factors'!$B$15,$K141-1,AF$14)*$H141</f>
        <v>0</v>
      </c>
      <c r="AG141" s="9"/>
      <c r="AH141" s="20">
        <f ca="1">OFFSET('Dist Factors'!$B$15,$O141-1,AH$14)*$L141+OFFSET('Dist Factors'!$B$15,$K141-1,AH$14)*$H141</f>
        <v>0</v>
      </c>
      <c r="AI141" s="9"/>
      <c r="AJ141" s="9">
        <f t="shared" ca="1" si="156"/>
        <v>59329.65715247715</v>
      </c>
      <c r="AL141" s="25" t="str">
        <f t="shared" ca="1" si="158"/>
        <v/>
      </c>
      <c r="AM141" s="49"/>
      <c r="AO141" s="89">
        <f ca="1">Function!AL141</f>
        <v>20405.421374016114</v>
      </c>
      <c r="AP141" s="96">
        <f t="shared" ca="1" si="166"/>
        <v>0.34393290562212764</v>
      </c>
      <c r="AR141" s="48">
        <f t="shared" ca="1" si="144"/>
        <v>3222.1167399469568</v>
      </c>
      <c r="AT141" s="48">
        <f t="shared" ca="1" si="145"/>
        <v>616.27674177114739</v>
      </c>
      <c r="AV141" s="48">
        <f t="shared" ca="1" si="146"/>
        <v>3751.051412348846</v>
      </c>
      <c r="AX141" s="48">
        <f t="shared" ca="1" si="147"/>
        <v>0</v>
      </c>
      <c r="AZ141" s="48">
        <f t="shared" ca="1" si="148"/>
        <v>4832.4484237643564</v>
      </c>
      <c r="BB141" s="48">
        <f t="shared" ca="1" si="149"/>
        <v>7983.5280561848085</v>
      </c>
      <c r="BD141" s="48">
        <f t="shared" ca="1" si="150"/>
        <v>0</v>
      </c>
      <c r="BF141" s="48">
        <f t="shared" ca="1" si="151"/>
        <v>0</v>
      </c>
      <c r="BH141" s="48">
        <f t="shared" ca="1" si="152"/>
        <v>0</v>
      </c>
      <c r="BJ141" s="48">
        <f t="shared" ca="1" si="153"/>
        <v>0</v>
      </c>
      <c r="BL141" s="48">
        <f t="shared" ca="1" si="155"/>
        <v>20405.421374016114</v>
      </c>
    </row>
    <row r="142" spans="2:64" ht="13" x14ac:dyDescent="0.3">
      <c r="B142" s="18">
        <f t="shared" si="167"/>
        <v>87</v>
      </c>
      <c r="D142" s="35" t="s">
        <v>39</v>
      </c>
      <c r="F142" s="48">
        <f ca="1">Function!V142</f>
        <v>8901.2312001131213</v>
      </c>
      <c r="H142" s="76">
        <v>743.14971575767004</v>
      </c>
      <c r="J142" s="2" t="s">
        <v>294</v>
      </c>
      <c r="K142" s="70">
        <f>_xlfn.IFNA(MATCH(J142,'Dist Factors'!$B$15:$B$431,0),0)</f>
        <v>14</v>
      </c>
      <c r="L142" s="48">
        <f t="shared" ca="1" si="165"/>
        <v>8158.0814843554508</v>
      </c>
      <c r="N142" s="18" t="s">
        <v>292</v>
      </c>
      <c r="O142" s="70">
        <f>_xlfn.IFNA(MATCH(N142,'Dist Factors'!$B$15:$B$431,0),0)</f>
        <v>53</v>
      </c>
      <c r="P142" s="20">
        <f ca="1">OFFSET('Dist Factors'!$B$15,$O142-1,P$14)*$L142+OFFSET('Dist Factors'!$B$15,$K142-1,P$14)*$H142</f>
        <v>3463.5327462674286</v>
      </c>
      <c r="R142" s="20">
        <f ca="1">OFFSET('Dist Factors'!$B$15,$O142-1,R$14)*$L142+OFFSET('Dist Factors'!$B$15,$K142-1,R$14)*$H142</f>
        <v>662.45106808963828</v>
      </c>
      <c r="S142" s="20"/>
      <c r="T142" s="20">
        <f ca="1">OFFSET('Dist Factors'!$B$15,$O142-1,T$14)*$L142+OFFSET('Dist Factors'!$B$15,$K142-1,T$14)*$H142</f>
        <v>4032.0976699983848</v>
      </c>
      <c r="U142" s="20"/>
      <c r="V142" s="20">
        <f ca="1">OFFSET('Dist Factors'!$B$15,$O142-1,V$14)*$L142+OFFSET('Dist Factors'!$B$15,$K142-1,V$14)*$H142</f>
        <v>0</v>
      </c>
      <c r="W142" s="9"/>
      <c r="X142" s="20">
        <f ca="1">OFFSET('Dist Factors'!$B$15,$O142-1,X$14)*$L142+OFFSET('Dist Factors'!$B$15,$K142-1,X$14)*$H142</f>
        <v>0</v>
      </c>
      <c r="Y142" s="9"/>
      <c r="Z142" s="20">
        <f ca="1">OFFSET('Dist Factors'!$B$15,$O142-1,Z$14)*$L142+OFFSET('Dist Factors'!$B$15,$K142-1,Z$14)*$H142</f>
        <v>0</v>
      </c>
      <c r="AA142" s="20"/>
      <c r="AB142" s="20">
        <f ca="1">OFFSET('Dist Factors'!$B$15,$O142-1,AB$14)*$L142+OFFSET('Dist Factors'!$B$15,$K142-1,AB$14)*$H142</f>
        <v>0</v>
      </c>
      <c r="AC142" s="9"/>
      <c r="AD142" s="20">
        <f ca="1">OFFSET('Dist Factors'!$B$15,$O142-1,AD$14)*$L142+OFFSET('Dist Factors'!$B$15,$K142-1,AD$14)*$H142</f>
        <v>743.14971575767004</v>
      </c>
      <c r="AE142" s="9"/>
      <c r="AF142" s="20">
        <f ca="1">OFFSET('Dist Factors'!$B$15,$O142-1,AF$14)*$L142+OFFSET('Dist Factors'!$B$15,$K142-1,AF$14)*$H142</f>
        <v>0</v>
      </c>
      <c r="AG142" s="9"/>
      <c r="AH142" s="20">
        <f ca="1">OFFSET('Dist Factors'!$B$15,$O142-1,AH$14)*$L142+OFFSET('Dist Factors'!$B$15,$K142-1,AH$14)*$H142</f>
        <v>0</v>
      </c>
      <c r="AI142" s="9"/>
      <c r="AJ142" s="9">
        <f t="shared" ca="1" si="156"/>
        <v>8901.2312001131213</v>
      </c>
      <c r="AL142" s="25" t="str">
        <f t="shared" ca="1" si="158"/>
        <v/>
      </c>
      <c r="AM142" s="49"/>
      <c r="AO142" s="89">
        <f ca="1">Function!AL142</f>
        <v>4222.653922803057</v>
      </c>
      <c r="AP142" s="96">
        <f t="shared" ca="1" si="166"/>
        <v>0.47438987122920628</v>
      </c>
      <c r="AR142" s="48">
        <f t="shared" ca="1" si="144"/>
        <v>1643.0648534999445</v>
      </c>
      <c r="AT142" s="48">
        <f t="shared" ca="1" si="145"/>
        <v>314.2600768866937</v>
      </c>
      <c r="AV142" s="48">
        <f t="shared" ca="1" si="146"/>
        <v>1912.7862944541164</v>
      </c>
      <c r="AX142" s="48">
        <f t="shared" ca="1" si="147"/>
        <v>0</v>
      </c>
      <c r="AZ142" s="48">
        <f t="shared" ca="1" si="148"/>
        <v>0</v>
      </c>
      <c r="BB142" s="48">
        <f t="shared" ca="1" si="149"/>
        <v>0</v>
      </c>
      <c r="BD142" s="48">
        <f t="shared" ca="1" si="150"/>
        <v>0</v>
      </c>
      <c r="BF142" s="48">
        <f t="shared" ca="1" si="151"/>
        <v>352.54269796230233</v>
      </c>
      <c r="BH142" s="48">
        <f t="shared" ca="1" si="152"/>
        <v>0</v>
      </c>
      <c r="BJ142" s="48">
        <f t="shared" ca="1" si="153"/>
        <v>0</v>
      </c>
      <c r="BL142" s="48">
        <f t="shared" ca="1" si="155"/>
        <v>4222.653922803057</v>
      </c>
    </row>
    <row r="143" spans="2:64" ht="13" x14ac:dyDescent="0.3">
      <c r="B143" s="18">
        <f t="shared" si="167"/>
        <v>88</v>
      </c>
      <c r="D143" s="35" t="s">
        <v>125</v>
      </c>
      <c r="F143" s="48">
        <f ca="1">Function!V143</f>
        <v>352.78073788360939</v>
      </c>
      <c r="H143" s="76"/>
      <c r="K143" s="70">
        <f>_xlfn.IFNA(MATCH(J143,'Dist Factors'!$B$15:$B$431,0),0)</f>
        <v>0</v>
      </c>
      <c r="L143" s="48">
        <f t="shared" ca="1" si="165"/>
        <v>352.78073788360939</v>
      </c>
      <c r="N143" s="2" t="s">
        <v>306</v>
      </c>
      <c r="O143" s="70">
        <f>_xlfn.IFNA(MATCH(N143,'Dist Factors'!$B$15:$B$431,0),0)</f>
        <v>56</v>
      </c>
      <c r="P143" s="20">
        <f ca="1">OFFSET('Dist Factors'!$B$15,$O143-1,P$14)*$L143+OFFSET('Dist Factors'!$B$15,$K143-1,P$14)*$H143</f>
        <v>55.705819557986246</v>
      </c>
      <c r="R143" s="20">
        <f ca="1">OFFSET('Dist Factors'!$B$15,$O143-1,R$14)*$L143+OFFSET('Dist Factors'!$B$15,$K143-1,R$14)*$H143</f>
        <v>10.654549088575969</v>
      </c>
      <c r="S143" s="20"/>
      <c r="T143" s="20">
        <f ca="1">OFFSET('Dist Factors'!$B$15,$O143-1,T$14)*$L143+OFFSET('Dist Factors'!$B$15,$K143-1,T$14)*$H143</f>
        <v>64.850348386965692</v>
      </c>
      <c r="U143" s="20"/>
      <c r="V143" s="20">
        <f ca="1">OFFSET('Dist Factors'!$B$15,$O143-1,V$14)*$L143+OFFSET('Dist Factors'!$B$15,$K143-1,V$14)*$H143</f>
        <v>0</v>
      </c>
      <c r="W143" s="9"/>
      <c r="X143" s="20">
        <f ca="1">OFFSET('Dist Factors'!$B$15,$O143-1,X$14)*$L143+OFFSET('Dist Factors'!$B$15,$K143-1,X$14)*$H143</f>
        <v>83.546165966017668</v>
      </c>
      <c r="Y143" s="9"/>
      <c r="Z143" s="20">
        <f ca="1">OFFSET('Dist Factors'!$B$15,$O143-1,Z$14)*$L143+OFFSET('Dist Factors'!$B$15,$K143-1,Z$14)*$H143</f>
        <v>138.02385488406384</v>
      </c>
      <c r="AA143" s="20"/>
      <c r="AB143" s="20">
        <f ca="1">OFFSET('Dist Factors'!$B$15,$O143-1,AB$14)*$L143+OFFSET('Dist Factors'!$B$15,$K143-1,AB$14)*$H143</f>
        <v>0</v>
      </c>
      <c r="AC143" s="9"/>
      <c r="AD143" s="20">
        <f ca="1">OFFSET('Dist Factors'!$B$15,$O143-1,AD$14)*$L143+OFFSET('Dist Factors'!$B$15,$K143-1,AD$14)*$H143</f>
        <v>0</v>
      </c>
      <c r="AE143" s="9"/>
      <c r="AF143" s="20">
        <f ca="1">OFFSET('Dist Factors'!$B$15,$O143-1,AF$14)*$L143+OFFSET('Dist Factors'!$B$15,$K143-1,AF$14)*$H143</f>
        <v>0</v>
      </c>
      <c r="AG143" s="9"/>
      <c r="AH143" s="20">
        <f ca="1">OFFSET('Dist Factors'!$B$15,$O143-1,AH$14)*$L143+OFFSET('Dist Factors'!$B$15,$K143-1,AH$14)*$H143</f>
        <v>0</v>
      </c>
      <c r="AI143" s="9"/>
      <c r="AJ143" s="9">
        <f t="shared" ca="1" si="156"/>
        <v>352.78073788360939</v>
      </c>
      <c r="AL143" s="25" t="str">
        <f t="shared" ca="1" si="158"/>
        <v/>
      </c>
      <c r="AM143" s="49"/>
      <c r="AO143" s="89">
        <f ca="1">Function!AL143</f>
        <v>165.61362128320948</v>
      </c>
      <c r="AP143" s="96">
        <f t="shared" ca="1" si="166"/>
        <v>0.46945199524427916</v>
      </c>
      <c r="AR143" s="48">
        <f t="shared" ca="1" si="144"/>
        <v>26.151208138214432</v>
      </c>
      <c r="AT143" s="48">
        <f t="shared" ca="1" si="145"/>
        <v>5.0017993280601045</v>
      </c>
      <c r="AV143" s="48">
        <f t="shared" ca="1" si="146"/>
        <v>30.444125442547666</v>
      </c>
      <c r="AX143" s="48">
        <f t="shared" ca="1" si="147"/>
        <v>0</v>
      </c>
      <c r="AZ143" s="48">
        <f t="shared" ca="1" si="148"/>
        <v>39.220914307756686</v>
      </c>
      <c r="BB143" s="48">
        <f t="shared" ca="1" si="149"/>
        <v>64.795574066630607</v>
      </c>
      <c r="BD143" s="48">
        <f t="shared" ca="1" si="150"/>
        <v>0</v>
      </c>
      <c r="BF143" s="48">
        <f t="shared" ca="1" si="151"/>
        <v>0</v>
      </c>
      <c r="BH143" s="48">
        <f t="shared" ca="1" si="152"/>
        <v>0</v>
      </c>
      <c r="BJ143" s="48">
        <f t="shared" ca="1" si="153"/>
        <v>0</v>
      </c>
      <c r="BL143" s="48">
        <f t="shared" ca="1" si="155"/>
        <v>165.61362128320951</v>
      </c>
    </row>
    <row r="144" spans="2:64" ht="13" x14ac:dyDescent="0.3">
      <c r="D144" s="1" t="s">
        <v>126</v>
      </c>
      <c r="F144" s="48"/>
      <c r="K144" s="70"/>
      <c r="O144" s="70"/>
      <c r="P144" s="20"/>
      <c r="R144" s="20"/>
      <c r="S144" s="20"/>
      <c r="T144" s="20"/>
      <c r="U144" s="20"/>
      <c r="V144" s="20"/>
      <c r="W144" s="9"/>
      <c r="X144" s="20"/>
      <c r="Y144" s="9"/>
      <c r="Z144" s="20"/>
      <c r="AA144" s="20"/>
      <c r="AB144" s="20"/>
      <c r="AC144" s="9"/>
      <c r="AD144" s="20"/>
      <c r="AE144" s="9"/>
      <c r="AF144" s="20"/>
      <c r="AG144" s="9"/>
      <c r="AH144" s="20"/>
      <c r="AJ144" s="9"/>
      <c r="AL144" s="25" t="str">
        <f t="shared" si="158"/>
        <v/>
      </c>
      <c r="AM144" s="49"/>
      <c r="AR144" s="48">
        <f t="shared" si="144"/>
        <v>0</v>
      </c>
      <c r="AT144" s="48">
        <f t="shared" si="145"/>
        <v>0</v>
      </c>
      <c r="AV144" s="48">
        <f t="shared" si="146"/>
        <v>0</v>
      </c>
      <c r="AX144" s="48">
        <f t="shared" si="147"/>
        <v>0</v>
      </c>
      <c r="AZ144" s="48">
        <f t="shared" si="148"/>
        <v>0</v>
      </c>
      <c r="BB144" s="48">
        <f t="shared" si="149"/>
        <v>0</v>
      </c>
      <c r="BD144" s="48">
        <f t="shared" si="150"/>
        <v>0</v>
      </c>
      <c r="BF144" s="48">
        <f t="shared" si="151"/>
        <v>0</v>
      </c>
      <c r="BH144" s="48">
        <f t="shared" si="152"/>
        <v>0</v>
      </c>
      <c r="BJ144" s="48">
        <f t="shared" si="153"/>
        <v>0</v>
      </c>
      <c r="BL144" s="48">
        <f t="shared" si="155"/>
        <v>0</v>
      </c>
    </row>
    <row r="145" spans="2:64" ht="13" x14ac:dyDescent="0.3">
      <c r="B145" s="18">
        <f>B143+1</f>
        <v>89</v>
      </c>
      <c r="D145" s="35" t="s">
        <v>127</v>
      </c>
      <c r="F145" s="48">
        <f ca="1">Function!V145</f>
        <v>169987.47758188492</v>
      </c>
      <c r="H145" s="76">
        <f>'Function Factors'!L22</f>
        <v>394.23107506524224</v>
      </c>
      <c r="J145" s="2" t="s">
        <v>307</v>
      </c>
      <c r="K145" s="70">
        <f>_xlfn.IFNA(MATCH(J145,'Dist Factors'!$B$15:$B$431,0),0)</f>
        <v>11</v>
      </c>
      <c r="L145" s="48">
        <f t="shared" ref="L145" ca="1" si="168">F145-H145</f>
        <v>169593.24650681968</v>
      </c>
      <c r="N145" s="18" t="s">
        <v>299</v>
      </c>
      <c r="O145" s="70">
        <f>_xlfn.IFNA(MATCH(N145,'Dist Factors'!$B$15:$B$431,0),0)</f>
        <v>38</v>
      </c>
      <c r="P145" s="20">
        <f ca="1">OFFSET('Dist Factors'!$B$15,$O145-1,P$14)*$L145+OFFSET('Dist Factors'!$B$15,$K145-1,P$14)*$H145</f>
        <v>27336.367850934683</v>
      </c>
      <c r="R145" s="20">
        <f ca="1">OFFSET('Dist Factors'!$B$15,$O145-1,R$14)*$L145+OFFSET('Dist Factors'!$B$15,$K145-1,R$14)*$H145</f>
        <v>5228.4783794981013</v>
      </c>
      <c r="S145" s="20"/>
      <c r="T145" s="20">
        <f ca="1">OFFSET('Dist Factors'!$B$15,$O145-1,T$14)*$L145+OFFSET('Dist Factors'!$B$15,$K145-1,T$14)*$H145</f>
        <v>31823.838026869314</v>
      </c>
      <c r="U145" s="20"/>
      <c r="V145" s="20">
        <f ca="1">OFFSET('Dist Factors'!$B$15,$O145-1,V$14)*$L145+OFFSET('Dist Factors'!$B$15,$K145-1,V$14)*$H145</f>
        <v>0</v>
      </c>
      <c r="W145" s="9"/>
      <c r="X145" s="20">
        <f ca="1">OFFSET('Dist Factors'!$B$15,$O145-1,X$14)*$L145+OFFSET('Dist Factors'!$B$15,$K145-1,X$14)*$H145</f>
        <v>34327.930817281733</v>
      </c>
      <c r="Y145" s="9"/>
      <c r="Z145" s="20">
        <f ca="1">OFFSET('Dist Factors'!$B$15,$O145-1,Z$14)*$L145+OFFSET('Dist Factors'!$B$15,$K145-1,Z$14)*$H145</f>
        <v>51517.656163927757</v>
      </c>
      <c r="AA145" s="20"/>
      <c r="AB145" s="20">
        <f ca="1">OFFSET('Dist Factors'!$B$15,$O145-1,AB$14)*$L145+OFFSET('Dist Factors'!$B$15,$K145-1,AB$14)*$H145</f>
        <v>15170.781156644638</v>
      </c>
      <c r="AC145" s="9"/>
      <c r="AD145" s="20">
        <f ca="1">OFFSET('Dist Factors'!$B$15,$O145-1,AD$14)*$L145+OFFSET('Dist Factors'!$B$15,$K145-1,AD$14)*$H145</f>
        <v>4188.1941116634362</v>
      </c>
      <c r="AE145" s="9"/>
      <c r="AF145" s="20">
        <f ca="1">OFFSET('Dist Factors'!$B$15,$O145-1,AF$14)*$L145+OFFSET('Dist Factors'!$B$15,$K145-1,AF$14)*$H145</f>
        <v>394.23107506524224</v>
      </c>
      <c r="AG145" s="9"/>
      <c r="AH145" s="20">
        <f ca="1">OFFSET('Dist Factors'!$B$15,$O145-1,AH$14)*$L145+OFFSET('Dist Factors'!$B$15,$K145-1,AH$14)*$H145</f>
        <v>0</v>
      </c>
      <c r="AI145" s="9"/>
      <c r="AJ145" s="9">
        <f t="shared" ca="1" si="156"/>
        <v>169987.47758188489</v>
      </c>
      <c r="AL145" s="25" t="str">
        <f t="shared" ca="1" si="158"/>
        <v/>
      </c>
      <c r="AM145" s="49"/>
      <c r="AO145" s="89">
        <f ca="1">Function!AL145</f>
        <v>71166.732872573702</v>
      </c>
      <c r="AP145" s="96">
        <f ca="1">IFERROR(AO145/L145,0)</f>
        <v>0.41963188003309998</v>
      </c>
      <c r="AR145" s="48">
        <f t="shared" ca="1" si="144"/>
        <v>11471.211434564115</v>
      </c>
      <c r="AT145" s="48">
        <f t="shared" ca="1" si="145"/>
        <v>2194.036212101204</v>
      </c>
      <c r="AV145" s="48">
        <f t="shared" ca="1" si="146"/>
        <v>13354.29698108403</v>
      </c>
      <c r="AX145" s="48">
        <f t="shared" ca="1" si="147"/>
        <v>0</v>
      </c>
      <c r="AZ145" s="48">
        <f t="shared" ca="1" si="148"/>
        <v>14405.094146502124</v>
      </c>
      <c r="BB145" s="48">
        <f t="shared" ca="1" si="149"/>
        <v>21618.450910967826</v>
      </c>
      <c r="BD145" s="48">
        <f t="shared" ca="1" si="150"/>
        <v>6366.1434183335168</v>
      </c>
      <c r="BF145" s="48">
        <f t="shared" ca="1" si="151"/>
        <v>1757.4997690208868</v>
      </c>
      <c r="BH145" s="48">
        <f ca="1">$AP145*(AF145-H145)</f>
        <v>0</v>
      </c>
      <c r="BJ145" s="48">
        <f t="shared" ca="1" si="153"/>
        <v>0</v>
      </c>
      <c r="BL145" s="48">
        <f t="shared" ca="1" si="155"/>
        <v>71166.732872573702</v>
      </c>
    </row>
    <row r="146" spans="2:64" ht="13" x14ac:dyDescent="0.3">
      <c r="D146" s="1" t="s">
        <v>130</v>
      </c>
      <c r="AD146" s="9"/>
      <c r="AE146" s="9"/>
      <c r="AF146" s="9"/>
      <c r="AG146" s="9"/>
      <c r="AH146" s="9"/>
      <c r="AJ146" s="9">
        <f t="shared" si="156"/>
        <v>0</v>
      </c>
      <c r="AL146" s="25" t="str">
        <f t="shared" si="158"/>
        <v/>
      </c>
      <c r="AM146" s="49"/>
      <c r="AR146" s="48">
        <f t="shared" si="144"/>
        <v>0</v>
      </c>
      <c r="AT146" s="48">
        <f t="shared" si="145"/>
        <v>0</v>
      </c>
      <c r="AV146" s="48">
        <f t="shared" si="146"/>
        <v>0</v>
      </c>
      <c r="AX146" s="48">
        <f t="shared" si="147"/>
        <v>0</v>
      </c>
      <c r="AZ146" s="48">
        <f t="shared" si="148"/>
        <v>0</v>
      </c>
      <c r="BB146" s="48">
        <f t="shared" si="149"/>
        <v>0</v>
      </c>
      <c r="BD146" s="48">
        <f t="shared" si="150"/>
        <v>0</v>
      </c>
      <c r="BF146" s="48">
        <f t="shared" si="151"/>
        <v>0</v>
      </c>
      <c r="BH146" s="48">
        <f t="shared" si="152"/>
        <v>0</v>
      </c>
      <c r="BJ146" s="48">
        <f t="shared" si="153"/>
        <v>0</v>
      </c>
      <c r="BL146" s="48">
        <f t="shared" si="155"/>
        <v>0</v>
      </c>
    </row>
    <row r="147" spans="2:64" ht="13" x14ac:dyDescent="0.3">
      <c r="B147" s="18">
        <f>B145+1</f>
        <v>90</v>
      </c>
      <c r="D147" s="35" t="s">
        <v>131</v>
      </c>
      <c r="F147" s="48">
        <f ca="1">Function!V147</f>
        <v>10182.521136802581</v>
      </c>
      <c r="H147" s="76"/>
      <c r="K147" s="70">
        <f>_xlfn.IFNA(MATCH(J147,'Dist Factors'!$B$15:$B$431,0),0)</f>
        <v>0</v>
      </c>
      <c r="L147" s="48">
        <f t="shared" ref="L147:L149" ca="1" si="169">F147-H147</f>
        <v>10182.521136802581</v>
      </c>
      <c r="N147" s="18" t="s">
        <v>307</v>
      </c>
      <c r="O147" s="70">
        <f>_xlfn.IFNA(MATCH(N147,'Dist Factors'!$B$15:$B$431,0),0)</f>
        <v>11</v>
      </c>
      <c r="P147" s="20">
        <f ca="1">OFFSET('Dist Factors'!$B$15,$O147-1,P$14)*$L147+OFFSET('Dist Factors'!$B$15,$K147-1,P$14)*$H147</f>
        <v>0</v>
      </c>
      <c r="R147" s="20">
        <f ca="1">OFFSET('Dist Factors'!$B$15,$O147-1,R$14)*$L147+OFFSET('Dist Factors'!$B$15,$K147-1,R$14)*$H147</f>
        <v>0</v>
      </c>
      <c r="S147" s="20"/>
      <c r="T147" s="20">
        <f ca="1">OFFSET('Dist Factors'!$B$15,$O147-1,T$14)*$L147+OFFSET('Dist Factors'!$B$15,$K147-1,T$14)*$H147</f>
        <v>0</v>
      </c>
      <c r="U147" s="20"/>
      <c r="V147" s="20">
        <f ca="1">OFFSET('Dist Factors'!$B$15,$O147-1,V$14)*$L147+OFFSET('Dist Factors'!$B$15,$K147-1,V$14)*$H147</f>
        <v>0</v>
      </c>
      <c r="W147" s="9"/>
      <c r="X147" s="20">
        <f ca="1">OFFSET('Dist Factors'!$B$15,$O147-1,X$14)*$L147+OFFSET('Dist Factors'!$B$15,$K147-1,X$14)*$H147</f>
        <v>0</v>
      </c>
      <c r="Y147" s="9"/>
      <c r="Z147" s="20">
        <f ca="1">OFFSET('Dist Factors'!$B$15,$O147-1,Z$14)*$L147+OFFSET('Dist Factors'!$B$15,$K147-1,Z$14)*$H147</f>
        <v>0</v>
      </c>
      <c r="AA147" s="20"/>
      <c r="AB147" s="20">
        <f ca="1">OFFSET('Dist Factors'!$B$15,$O147-1,AB$14)*$L147+OFFSET('Dist Factors'!$B$15,$K147-1,AB$14)*$H147</f>
        <v>0</v>
      </c>
      <c r="AC147" s="9"/>
      <c r="AD147" s="20">
        <f ca="1">OFFSET('Dist Factors'!$B$15,$O147-1,AD$14)*$L147+OFFSET('Dist Factors'!$B$15,$K147-1,AD$14)*$H147</f>
        <v>0</v>
      </c>
      <c r="AE147" s="9"/>
      <c r="AF147" s="20">
        <f ca="1">OFFSET('Dist Factors'!$B$15,$O147-1,AF$14)*$L147+OFFSET('Dist Factors'!$B$15,$K147-1,AF$14)*$H147</f>
        <v>10182.521136802581</v>
      </c>
      <c r="AG147" s="9"/>
      <c r="AH147" s="20">
        <f ca="1">OFFSET('Dist Factors'!$B$15,$O147-1,AH$14)*$L147+OFFSET('Dist Factors'!$B$15,$K147-1,AH$14)*$H147</f>
        <v>0</v>
      </c>
      <c r="AI147" s="9"/>
      <c r="AJ147" s="9">
        <f t="shared" ca="1" si="156"/>
        <v>10182.521136802581</v>
      </c>
      <c r="AL147" s="25" t="str">
        <f t="shared" ca="1" si="158"/>
        <v/>
      </c>
      <c r="AM147" s="49"/>
      <c r="AO147" s="89">
        <f ca="1">Function!AL147</f>
        <v>6545.1150972226396</v>
      </c>
      <c r="AP147" s="96">
        <f ca="1">IFERROR(AO147/F147,0)</f>
        <v>0.64277942655740705</v>
      </c>
      <c r="AR147" s="48">
        <f t="shared" ca="1" si="144"/>
        <v>0</v>
      </c>
      <c r="AT147" s="48">
        <f t="shared" ca="1" si="145"/>
        <v>0</v>
      </c>
      <c r="AV147" s="48">
        <f t="shared" ca="1" si="146"/>
        <v>0</v>
      </c>
      <c r="AX147" s="48">
        <f t="shared" ca="1" si="147"/>
        <v>0</v>
      </c>
      <c r="AZ147" s="48">
        <f t="shared" ca="1" si="148"/>
        <v>0</v>
      </c>
      <c r="BB147" s="48">
        <f t="shared" ca="1" si="149"/>
        <v>0</v>
      </c>
      <c r="BD147" s="48">
        <f t="shared" ca="1" si="150"/>
        <v>0</v>
      </c>
      <c r="BF147" s="48">
        <f t="shared" ca="1" si="151"/>
        <v>0</v>
      </c>
      <c r="BH147" s="48">
        <f t="shared" ca="1" si="152"/>
        <v>6545.1150972226396</v>
      </c>
      <c r="BJ147" s="48">
        <f t="shared" ca="1" si="153"/>
        <v>0</v>
      </c>
      <c r="BL147" s="48">
        <f t="shared" ca="1" si="155"/>
        <v>6545.1150972226396</v>
      </c>
    </row>
    <row r="148" spans="2:64" ht="13" x14ac:dyDescent="0.3">
      <c r="B148" s="18">
        <f>B147+1</f>
        <v>91</v>
      </c>
      <c r="D148" s="35" t="s">
        <v>132</v>
      </c>
      <c r="F148" s="48">
        <f ca="1">Function!V148</f>
        <v>150927.52203758305</v>
      </c>
      <c r="H148" s="76"/>
      <c r="K148" s="70">
        <f>_xlfn.IFNA(MATCH(J148,'Dist Factors'!$B$15:$B$431,0),0)</f>
        <v>0</v>
      </c>
      <c r="L148" s="48">
        <f t="shared" ca="1" si="169"/>
        <v>150927.52203758305</v>
      </c>
      <c r="N148" s="18" t="s">
        <v>308</v>
      </c>
      <c r="O148" s="70">
        <f>_xlfn.IFNA(MATCH(N148,'Dist Factors'!$B$15:$B$431,0),0)</f>
        <v>17</v>
      </c>
      <c r="P148" s="20">
        <f ca="1">OFFSET('Dist Factors'!$B$15,$O148-1,P$14)*$L148+OFFSET('Dist Factors'!$B$15,$K148-1,P$14)*$H148</f>
        <v>0</v>
      </c>
      <c r="R148" s="20">
        <f ca="1">OFFSET('Dist Factors'!$B$15,$O148-1,R$14)*$L148+OFFSET('Dist Factors'!$B$15,$K148-1,R$14)*$H148</f>
        <v>0</v>
      </c>
      <c r="S148" s="20"/>
      <c r="T148" s="20">
        <f ca="1">OFFSET('Dist Factors'!$B$15,$O148-1,T$14)*$L148+OFFSET('Dist Factors'!$B$15,$K148-1,T$14)*$H148</f>
        <v>0</v>
      </c>
      <c r="U148" s="20"/>
      <c r="V148" s="20">
        <f ca="1">OFFSET('Dist Factors'!$B$15,$O148-1,V$14)*$L148+OFFSET('Dist Factors'!$B$15,$K148-1,V$14)*$H148</f>
        <v>150927.52203758305</v>
      </c>
      <c r="W148" s="9"/>
      <c r="X148" s="20">
        <f ca="1">OFFSET('Dist Factors'!$B$15,$O148-1,X$14)*$L148+OFFSET('Dist Factors'!$B$15,$K148-1,X$14)*$H148</f>
        <v>0</v>
      </c>
      <c r="Y148" s="9"/>
      <c r="Z148" s="20">
        <f ca="1">OFFSET('Dist Factors'!$B$15,$O148-1,Z$14)*$L148+OFFSET('Dist Factors'!$B$15,$K148-1,Z$14)*$H148</f>
        <v>0</v>
      </c>
      <c r="AA148" s="20"/>
      <c r="AB148" s="20">
        <f ca="1">OFFSET('Dist Factors'!$B$15,$O148-1,AB$14)*$L148+OFFSET('Dist Factors'!$B$15,$K148-1,AB$14)*$H148</f>
        <v>0</v>
      </c>
      <c r="AC148" s="9"/>
      <c r="AD148" s="20">
        <f ca="1">OFFSET('Dist Factors'!$B$15,$O148-1,AD$14)*$L148+OFFSET('Dist Factors'!$B$15,$K148-1,AD$14)*$H148</f>
        <v>0</v>
      </c>
      <c r="AE148" s="9"/>
      <c r="AF148" s="20">
        <f ca="1">OFFSET('Dist Factors'!$B$15,$O148-1,AF$14)*$L148+OFFSET('Dist Factors'!$B$15,$K148-1,AF$14)*$H148</f>
        <v>0</v>
      </c>
      <c r="AG148" s="9"/>
      <c r="AH148" s="20">
        <f ca="1">OFFSET('Dist Factors'!$B$15,$O148-1,AH$14)*$L148+OFFSET('Dist Factors'!$B$15,$K148-1,AH$14)*$H148</f>
        <v>0</v>
      </c>
      <c r="AI148" s="9"/>
      <c r="AJ148" s="9">
        <f t="shared" ca="1" si="156"/>
        <v>150927.52203758305</v>
      </c>
      <c r="AL148" s="25" t="str">
        <f t="shared" ca="1" si="158"/>
        <v/>
      </c>
      <c r="AM148" s="49"/>
      <c r="AO148" s="89">
        <f ca="1">Function!AL148</f>
        <v>0</v>
      </c>
      <c r="AP148" s="96">
        <f ca="1">IFERROR(AO148/F148,0)</f>
        <v>0</v>
      </c>
      <c r="AR148" s="48">
        <f t="shared" ca="1" si="144"/>
        <v>0</v>
      </c>
      <c r="AT148" s="48">
        <f t="shared" ca="1" si="145"/>
        <v>0</v>
      </c>
      <c r="AV148" s="48">
        <f t="shared" ca="1" si="146"/>
        <v>0</v>
      </c>
      <c r="AX148" s="48">
        <f t="shared" ca="1" si="147"/>
        <v>0</v>
      </c>
      <c r="AZ148" s="48">
        <f t="shared" ca="1" si="148"/>
        <v>0</v>
      </c>
      <c r="BB148" s="48">
        <f t="shared" ca="1" si="149"/>
        <v>0</v>
      </c>
      <c r="BD148" s="48">
        <f t="shared" ca="1" si="150"/>
        <v>0</v>
      </c>
      <c r="BF148" s="48">
        <f t="shared" ca="1" si="151"/>
        <v>0</v>
      </c>
      <c r="BH148" s="48">
        <f t="shared" ca="1" si="152"/>
        <v>0</v>
      </c>
      <c r="BJ148" s="48">
        <f t="shared" ca="1" si="153"/>
        <v>0</v>
      </c>
      <c r="BL148" s="48">
        <f t="shared" ca="1" si="155"/>
        <v>0</v>
      </c>
    </row>
    <row r="149" spans="2:64" ht="13" x14ac:dyDescent="0.3">
      <c r="B149" s="18">
        <f t="shared" ref="B149" si="170">B148+1</f>
        <v>92</v>
      </c>
      <c r="D149" s="35" t="s">
        <v>133</v>
      </c>
      <c r="F149" s="48">
        <f ca="1">Function!V149</f>
        <v>32154.405162180323</v>
      </c>
      <c r="H149" s="76"/>
      <c r="K149" s="70">
        <f>_xlfn.IFNA(MATCH(J149,'Dist Factors'!$B$15:$B$431,0),0)</f>
        <v>0</v>
      </c>
      <c r="L149" s="48">
        <f t="shared" ca="1" si="169"/>
        <v>32154.405162180323</v>
      </c>
      <c r="N149" s="18" t="s">
        <v>308</v>
      </c>
      <c r="O149" s="70">
        <f>_xlfn.IFNA(MATCH(N149,'Dist Factors'!$B$15:$B$431,0),0)</f>
        <v>17</v>
      </c>
      <c r="P149" s="20">
        <f ca="1">OFFSET('Dist Factors'!$B$15,$O149-1,P$14)*$L149+OFFSET('Dist Factors'!$B$15,$K149-1,P$14)*$H149</f>
        <v>0</v>
      </c>
      <c r="R149" s="20">
        <f ca="1">OFFSET('Dist Factors'!$B$15,$O149-1,R$14)*$L149+OFFSET('Dist Factors'!$B$15,$K149-1,R$14)*$H149</f>
        <v>0</v>
      </c>
      <c r="S149" s="20"/>
      <c r="T149" s="20">
        <f ca="1">OFFSET('Dist Factors'!$B$15,$O149-1,T$14)*$L149+OFFSET('Dist Factors'!$B$15,$K149-1,T$14)*$H149</f>
        <v>0</v>
      </c>
      <c r="U149" s="20"/>
      <c r="V149" s="20">
        <f ca="1">OFFSET('Dist Factors'!$B$15,$O149-1,V$14)*$L149+OFFSET('Dist Factors'!$B$15,$K149-1,V$14)*$H149</f>
        <v>32154.405162180323</v>
      </c>
      <c r="W149" s="9"/>
      <c r="X149" s="20">
        <f ca="1">OFFSET('Dist Factors'!$B$15,$O149-1,X$14)*$L149+OFFSET('Dist Factors'!$B$15,$K149-1,X$14)*$H149</f>
        <v>0</v>
      </c>
      <c r="Y149" s="9"/>
      <c r="Z149" s="20">
        <f ca="1">OFFSET('Dist Factors'!$B$15,$O149-1,Z$14)*$L149+OFFSET('Dist Factors'!$B$15,$K149-1,Z$14)*$H149</f>
        <v>0</v>
      </c>
      <c r="AA149" s="20"/>
      <c r="AB149" s="20">
        <f ca="1">OFFSET('Dist Factors'!$B$15,$O149-1,AB$14)*$L149+OFFSET('Dist Factors'!$B$15,$K149-1,AB$14)*$H149</f>
        <v>0</v>
      </c>
      <c r="AC149" s="9"/>
      <c r="AD149" s="20">
        <f ca="1">OFFSET('Dist Factors'!$B$15,$O149-1,AD$14)*$L149+OFFSET('Dist Factors'!$B$15,$K149-1,AD$14)*$H149</f>
        <v>0</v>
      </c>
      <c r="AE149" s="9"/>
      <c r="AF149" s="20">
        <f ca="1">OFFSET('Dist Factors'!$B$15,$O149-1,AF$14)*$L149+OFFSET('Dist Factors'!$B$15,$K149-1,AF$14)*$H149</f>
        <v>0</v>
      </c>
      <c r="AG149" s="9"/>
      <c r="AH149" s="20">
        <f ca="1">OFFSET('Dist Factors'!$B$15,$O149-1,AH$14)*$L149+OFFSET('Dist Factors'!$B$15,$K149-1,AH$14)*$H149</f>
        <v>0</v>
      </c>
      <c r="AI149" s="9"/>
      <c r="AJ149" s="9">
        <f t="shared" ca="1" si="156"/>
        <v>32154.405162180323</v>
      </c>
      <c r="AL149" s="25" t="str">
        <f t="shared" ca="1" si="158"/>
        <v/>
      </c>
      <c r="AM149" s="49"/>
      <c r="AO149" s="89">
        <f ca="1">Function!AL149</f>
        <v>18121.6757442331</v>
      </c>
      <c r="AP149" s="96">
        <f ca="1">IFERROR(AO149/F149,0)</f>
        <v>0.56358298817319208</v>
      </c>
      <c r="AR149" s="48">
        <f t="shared" ca="1" si="144"/>
        <v>0</v>
      </c>
      <c r="AT149" s="48">
        <f t="shared" ca="1" si="145"/>
        <v>0</v>
      </c>
      <c r="AV149" s="48">
        <f t="shared" ca="1" si="146"/>
        <v>0</v>
      </c>
      <c r="AX149" s="48">
        <f t="shared" ca="1" si="147"/>
        <v>18121.6757442331</v>
      </c>
      <c r="AZ149" s="48">
        <f t="shared" ca="1" si="148"/>
        <v>0</v>
      </c>
      <c r="BB149" s="48">
        <f t="shared" ca="1" si="149"/>
        <v>0</v>
      </c>
      <c r="BD149" s="48">
        <f t="shared" ca="1" si="150"/>
        <v>0</v>
      </c>
      <c r="BF149" s="48">
        <f t="shared" ca="1" si="151"/>
        <v>0</v>
      </c>
      <c r="BH149" s="48">
        <f t="shared" ca="1" si="152"/>
        <v>0</v>
      </c>
      <c r="BJ149" s="48">
        <f t="shared" ca="1" si="153"/>
        <v>0</v>
      </c>
      <c r="BL149" s="48">
        <f t="shared" ca="1" si="155"/>
        <v>18121.6757442331</v>
      </c>
    </row>
    <row r="150" spans="2:64" ht="13" x14ac:dyDescent="0.3">
      <c r="D150" s="1" t="s">
        <v>134</v>
      </c>
      <c r="AD150" s="9"/>
      <c r="AE150" s="9"/>
      <c r="AF150" s="9"/>
      <c r="AG150" s="9"/>
      <c r="AH150" s="9"/>
      <c r="AJ150" s="9">
        <f t="shared" si="156"/>
        <v>0</v>
      </c>
      <c r="AL150" s="25" t="str">
        <f t="shared" si="158"/>
        <v/>
      </c>
      <c r="AM150" s="49"/>
      <c r="AR150" s="48">
        <f t="shared" si="144"/>
        <v>0</v>
      </c>
      <c r="AT150" s="48">
        <f t="shared" si="145"/>
        <v>0</v>
      </c>
      <c r="AV150" s="48">
        <f t="shared" si="146"/>
        <v>0</v>
      </c>
      <c r="AX150" s="48">
        <f t="shared" si="147"/>
        <v>0</v>
      </c>
      <c r="AZ150" s="48">
        <f t="shared" si="148"/>
        <v>0</v>
      </c>
      <c r="BB150" s="48">
        <f t="shared" si="149"/>
        <v>0</v>
      </c>
      <c r="BD150" s="48">
        <f t="shared" si="150"/>
        <v>0</v>
      </c>
      <c r="BF150" s="48">
        <f t="shared" si="151"/>
        <v>0</v>
      </c>
      <c r="BH150" s="48">
        <f t="shared" si="152"/>
        <v>0</v>
      </c>
      <c r="BJ150" s="48">
        <f t="shared" si="153"/>
        <v>0</v>
      </c>
      <c r="BL150" s="48">
        <f t="shared" si="155"/>
        <v>0</v>
      </c>
    </row>
    <row r="151" spans="2:64" ht="13" x14ac:dyDescent="0.3">
      <c r="B151" s="18">
        <f>B149+1</f>
        <v>93</v>
      </c>
      <c r="D151" s="35" t="s">
        <v>111</v>
      </c>
      <c r="F151" s="48">
        <f ca="1">Function!V151</f>
        <v>2999.0388448958947</v>
      </c>
      <c r="H151" s="76">
        <f>'Function Factors'!L16</f>
        <v>412.91835995474958</v>
      </c>
      <c r="J151" s="2" t="s">
        <v>307</v>
      </c>
      <c r="K151" s="70">
        <f>_xlfn.IFNA(MATCH(J151,'Dist Factors'!$B$15:$B$431,0),0)</f>
        <v>11</v>
      </c>
      <c r="L151" s="48">
        <f t="shared" ref="L151:L157" ca="1" si="171">F151-H151</f>
        <v>2586.1204849411452</v>
      </c>
      <c r="N151" s="18" t="s">
        <v>307</v>
      </c>
      <c r="O151" s="70">
        <f>_xlfn.IFNA(MATCH(N151,'Dist Factors'!$B$15:$B$431,0),0)</f>
        <v>11</v>
      </c>
      <c r="P151" s="20">
        <f ca="1">OFFSET('Dist Factors'!$B$15,$O151-1,P$14)*$L151+OFFSET('Dist Factors'!$B$15,$K151-1,P$14)*$H151</f>
        <v>0</v>
      </c>
      <c r="R151" s="20">
        <f ca="1">OFFSET('Dist Factors'!$B$15,$O151-1,R$14)*$L151+OFFSET('Dist Factors'!$B$15,$K151-1,R$14)*$H151</f>
        <v>0</v>
      </c>
      <c r="S151" s="20"/>
      <c r="T151" s="20">
        <f ca="1">OFFSET('Dist Factors'!$B$15,$O151-1,T$14)*$L151+OFFSET('Dist Factors'!$B$15,$K151-1,T$14)*$H151</f>
        <v>0</v>
      </c>
      <c r="U151" s="20"/>
      <c r="V151" s="20">
        <f ca="1">OFFSET('Dist Factors'!$B$15,$O151-1,V$14)*$L151+OFFSET('Dist Factors'!$B$15,$K151-1,V$14)*$H151</f>
        <v>0</v>
      </c>
      <c r="W151" s="9"/>
      <c r="X151" s="20">
        <f ca="1">OFFSET('Dist Factors'!$B$15,$O151-1,X$14)*$L151+OFFSET('Dist Factors'!$B$15,$K151-1,X$14)*$H151</f>
        <v>0</v>
      </c>
      <c r="Y151" s="9"/>
      <c r="Z151" s="20">
        <f ca="1">OFFSET('Dist Factors'!$B$15,$O151-1,Z$14)*$L151+OFFSET('Dist Factors'!$B$15,$K151-1,Z$14)*$H151</f>
        <v>0</v>
      </c>
      <c r="AA151" s="20"/>
      <c r="AB151" s="20">
        <f ca="1">OFFSET('Dist Factors'!$B$15,$O151-1,AB$14)*$L151+OFFSET('Dist Factors'!$B$15,$K151-1,AB$14)*$H151</f>
        <v>0</v>
      </c>
      <c r="AC151" s="9"/>
      <c r="AD151" s="20">
        <f ca="1">OFFSET('Dist Factors'!$B$15,$O151-1,AD$14)*$L151+OFFSET('Dist Factors'!$B$15,$K151-1,AD$14)*$H151</f>
        <v>0</v>
      </c>
      <c r="AE151" s="9"/>
      <c r="AF151" s="20">
        <f ca="1">OFFSET('Dist Factors'!$B$15,$O151-1,AF$14)*$L151+OFFSET('Dist Factors'!$B$15,$K151-1,AF$14)*$H151</f>
        <v>2999.0388448958947</v>
      </c>
      <c r="AG151" s="9"/>
      <c r="AH151" s="20">
        <f ca="1">OFFSET('Dist Factors'!$B$15,$O151-1,AH$14)*$L151+OFFSET('Dist Factors'!$B$15,$K151-1,AH$14)*$H151</f>
        <v>0</v>
      </c>
      <c r="AI151" s="9"/>
      <c r="AJ151" s="9">
        <f t="shared" ca="1" si="156"/>
        <v>2999.0388448958947</v>
      </c>
      <c r="AL151" s="25" t="str">
        <f t="shared" ca="1" si="158"/>
        <v/>
      </c>
      <c r="AM151" s="49"/>
      <c r="AO151" s="89">
        <f ca="1">Function!AL151</f>
        <v>4273.2481020128562</v>
      </c>
      <c r="AP151" s="96">
        <f ca="1">IFERROR(AO151/L151,0)</f>
        <v>1.6523778095010553</v>
      </c>
      <c r="AR151" s="48">
        <f t="shared" ca="1" si="144"/>
        <v>0</v>
      </c>
      <c r="AT151" s="48">
        <f t="shared" ca="1" si="145"/>
        <v>0</v>
      </c>
      <c r="AV151" s="48">
        <f t="shared" ca="1" si="146"/>
        <v>0</v>
      </c>
      <c r="AX151" s="48">
        <f t="shared" ca="1" si="147"/>
        <v>0</v>
      </c>
      <c r="AZ151" s="48">
        <f t="shared" ca="1" si="148"/>
        <v>0</v>
      </c>
      <c r="BB151" s="48">
        <f t="shared" ca="1" si="149"/>
        <v>0</v>
      </c>
      <c r="BD151" s="48">
        <f t="shared" ca="1" si="150"/>
        <v>0</v>
      </c>
      <c r="BF151" s="48">
        <f t="shared" ca="1" si="151"/>
        <v>0</v>
      </c>
      <c r="BH151" s="48">
        <f ca="1">$AP151*(AF151-H151)</f>
        <v>4273.2481020128562</v>
      </c>
      <c r="BJ151" s="48">
        <f t="shared" ca="1" si="153"/>
        <v>0</v>
      </c>
      <c r="BL151" s="48">
        <f t="shared" ca="1" si="155"/>
        <v>4273.2481020128562</v>
      </c>
    </row>
    <row r="152" spans="2:64" ht="13" x14ac:dyDescent="0.3">
      <c r="B152" s="18">
        <f>B151+1</f>
        <v>94</v>
      </c>
      <c r="D152" s="35" t="s">
        <v>136</v>
      </c>
      <c r="F152" s="48">
        <f ca="1">Function!V152</f>
        <v>19535.319138357758</v>
      </c>
      <c r="H152" s="76"/>
      <c r="K152" s="70">
        <f>_xlfn.IFNA(MATCH(J152,'Dist Factors'!$B$15:$B$431,0),0)</f>
        <v>0</v>
      </c>
      <c r="L152" s="48">
        <f t="shared" ca="1" si="171"/>
        <v>19535.319138357758</v>
      </c>
      <c r="N152" s="18" t="s">
        <v>307</v>
      </c>
      <c r="O152" s="70">
        <f>_xlfn.IFNA(MATCH(N152,'Dist Factors'!$B$15:$B$431,0),0)</f>
        <v>11</v>
      </c>
      <c r="P152" s="20">
        <f ca="1">OFFSET('Dist Factors'!$B$15,$O152-1,P$14)*$L152+OFFSET('Dist Factors'!$B$15,$K152-1,P$14)*$H152</f>
        <v>0</v>
      </c>
      <c r="R152" s="20">
        <f ca="1">OFFSET('Dist Factors'!$B$15,$O152-1,R$14)*$L152+OFFSET('Dist Factors'!$B$15,$K152-1,R$14)*$H152</f>
        <v>0</v>
      </c>
      <c r="S152" s="20"/>
      <c r="T152" s="20">
        <f ca="1">OFFSET('Dist Factors'!$B$15,$O152-1,T$14)*$L152+OFFSET('Dist Factors'!$B$15,$K152-1,T$14)*$H152</f>
        <v>0</v>
      </c>
      <c r="U152" s="20"/>
      <c r="V152" s="20">
        <f ca="1">OFFSET('Dist Factors'!$B$15,$O152-1,V$14)*$L152+OFFSET('Dist Factors'!$B$15,$K152-1,V$14)*$H152</f>
        <v>0</v>
      </c>
      <c r="W152" s="9"/>
      <c r="X152" s="20">
        <f ca="1">OFFSET('Dist Factors'!$B$15,$O152-1,X$14)*$L152+OFFSET('Dist Factors'!$B$15,$K152-1,X$14)*$H152</f>
        <v>0</v>
      </c>
      <c r="Y152" s="9"/>
      <c r="Z152" s="20">
        <f ca="1">OFFSET('Dist Factors'!$B$15,$O152-1,Z$14)*$L152+OFFSET('Dist Factors'!$B$15,$K152-1,Z$14)*$H152</f>
        <v>0</v>
      </c>
      <c r="AA152" s="20"/>
      <c r="AB152" s="20">
        <f ca="1">OFFSET('Dist Factors'!$B$15,$O152-1,AB$14)*$L152+OFFSET('Dist Factors'!$B$15,$K152-1,AB$14)*$H152</f>
        <v>0</v>
      </c>
      <c r="AC152" s="9"/>
      <c r="AD152" s="20">
        <f ca="1">OFFSET('Dist Factors'!$B$15,$O152-1,AD$14)*$L152+OFFSET('Dist Factors'!$B$15,$K152-1,AD$14)*$H152</f>
        <v>0</v>
      </c>
      <c r="AE152" s="9"/>
      <c r="AF152" s="20">
        <f ca="1">OFFSET('Dist Factors'!$B$15,$O152-1,AF$14)*$L152+OFFSET('Dist Factors'!$B$15,$K152-1,AF$14)*$H152</f>
        <v>19535.319138357758</v>
      </c>
      <c r="AG152" s="9"/>
      <c r="AH152" s="20">
        <f ca="1">OFFSET('Dist Factors'!$B$15,$O152-1,AH$14)*$L152+OFFSET('Dist Factors'!$B$15,$K152-1,AH$14)*$H152</f>
        <v>0</v>
      </c>
      <c r="AI152" s="9"/>
      <c r="AJ152" s="9">
        <f t="shared" ca="1" si="156"/>
        <v>19535.319138357758</v>
      </c>
      <c r="AL152" s="25" t="str">
        <f t="shared" ca="1" si="158"/>
        <v/>
      </c>
      <c r="AM152" s="49"/>
      <c r="AO152" s="89">
        <f ca="1">Function!AL152</f>
        <v>8208.9423951896006</v>
      </c>
      <c r="AP152" s="96">
        <f t="shared" ref="AP152:AP157" ca="1" si="172">IFERROR(AO152/F152,0)</f>
        <v>0.42021030406773724</v>
      </c>
      <c r="AR152" s="48">
        <f t="shared" ca="1" si="144"/>
        <v>0</v>
      </c>
      <c r="AT152" s="48">
        <f t="shared" ca="1" si="145"/>
        <v>0</v>
      </c>
      <c r="AV152" s="48">
        <f t="shared" ca="1" si="146"/>
        <v>0</v>
      </c>
      <c r="AX152" s="48">
        <f t="shared" ca="1" si="147"/>
        <v>0</v>
      </c>
      <c r="AZ152" s="48">
        <f t="shared" ca="1" si="148"/>
        <v>0</v>
      </c>
      <c r="BB152" s="48">
        <f t="shared" ca="1" si="149"/>
        <v>0</v>
      </c>
      <c r="BD152" s="48">
        <f t="shared" ca="1" si="150"/>
        <v>0</v>
      </c>
      <c r="BF152" s="48">
        <f t="shared" ca="1" si="151"/>
        <v>0</v>
      </c>
      <c r="BH152" s="48">
        <f t="shared" ca="1" si="152"/>
        <v>8208.9423951896006</v>
      </c>
      <c r="BJ152" s="48">
        <f t="shared" ca="1" si="153"/>
        <v>0</v>
      </c>
      <c r="BL152" s="48">
        <f t="shared" ca="1" si="155"/>
        <v>8208.9423951896006</v>
      </c>
    </row>
    <row r="153" spans="2:64" ht="13" x14ac:dyDescent="0.3">
      <c r="B153" s="18">
        <f>B152+1</f>
        <v>95</v>
      </c>
      <c r="D153" s="35" t="s">
        <v>137</v>
      </c>
      <c r="F153" s="48">
        <f ca="1">Function!V153</f>
        <v>23437.232127810334</v>
      </c>
      <c r="H153" s="76"/>
      <c r="K153" s="70">
        <f>_xlfn.IFNA(MATCH(J153,'Dist Factors'!$B$15:$B$431,0),0)</f>
        <v>0</v>
      </c>
      <c r="L153" s="48">
        <f t="shared" ca="1" si="171"/>
        <v>23437.232127810334</v>
      </c>
      <c r="N153" s="18" t="s">
        <v>307</v>
      </c>
      <c r="O153" s="70">
        <f>_xlfn.IFNA(MATCH(N153,'Dist Factors'!$B$15:$B$431,0),0)</f>
        <v>11</v>
      </c>
      <c r="P153" s="20">
        <f ca="1">OFFSET('Dist Factors'!$B$15,$O153-1,P$14)*$L153+OFFSET('Dist Factors'!$B$15,$K153-1,P$14)*$H153</f>
        <v>0</v>
      </c>
      <c r="R153" s="20">
        <f ca="1">OFFSET('Dist Factors'!$B$15,$O153-1,R$14)*$L153+OFFSET('Dist Factors'!$B$15,$K153-1,R$14)*$H153</f>
        <v>0</v>
      </c>
      <c r="S153" s="20"/>
      <c r="T153" s="20">
        <f ca="1">OFFSET('Dist Factors'!$B$15,$O153-1,T$14)*$L153+OFFSET('Dist Factors'!$B$15,$K153-1,T$14)*$H153</f>
        <v>0</v>
      </c>
      <c r="U153" s="20"/>
      <c r="V153" s="20">
        <f ca="1">OFFSET('Dist Factors'!$B$15,$O153-1,V$14)*$L153+OFFSET('Dist Factors'!$B$15,$K153-1,V$14)*$H153</f>
        <v>0</v>
      </c>
      <c r="W153" s="9"/>
      <c r="X153" s="20">
        <f ca="1">OFFSET('Dist Factors'!$B$15,$O153-1,X$14)*$L153+OFFSET('Dist Factors'!$B$15,$K153-1,X$14)*$H153</f>
        <v>0</v>
      </c>
      <c r="Y153" s="9"/>
      <c r="Z153" s="20">
        <f ca="1">OFFSET('Dist Factors'!$B$15,$O153-1,Z$14)*$L153+OFFSET('Dist Factors'!$B$15,$K153-1,Z$14)*$H153</f>
        <v>0</v>
      </c>
      <c r="AA153" s="20"/>
      <c r="AB153" s="20">
        <f ca="1">OFFSET('Dist Factors'!$B$15,$O153-1,AB$14)*$L153+OFFSET('Dist Factors'!$B$15,$K153-1,AB$14)*$H153</f>
        <v>0</v>
      </c>
      <c r="AC153" s="9"/>
      <c r="AD153" s="20">
        <f ca="1">OFFSET('Dist Factors'!$B$15,$O153-1,AD$14)*$L153+OFFSET('Dist Factors'!$B$15,$K153-1,AD$14)*$H153</f>
        <v>0</v>
      </c>
      <c r="AE153" s="9"/>
      <c r="AF153" s="20">
        <f ca="1">OFFSET('Dist Factors'!$B$15,$O153-1,AF$14)*$L153+OFFSET('Dist Factors'!$B$15,$K153-1,AF$14)*$H153</f>
        <v>23437.232127810334</v>
      </c>
      <c r="AG153" s="9"/>
      <c r="AH153" s="20">
        <f ca="1">OFFSET('Dist Factors'!$B$15,$O153-1,AH$14)*$L153+OFFSET('Dist Factors'!$B$15,$K153-1,AH$14)*$H153</f>
        <v>0</v>
      </c>
      <c r="AI153" s="9"/>
      <c r="AJ153" s="9">
        <f t="shared" ca="1" si="156"/>
        <v>23437.232127810334</v>
      </c>
      <c r="AL153" s="25" t="str">
        <f t="shared" ca="1" si="158"/>
        <v/>
      </c>
      <c r="AM153" s="49"/>
      <c r="AO153" s="89">
        <f ca="1">Function!AL153</f>
        <v>430.97034567832998</v>
      </c>
      <c r="AP153" s="96">
        <f t="shared" ca="1" si="172"/>
        <v>1.8388278245832015E-2</v>
      </c>
      <c r="AR153" s="48">
        <f t="shared" ca="1" si="144"/>
        <v>0</v>
      </c>
      <c r="AT153" s="48">
        <f t="shared" ca="1" si="145"/>
        <v>0</v>
      </c>
      <c r="AV153" s="48">
        <f t="shared" ca="1" si="146"/>
        <v>0</v>
      </c>
      <c r="AX153" s="48">
        <f t="shared" ca="1" si="147"/>
        <v>0</v>
      </c>
      <c r="AZ153" s="48">
        <f t="shared" ca="1" si="148"/>
        <v>0</v>
      </c>
      <c r="BB153" s="48">
        <f t="shared" ca="1" si="149"/>
        <v>0</v>
      </c>
      <c r="BD153" s="48">
        <f t="shared" ca="1" si="150"/>
        <v>0</v>
      </c>
      <c r="BF153" s="48">
        <f t="shared" ca="1" si="151"/>
        <v>0</v>
      </c>
      <c r="BH153" s="48">
        <f t="shared" ca="1" si="152"/>
        <v>430.97034567832998</v>
      </c>
      <c r="BJ153" s="48">
        <f t="shared" ca="1" si="153"/>
        <v>0</v>
      </c>
      <c r="BL153" s="48">
        <f t="shared" ca="1" si="155"/>
        <v>430.97034567832998</v>
      </c>
    </row>
    <row r="154" spans="2:64" ht="13" x14ac:dyDescent="0.3">
      <c r="B154" s="18">
        <f t="shared" ref="B154:B157" si="173">B153+1</f>
        <v>96</v>
      </c>
      <c r="D154" s="35" t="s">
        <v>138</v>
      </c>
      <c r="F154" s="48">
        <f ca="1">Function!V154</f>
        <v>47499.389818864729</v>
      </c>
      <c r="H154" s="76"/>
      <c r="K154" s="70">
        <f>_xlfn.IFNA(MATCH(J154,'Dist Factors'!$B$15:$B$431,0),0)</f>
        <v>0</v>
      </c>
      <c r="L154" s="48">
        <f t="shared" ca="1" si="171"/>
        <v>47499.389818864729</v>
      </c>
      <c r="N154" s="18" t="s">
        <v>307</v>
      </c>
      <c r="O154" s="70">
        <f>_xlfn.IFNA(MATCH(N154,'Dist Factors'!$B$15:$B$431,0),0)</f>
        <v>11</v>
      </c>
      <c r="P154" s="20">
        <f ca="1">OFFSET('Dist Factors'!$B$15,$O154-1,P$14)*$L154+OFFSET('Dist Factors'!$B$15,$K154-1,P$14)*$H154</f>
        <v>0</v>
      </c>
      <c r="R154" s="20">
        <f ca="1">OFFSET('Dist Factors'!$B$15,$O154-1,R$14)*$L154+OFFSET('Dist Factors'!$B$15,$K154-1,R$14)*$H154</f>
        <v>0</v>
      </c>
      <c r="S154" s="20"/>
      <c r="T154" s="20">
        <f ca="1">OFFSET('Dist Factors'!$B$15,$O154-1,T$14)*$L154+OFFSET('Dist Factors'!$B$15,$K154-1,T$14)*$H154</f>
        <v>0</v>
      </c>
      <c r="U154" s="20"/>
      <c r="V154" s="20">
        <f ca="1">OFFSET('Dist Factors'!$B$15,$O154-1,V$14)*$L154+OFFSET('Dist Factors'!$B$15,$K154-1,V$14)*$H154</f>
        <v>0</v>
      </c>
      <c r="W154" s="9"/>
      <c r="X154" s="20">
        <f ca="1">OFFSET('Dist Factors'!$B$15,$O154-1,X$14)*$L154+OFFSET('Dist Factors'!$B$15,$K154-1,X$14)*$H154</f>
        <v>0</v>
      </c>
      <c r="Y154" s="9"/>
      <c r="Z154" s="20">
        <f ca="1">OFFSET('Dist Factors'!$B$15,$O154-1,Z$14)*$L154+OFFSET('Dist Factors'!$B$15,$K154-1,Z$14)*$H154</f>
        <v>0</v>
      </c>
      <c r="AA154" s="20"/>
      <c r="AB154" s="20">
        <f ca="1">OFFSET('Dist Factors'!$B$15,$O154-1,AB$14)*$L154+OFFSET('Dist Factors'!$B$15,$K154-1,AB$14)*$H154</f>
        <v>0</v>
      </c>
      <c r="AC154" s="9"/>
      <c r="AD154" s="20">
        <f ca="1">OFFSET('Dist Factors'!$B$15,$O154-1,AD$14)*$L154+OFFSET('Dist Factors'!$B$15,$K154-1,AD$14)*$H154</f>
        <v>0</v>
      </c>
      <c r="AE154" s="9"/>
      <c r="AF154" s="20">
        <f ca="1">OFFSET('Dist Factors'!$B$15,$O154-1,AF$14)*$L154+OFFSET('Dist Factors'!$B$15,$K154-1,AF$14)*$H154</f>
        <v>47499.389818864729</v>
      </c>
      <c r="AG154" s="9"/>
      <c r="AH154" s="20">
        <f ca="1">OFFSET('Dist Factors'!$B$15,$O154-1,AH$14)*$L154+OFFSET('Dist Factors'!$B$15,$K154-1,AH$14)*$H154</f>
        <v>0</v>
      </c>
      <c r="AI154" s="9"/>
      <c r="AJ154" s="9">
        <f t="shared" ca="1" si="156"/>
        <v>47499.389818864729</v>
      </c>
      <c r="AL154" s="25" t="str">
        <f t="shared" ca="1" si="158"/>
        <v/>
      </c>
      <c r="AM154" s="49"/>
      <c r="AO154" s="89">
        <f ca="1">Function!AL154</f>
        <v>4988.9291576484293</v>
      </c>
      <c r="AP154" s="96">
        <f t="shared" ca="1" si="172"/>
        <v>0.10503143675473152</v>
      </c>
      <c r="AR154" s="48">
        <f t="shared" ca="1" si="144"/>
        <v>0</v>
      </c>
      <c r="AT154" s="48">
        <f t="shared" ca="1" si="145"/>
        <v>0</v>
      </c>
      <c r="AV154" s="48">
        <f t="shared" ca="1" si="146"/>
        <v>0</v>
      </c>
      <c r="AX154" s="48">
        <f t="shared" ca="1" si="147"/>
        <v>0</v>
      </c>
      <c r="AZ154" s="48">
        <f t="shared" ca="1" si="148"/>
        <v>0</v>
      </c>
      <c r="BB154" s="48">
        <f t="shared" ca="1" si="149"/>
        <v>0</v>
      </c>
      <c r="BD154" s="48">
        <f t="shared" ca="1" si="150"/>
        <v>0</v>
      </c>
      <c r="BF154" s="48">
        <f t="shared" ca="1" si="151"/>
        <v>0</v>
      </c>
      <c r="BH154" s="48">
        <f t="shared" ca="1" si="152"/>
        <v>4988.9291576484293</v>
      </c>
      <c r="BJ154" s="48">
        <f t="shared" ca="1" si="153"/>
        <v>0</v>
      </c>
      <c r="BL154" s="48">
        <f t="shared" ca="1" si="155"/>
        <v>4988.9291576484293</v>
      </c>
    </row>
    <row r="155" spans="2:64" ht="13" x14ac:dyDescent="0.3">
      <c r="B155" s="18">
        <f t="shared" si="173"/>
        <v>97</v>
      </c>
      <c r="D155" s="35" t="s">
        <v>139</v>
      </c>
      <c r="F155" s="48">
        <f ca="1">Function!V155</f>
        <v>6052.9452734375218</v>
      </c>
      <c r="H155" s="76"/>
      <c r="K155" s="70">
        <f>_xlfn.IFNA(MATCH(J155,'Dist Factors'!$B$15:$B$431,0),0)</f>
        <v>0</v>
      </c>
      <c r="L155" s="48">
        <f t="shared" ca="1" si="171"/>
        <v>6052.9452734375218</v>
      </c>
      <c r="N155" s="18" t="s">
        <v>307</v>
      </c>
      <c r="O155" s="70">
        <f>_xlfn.IFNA(MATCH(N155,'Dist Factors'!$B$15:$B$431,0),0)</f>
        <v>11</v>
      </c>
      <c r="P155" s="20">
        <f ca="1">OFFSET('Dist Factors'!$B$15,$O155-1,P$14)*$L155+OFFSET('Dist Factors'!$B$15,$K155-1,P$14)*$H155</f>
        <v>0</v>
      </c>
      <c r="R155" s="20">
        <f ca="1">OFFSET('Dist Factors'!$B$15,$O155-1,R$14)*$L155+OFFSET('Dist Factors'!$B$15,$K155-1,R$14)*$H155</f>
        <v>0</v>
      </c>
      <c r="S155" s="20"/>
      <c r="T155" s="20">
        <f ca="1">OFFSET('Dist Factors'!$B$15,$O155-1,T$14)*$L155+OFFSET('Dist Factors'!$B$15,$K155-1,T$14)*$H155</f>
        <v>0</v>
      </c>
      <c r="U155" s="20"/>
      <c r="V155" s="20">
        <f ca="1">OFFSET('Dist Factors'!$B$15,$O155-1,V$14)*$L155+OFFSET('Dist Factors'!$B$15,$K155-1,V$14)*$H155</f>
        <v>0</v>
      </c>
      <c r="W155" s="9"/>
      <c r="X155" s="20">
        <f ca="1">OFFSET('Dist Factors'!$B$15,$O155-1,X$14)*$L155+OFFSET('Dist Factors'!$B$15,$K155-1,X$14)*$H155</f>
        <v>0</v>
      </c>
      <c r="Y155" s="9"/>
      <c r="Z155" s="20">
        <f ca="1">OFFSET('Dist Factors'!$B$15,$O155-1,Z$14)*$L155+OFFSET('Dist Factors'!$B$15,$K155-1,Z$14)*$H155</f>
        <v>0</v>
      </c>
      <c r="AA155" s="20"/>
      <c r="AB155" s="20">
        <f ca="1">OFFSET('Dist Factors'!$B$15,$O155-1,AB$14)*$L155+OFFSET('Dist Factors'!$B$15,$K155-1,AB$14)*$H155</f>
        <v>0</v>
      </c>
      <c r="AC155" s="9"/>
      <c r="AD155" s="20">
        <f ca="1">OFFSET('Dist Factors'!$B$15,$O155-1,AD$14)*$L155+OFFSET('Dist Factors'!$B$15,$K155-1,AD$14)*$H155</f>
        <v>0</v>
      </c>
      <c r="AE155" s="9"/>
      <c r="AF155" s="20">
        <f ca="1">OFFSET('Dist Factors'!$B$15,$O155-1,AF$14)*$L155+OFFSET('Dist Factors'!$B$15,$K155-1,AF$14)*$H155</f>
        <v>6052.9452734375218</v>
      </c>
      <c r="AG155" s="9"/>
      <c r="AH155" s="20">
        <f ca="1">OFFSET('Dist Factors'!$B$15,$O155-1,AH$14)*$L155+OFFSET('Dist Factors'!$B$15,$K155-1,AH$14)*$H155</f>
        <v>0</v>
      </c>
      <c r="AI155" s="9"/>
      <c r="AJ155" s="9">
        <f t="shared" ca="1" si="156"/>
        <v>6052.9452734375218</v>
      </c>
      <c r="AL155" s="25" t="str">
        <f t="shared" ca="1" si="158"/>
        <v/>
      </c>
      <c r="AM155" s="49"/>
      <c r="AO155" s="89">
        <f ca="1">Function!AL155</f>
        <v>5323.0427163833365</v>
      </c>
      <c r="AP155" s="96">
        <f t="shared" ca="1" si="172"/>
        <v>0.87941365334042298</v>
      </c>
      <c r="AR155" s="48">
        <f t="shared" ca="1" si="144"/>
        <v>0</v>
      </c>
      <c r="AT155" s="48">
        <f t="shared" ca="1" si="145"/>
        <v>0</v>
      </c>
      <c r="AV155" s="48">
        <f t="shared" ca="1" si="146"/>
        <v>0</v>
      </c>
      <c r="AX155" s="48">
        <f t="shared" ca="1" si="147"/>
        <v>0</v>
      </c>
      <c r="AZ155" s="48">
        <f t="shared" ca="1" si="148"/>
        <v>0</v>
      </c>
      <c r="BB155" s="48">
        <f t="shared" ca="1" si="149"/>
        <v>0</v>
      </c>
      <c r="BD155" s="48">
        <f t="shared" ca="1" si="150"/>
        <v>0</v>
      </c>
      <c r="BF155" s="48">
        <f t="shared" ca="1" si="151"/>
        <v>0</v>
      </c>
      <c r="BH155" s="48">
        <f t="shared" ca="1" si="152"/>
        <v>5323.0427163833365</v>
      </c>
      <c r="BJ155" s="48">
        <f t="shared" ca="1" si="153"/>
        <v>0</v>
      </c>
      <c r="BL155" s="48">
        <f t="shared" ca="1" si="155"/>
        <v>5323.0427163833365</v>
      </c>
    </row>
    <row r="156" spans="2:64" ht="13" x14ac:dyDescent="0.3">
      <c r="B156" s="18">
        <f t="shared" si="173"/>
        <v>98</v>
      </c>
      <c r="D156" s="35" t="s">
        <v>140</v>
      </c>
      <c r="F156" s="48">
        <f ca="1">Function!V156</f>
        <v>6258.7532042938401</v>
      </c>
      <c r="H156" s="76"/>
      <c r="K156" s="70">
        <f>_xlfn.IFNA(MATCH(J156,'Dist Factors'!$B$15:$B$431,0),0)</f>
        <v>0</v>
      </c>
      <c r="L156" s="48">
        <f t="shared" ca="1" si="171"/>
        <v>6258.7532042938401</v>
      </c>
      <c r="N156" s="18" t="s">
        <v>307</v>
      </c>
      <c r="O156" s="70">
        <f>_xlfn.IFNA(MATCH(N156,'Dist Factors'!$B$15:$B$431,0),0)</f>
        <v>11</v>
      </c>
      <c r="P156" s="20">
        <f ca="1">OFFSET('Dist Factors'!$B$15,$O156-1,P$14)*$L156+OFFSET('Dist Factors'!$B$15,$K156-1,P$14)*$H156</f>
        <v>0</v>
      </c>
      <c r="R156" s="20">
        <f ca="1">OFFSET('Dist Factors'!$B$15,$O156-1,R$14)*$L156+OFFSET('Dist Factors'!$B$15,$K156-1,R$14)*$H156</f>
        <v>0</v>
      </c>
      <c r="S156" s="20"/>
      <c r="T156" s="20">
        <f ca="1">OFFSET('Dist Factors'!$B$15,$O156-1,T$14)*$L156+OFFSET('Dist Factors'!$B$15,$K156-1,T$14)*$H156</f>
        <v>0</v>
      </c>
      <c r="U156" s="20"/>
      <c r="V156" s="20">
        <f ca="1">OFFSET('Dist Factors'!$B$15,$O156-1,V$14)*$L156+OFFSET('Dist Factors'!$B$15,$K156-1,V$14)*$H156</f>
        <v>0</v>
      </c>
      <c r="W156" s="9"/>
      <c r="X156" s="20">
        <f ca="1">OFFSET('Dist Factors'!$B$15,$O156-1,X$14)*$L156+OFFSET('Dist Factors'!$B$15,$K156-1,X$14)*$H156</f>
        <v>0</v>
      </c>
      <c r="Y156" s="9"/>
      <c r="Z156" s="20">
        <f ca="1">OFFSET('Dist Factors'!$B$15,$O156-1,Z$14)*$L156+OFFSET('Dist Factors'!$B$15,$K156-1,Z$14)*$H156</f>
        <v>0</v>
      </c>
      <c r="AA156" s="20"/>
      <c r="AB156" s="20">
        <f ca="1">OFFSET('Dist Factors'!$B$15,$O156-1,AB$14)*$L156+OFFSET('Dist Factors'!$B$15,$K156-1,AB$14)*$H156</f>
        <v>0</v>
      </c>
      <c r="AC156" s="9"/>
      <c r="AD156" s="20">
        <f ca="1">OFFSET('Dist Factors'!$B$15,$O156-1,AD$14)*$L156+OFFSET('Dist Factors'!$B$15,$K156-1,AD$14)*$H156</f>
        <v>0</v>
      </c>
      <c r="AE156" s="9"/>
      <c r="AF156" s="20">
        <f ca="1">OFFSET('Dist Factors'!$B$15,$O156-1,AF$14)*$L156+OFFSET('Dist Factors'!$B$15,$K156-1,AF$14)*$H156</f>
        <v>6258.7532042938401</v>
      </c>
      <c r="AG156" s="9"/>
      <c r="AH156" s="20">
        <f ca="1">OFFSET('Dist Factors'!$B$15,$O156-1,AH$14)*$L156+OFFSET('Dist Factors'!$B$15,$K156-1,AH$14)*$H156</f>
        <v>0</v>
      </c>
      <c r="AI156" s="9"/>
      <c r="AJ156" s="9">
        <f t="shared" ca="1" si="156"/>
        <v>6258.7532042938401</v>
      </c>
      <c r="AL156" s="25" t="str">
        <f t="shared" ca="1" si="158"/>
        <v/>
      </c>
      <c r="AM156" s="49"/>
      <c r="AO156" s="89">
        <f ca="1">Function!AL156</f>
        <v>1248.1922043138802</v>
      </c>
      <c r="AP156" s="96">
        <f t="shared" ca="1" si="172"/>
        <v>0.19943144641932095</v>
      </c>
      <c r="AR156" s="48">
        <f t="shared" ca="1" si="144"/>
        <v>0</v>
      </c>
      <c r="AT156" s="48">
        <f t="shared" ca="1" si="145"/>
        <v>0</v>
      </c>
      <c r="AV156" s="48">
        <f t="shared" ca="1" si="146"/>
        <v>0</v>
      </c>
      <c r="AX156" s="48">
        <f t="shared" ca="1" si="147"/>
        <v>0</v>
      </c>
      <c r="AZ156" s="48">
        <f t="shared" ca="1" si="148"/>
        <v>0</v>
      </c>
      <c r="BB156" s="48">
        <f t="shared" ca="1" si="149"/>
        <v>0</v>
      </c>
      <c r="BD156" s="48">
        <f t="shared" ca="1" si="150"/>
        <v>0</v>
      </c>
      <c r="BF156" s="48">
        <f t="shared" ca="1" si="151"/>
        <v>0</v>
      </c>
      <c r="BH156" s="48">
        <f t="shared" ca="1" si="152"/>
        <v>1248.1922043138802</v>
      </c>
      <c r="BJ156" s="48">
        <f t="shared" ca="1" si="153"/>
        <v>0</v>
      </c>
      <c r="BL156" s="48">
        <f t="shared" ca="1" si="155"/>
        <v>1248.1922043138802</v>
      </c>
    </row>
    <row r="157" spans="2:64" ht="13" x14ac:dyDescent="0.3">
      <c r="B157" s="18">
        <f t="shared" si="173"/>
        <v>99</v>
      </c>
      <c r="D157" s="35" t="s">
        <v>141</v>
      </c>
      <c r="F157" s="48">
        <f ca="1">Function!V157</f>
        <v>11814.781536038916</v>
      </c>
      <c r="H157" s="76"/>
      <c r="K157" s="70">
        <f>_xlfn.IFNA(MATCH(J157,'Dist Factors'!$B$15:$B$431,0),0)</f>
        <v>0</v>
      </c>
      <c r="L157" s="48">
        <f t="shared" ca="1" si="171"/>
        <v>11814.781536038916</v>
      </c>
      <c r="N157" s="18" t="s">
        <v>307</v>
      </c>
      <c r="O157" s="70">
        <f>_xlfn.IFNA(MATCH(N157,'Dist Factors'!$B$15:$B$431,0),0)</f>
        <v>11</v>
      </c>
      <c r="P157" s="20">
        <f ca="1">OFFSET('Dist Factors'!$B$15,$O157-1,P$14)*$L157+OFFSET('Dist Factors'!$B$15,$K157-1,P$14)*$H157</f>
        <v>0</v>
      </c>
      <c r="R157" s="20">
        <f ca="1">OFFSET('Dist Factors'!$B$15,$O157-1,R$14)*$L157+OFFSET('Dist Factors'!$B$15,$K157-1,R$14)*$H157</f>
        <v>0</v>
      </c>
      <c r="S157" s="20"/>
      <c r="T157" s="20">
        <f ca="1">OFFSET('Dist Factors'!$B$15,$O157-1,T$14)*$L157+OFFSET('Dist Factors'!$B$15,$K157-1,T$14)*$H157</f>
        <v>0</v>
      </c>
      <c r="U157" s="20"/>
      <c r="V157" s="20">
        <f ca="1">OFFSET('Dist Factors'!$B$15,$O157-1,V$14)*$L157+OFFSET('Dist Factors'!$B$15,$K157-1,V$14)*$H157</f>
        <v>0</v>
      </c>
      <c r="W157" s="9"/>
      <c r="X157" s="20">
        <f ca="1">OFFSET('Dist Factors'!$B$15,$O157-1,X$14)*$L157+OFFSET('Dist Factors'!$B$15,$K157-1,X$14)*$H157</f>
        <v>0</v>
      </c>
      <c r="Y157" s="9"/>
      <c r="Z157" s="20">
        <f ca="1">OFFSET('Dist Factors'!$B$15,$O157-1,Z$14)*$L157+OFFSET('Dist Factors'!$B$15,$K157-1,Z$14)*$H157</f>
        <v>0</v>
      </c>
      <c r="AA157" s="20"/>
      <c r="AB157" s="20">
        <f ca="1">OFFSET('Dist Factors'!$B$15,$O157-1,AB$14)*$L157+OFFSET('Dist Factors'!$B$15,$K157-1,AB$14)*$H157</f>
        <v>0</v>
      </c>
      <c r="AC157" s="9"/>
      <c r="AD157" s="20">
        <f ca="1">OFFSET('Dist Factors'!$B$15,$O157-1,AD$14)*$L157+OFFSET('Dist Factors'!$B$15,$K157-1,AD$14)*$H157</f>
        <v>0</v>
      </c>
      <c r="AE157" s="9"/>
      <c r="AF157" s="20">
        <f ca="1">OFFSET('Dist Factors'!$B$15,$O157-1,AF$14)*$L157+OFFSET('Dist Factors'!$B$15,$K157-1,AF$14)*$H157</f>
        <v>11814.781536038916</v>
      </c>
      <c r="AG157" s="9"/>
      <c r="AH157" s="20">
        <f ca="1">OFFSET('Dist Factors'!$B$15,$O157-1,AH$14)*$L157+OFFSET('Dist Factors'!$B$15,$K157-1,AH$14)*$H157</f>
        <v>0</v>
      </c>
      <c r="AI157" s="9"/>
      <c r="AJ157" s="9">
        <f t="shared" ca="1" si="156"/>
        <v>11814.781536038916</v>
      </c>
      <c r="AL157" s="25" t="str">
        <f t="shared" ca="1" si="158"/>
        <v/>
      </c>
      <c r="AM157" s="49"/>
      <c r="AO157" s="89">
        <f ca="1">Function!AL157</f>
        <v>0</v>
      </c>
      <c r="AP157" s="96">
        <f t="shared" ca="1" si="172"/>
        <v>0</v>
      </c>
      <c r="AR157" s="48">
        <f t="shared" ca="1" si="144"/>
        <v>0</v>
      </c>
      <c r="AT157" s="48">
        <f t="shared" ca="1" si="145"/>
        <v>0</v>
      </c>
      <c r="AV157" s="48">
        <f t="shared" ca="1" si="146"/>
        <v>0</v>
      </c>
      <c r="AX157" s="48">
        <f t="shared" ca="1" si="147"/>
        <v>0</v>
      </c>
      <c r="AZ157" s="48">
        <f t="shared" ca="1" si="148"/>
        <v>0</v>
      </c>
      <c r="BB157" s="48">
        <f t="shared" ca="1" si="149"/>
        <v>0</v>
      </c>
      <c r="BD157" s="48">
        <f t="shared" ca="1" si="150"/>
        <v>0</v>
      </c>
      <c r="BF157" s="48">
        <f t="shared" ca="1" si="151"/>
        <v>0</v>
      </c>
      <c r="BH157" s="48">
        <f t="shared" ca="1" si="152"/>
        <v>0</v>
      </c>
      <c r="BJ157" s="48">
        <f t="shared" ca="1" si="153"/>
        <v>0</v>
      </c>
      <c r="BL157" s="48">
        <f t="shared" ca="1" si="155"/>
        <v>0</v>
      </c>
    </row>
    <row r="158" spans="2:64" ht="13" x14ac:dyDescent="0.3">
      <c r="D158" s="1" t="s">
        <v>143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6"/>
        <v>0</v>
      </c>
      <c r="AL158" s="25" t="str">
        <f t="shared" si="158"/>
        <v/>
      </c>
      <c r="AM158" s="49"/>
      <c r="AR158" s="48">
        <f t="shared" si="144"/>
        <v>0</v>
      </c>
      <c r="AT158" s="48">
        <f t="shared" si="145"/>
        <v>0</v>
      </c>
      <c r="AV158" s="48">
        <f t="shared" si="146"/>
        <v>0</v>
      </c>
      <c r="AX158" s="48">
        <f t="shared" si="147"/>
        <v>0</v>
      </c>
      <c r="AZ158" s="48">
        <f t="shared" si="148"/>
        <v>0</v>
      </c>
      <c r="BB158" s="48">
        <f t="shared" si="149"/>
        <v>0</v>
      </c>
      <c r="BD158" s="48">
        <f t="shared" si="150"/>
        <v>0</v>
      </c>
      <c r="BF158" s="48">
        <f t="shared" si="151"/>
        <v>0</v>
      </c>
      <c r="BH158" s="48">
        <f t="shared" si="152"/>
        <v>0</v>
      </c>
      <c r="BJ158" s="48">
        <f t="shared" si="153"/>
        <v>0</v>
      </c>
      <c r="BL158" s="48">
        <f t="shared" si="155"/>
        <v>0</v>
      </c>
    </row>
    <row r="159" spans="2:64" ht="13" x14ac:dyDescent="0.3">
      <c r="B159" s="18">
        <f>B157+1</f>
        <v>100</v>
      </c>
      <c r="D159" s="35" t="s">
        <v>144</v>
      </c>
      <c r="F159" s="48">
        <f ca="1">Function!V159</f>
        <v>151458.62512828552</v>
      </c>
      <c r="H159" s="76">
        <f>'Function Factors'!L19</f>
        <v>427.13051271001717</v>
      </c>
      <c r="J159" s="2" t="s">
        <v>307</v>
      </c>
      <c r="K159" s="70">
        <f>_xlfn.IFNA(MATCH(J159,'Dist Factors'!$B$15:$B$431,0),0)</f>
        <v>11</v>
      </c>
      <c r="L159" s="48">
        <f t="shared" ref="L159:L160" ca="1" si="174">F159-H159</f>
        <v>151031.4946155755</v>
      </c>
      <c r="N159" s="18" t="s">
        <v>309</v>
      </c>
      <c r="O159" s="70">
        <f>_xlfn.IFNA(MATCH(N159,'Dist Factors'!$B$15:$B$431,0),0)</f>
        <v>29</v>
      </c>
      <c r="P159" s="20">
        <f ca="1">OFFSET('Dist Factors'!$B$15,$O159-1,P$14)*$L159+OFFSET('Dist Factors'!$B$15,$K159-1,P$14)*$H159</f>
        <v>16123.55916817767</v>
      </c>
      <c r="R159" s="20">
        <f ca="1">OFFSET('Dist Factors'!$B$15,$O159-1,R$14)*$L159+OFFSET('Dist Factors'!$B$15,$K159-1,R$14)*$H159</f>
        <v>3083.8654561232379</v>
      </c>
      <c r="S159" s="20"/>
      <c r="T159" s="20">
        <f ca="1">OFFSET('Dist Factors'!$B$15,$O159-1,T$14)*$L159+OFFSET('Dist Factors'!$B$15,$K159-1,T$14)*$H159</f>
        <v>18770.362550823862</v>
      </c>
      <c r="U159" s="20"/>
      <c r="V159" s="20">
        <f ca="1">OFFSET('Dist Factors'!$B$15,$O159-1,V$14)*$L159+OFFSET('Dist Factors'!$B$15,$K159-1,V$14)*$H159</f>
        <v>15450.631284303168</v>
      </c>
      <c r="W159" s="9"/>
      <c r="X159" s="20">
        <f ca="1">OFFSET('Dist Factors'!$B$15,$O159-1,X$14)*$L159+OFFSET('Dist Factors'!$B$15,$K159-1,X$14)*$H159</f>
        <v>19053.389095259787</v>
      </c>
      <c r="Y159" s="9"/>
      <c r="Z159" s="20">
        <f ca="1">OFFSET('Dist Factors'!$B$15,$O159-1,Z$14)*$L159+OFFSET('Dist Factors'!$B$15,$K159-1,Z$14)*$H159</f>
        <v>29461.926867395039</v>
      </c>
      <c r="AA159" s="20"/>
      <c r="AB159" s="20">
        <f ca="1">OFFSET('Dist Factors'!$B$15,$O159-1,AB$14)*$L159+OFFSET('Dist Factors'!$B$15,$K159-1,AB$14)*$H159</f>
        <v>12635.927051838729</v>
      </c>
      <c r="AC159" s="9"/>
      <c r="AD159" s="20">
        <f ca="1">OFFSET('Dist Factors'!$B$15,$O159-1,AD$14)*$L159+OFFSET('Dist Factors'!$B$15,$K159-1,AD$14)*$H159</f>
        <v>2839.9369420136345</v>
      </c>
      <c r="AE159" s="9"/>
      <c r="AF159" s="20">
        <f ca="1">OFFSET('Dist Factors'!$B$15,$O159-1,AF$14)*$L159+OFFSET('Dist Factors'!$B$15,$K159-1,AF$14)*$H159</f>
        <v>34039.026712350409</v>
      </c>
      <c r="AG159" s="9"/>
      <c r="AH159" s="20">
        <f ca="1">OFFSET('Dist Factors'!$B$15,$O159-1,AH$14)*$L159+OFFSET('Dist Factors'!$B$15,$K159-1,AH$14)*$H159</f>
        <v>0</v>
      </c>
      <c r="AI159" s="9"/>
      <c r="AJ159" s="9">
        <f t="shared" ca="1" si="156"/>
        <v>151458.62512828555</v>
      </c>
      <c r="AL159" s="25" t="str">
        <f t="shared" ca="1" si="158"/>
        <v/>
      </c>
      <c r="AM159" s="49"/>
      <c r="AO159" s="89"/>
      <c r="AP159" s="96"/>
      <c r="AR159" s="48"/>
      <c r="AT159" s="48"/>
      <c r="AV159" s="48"/>
      <c r="AX159" s="48"/>
      <c r="AZ159" s="48"/>
      <c r="BB159" s="48"/>
      <c r="BD159" s="48"/>
      <c r="BF159" s="48"/>
      <c r="BH159" s="48"/>
      <c r="BJ159" s="48"/>
      <c r="BL159" s="48"/>
    </row>
    <row r="160" spans="2:64" ht="13" x14ac:dyDescent="0.3">
      <c r="B160" s="18">
        <f>B159+1</f>
        <v>101</v>
      </c>
      <c r="D160" s="35" t="s">
        <v>147</v>
      </c>
      <c r="F160" s="48">
        <f ca="1">Function!V160</f>
        <v>184250.05767693275</v>
      </c>
      <c r="H160" s="37">
        <f>'Function Factors'!L13</f>
        <v>1107.36012997326</v>
      </c>
      <c r="J160" s="2" t="s">
        <v>307</v>
      </c>
      <c r="K160" s="70">
        <f>_xlfn.IFNA(MATCH(J160,'Dist Factors'!$B$15:$B$431,0),0)</f>
        <v>11</v>
      </c>
      <c r="L160" s="48">
        <f t="shared" ca="1" si="174"/>
        <v>183142.69754695948</v>
      </c>
      <c r="N160" s="18" t="s">
        <v>310</v>
      </c>
      <c r="O160" s="70">
        <f>_xlfn.IFNA(MATCH(N160,'Dist Factors'!$B$15:$B$431,0),0)</f>
        <v>41</v>
      </c>
      <c r="P160" s="22">
        <f ca="1">OFFSET('Dist Factors'!$B$15,$O160-1,P$14)*$L160+OFFSET('Dist Factors'!$B$15,$K160-1,P$14)*$H160</f>
        <v>18600.280680683849</v>
      </c>
      <c r="R160" s="22">
        <f ca="1">OFFSET('Dist Factors'!$B$15,$O160-1,R$14)*$L160+OFFSET('Dist Factors'!$B$15,$K160-1,R$14)*$H160</f>
        <v>3557.5745074057636</v>
      </c>
      <c r="S160" s="22"/>
      <c r="T160" s="22">
        <f ca="1">OFFSET('Dist Factors'!$B$15,$O160-1,T$14)*$L160+OFFSET('Dist Factors'!$B$15,$K160-1,T$14)*$H160</f>
        <v>21653.656508582204</v>
      </c>
      <c r="U160" s="22"/>
      <c r="V160" s="22">
        <f ca="1">OFFSET('Dist Factors'!$B$15,$O160-1,V$14)*$L160+OFFSET('Dist Factors'!$B$15,$K160-1,V$14)*$H160</f>
        <v>15304.692369778437</v>
      </c>
      <c r="W160" s="13"/>
      <c r="X160" s="22">
        <f ca="1">OFFSET('Dist Factors'!$B$15,$O160-1,X$14)*$L160+OFFSET('Dist Factors'!$B$15,$K160-1,X$14)*$H160</f>
        <v>22237.552630959068</v>
      </c>
      <c r="Y160" s="9"/>
      <c r="Z160" s="20">
        <f ca="1">OFFSET('Dist Factors'!$B$15,$O160-1,Z$14)*$L160+OFFSET('Dist Factors'!$B$15,$K160-1,Z$14)*$H160</f>
        <v>34419.982039641953</v>
      </c>
      <c r="AA160" s="20"/>
      <c r="AB160" s="20">
        <f ca="1">OFFSET('Dist Factors'!$B$15,$O160-1,AB$14)*$L160+OFFSET('Dist Factors'!$B$15,$K160-1,AB$14)*$H160</f>
        <v>15997.030879782431</v>
      </c>
      <c r="AC160" s="9"/>
      <c r="AD160" s="20">
        <f ca="1">OFFSET('Dist Factors'!$B$15,$O160-1,AD$14)*$L160+OFFSET('Dist Factors'!$B$15,$K160-1,AD$14)*$H160</f>
        <v>3416.6690359990907</v>
      </c>
      <c r="AE160" s="9"/>
      <c r="AF160" s="20">
        <f ca="1">OFFSET('Dist Factors'!$B$15,$O160-1,AF$14)*$L160+OFFSET('Dist Factors'!$B$15,$K160-1,AF$14)*$H160</f>
        <v>49062.61902409992</v>
      </c>
      <c r="AG160" s="9"/>
      <c r="AH160" s="20">
        <f ca="1">OFFSET('Dist Factors'!$B$15,$O160-1,AH$14)*$L160+OFFSET('Dist Factors'!$B$15,$K160-1,AH$14)*$H160</f>
        <v>0</v>
      </c>
      <c r="AI160" s="9"/>
      <c r="AJ160" s="9">
        <f t="shared" ca="1" si="156"/>
        <v>184250.05767693275</v>
      </c>
      <c r="AL160" s="25" t="str">
        <f t="shared" ca="1" si="158"/>
        <v/>
      </c>
      <c r="AM160" s="49"/>
      <c r="AO160" s="89">
        <f>Function!AL160</f>
        <v>104984.30387066457</v>
      </c>
      <c r="AP160" s="96">
        <f ca="1">IFERROR(AO160/L160,0)</f>
        <v>0.57323772815864327</v>
      </c>
      <c r="AR160" s="48">
        <f ca="1">$AP160*P160</f>
        <v>10662.382640508313</v>
      </c>
      <c r="AT160" s="48">
        <f ca="1">$AP160*R160</f>
        <v>2039.3359283803843</v>
      </c>
      <c r="AV160" s="48">
        <f ca="1">$AP160*T160</f>
        <v>12412.692863307282</v>
      </c>
      <c r="AX160" s="48">
        <f ca="1">$AP160*V160</f>
        <v>8773.2270842187136</v>
      </c>
      <c r="AZ160" s="48">
        <f ca="1">$AP160*X160</f>
        <v>12747.404149979237</v>
      </c>
      <c r="BB160" s="48">
        <f ca="1">$AP160*Z160</f>
        <v>19730.832307665656</v>
      </c>
      <c r="BD160" s="48">
        <f ca="1">$AP160*AB160</f>
        <v>9170.1016388101434</v>
      </c>
      <c r="BF160" s="48">
        <f ca="1">$AP160*AD160</f>
        <v>1958.5635960661004</v>
      </c>
      <c r="BH160" s="48">
        <f ca="1">$AP160*(AF160-H160)</f>
        <v>27489.763661728739</v>
      </c>
      <c r="BJ160" s="48">
        <f ca="1">$AP160*AH160</f>
        <v>0</v>
      </c>
      <c r="BL160" s="48">
        <f t="shared" ca="1" si="155"/>
        <v>104984.30387066456</v>
      </c>
    </row>
    <row r="161" spans="2:64" ht="13" x14ac:dyDescent="0.3">
      <c r="AL161" s="25" t="str">
        <f t="shared" si="158"/>
        <v/>
      </c>
      <c r="AM161" s="49"/>
    </row>
    <row r="162" spans="2:64" ht="13" x14ac:dyDescent="0.3">
      <c r="B162" s="18">
        <f>B160+1</f>
        <v>102</v>
      </c>
      <c r="D162" s="1" t="s">
        <v>150</v>
      </c>
      <c r="F162" s="78">
        <f ca="1">SUM(F115:F160)</f>
        <v>946939.3723735325</v>
      </c>
      <c r="H162" s="78">
        <f>SUM(H115:H160)</f>
        <v>5563.8953516590282</v>
      </c>
      <c r="L162" s="78">
        <f ca="1">SUM(L115:L160)</f>
        <v>941375.47702187358</v>
      </c>
      <c r="P162" s="11">
        <f ca="1">SUM(P115:P160)</f>
        <v>87166.189613595823</v>
      </c>
      <c r="R162" s="11">
        <f ca="1">SUM(R115:R160)</f>
        <v>14623.361391208622</v>
      </c>
      <c r="S162" s="20"/>
      <c r="T162" s="11">
        <f ca="1">SUM(T115:T160)</f>
        <v>89007.059137322096</v>
      </c>
      <c r="U162" s="20"/>
      <c r="V162" s="11">
        <f ca="1">SUM(V115:V160)</f>
        <v>213837.25085384498</v>
      </c>
      <c r="X162" s="11">
        <f ca="1">SUM(X115:X160)</f>
        <v>91407.156168225498</v>
      </c>
      <c r="Z162" s="11">
        <f ca="1">SUM(Z115:Z160)</f>
        <v>141482.86575497035</v>
      </c>
      <c r="AB162" s="11">
        <f ca="1">SUM(AB115:AB160)</f>
        <v>65755.576799421135</v>
      </c>
      <c r="AD162" s="11">
        <f ca="1">SUM(AD115:AD160)</f>
        <v>14044.171376751005</v>
      </c>
      <c r="AF162" s="11">
        <f ca="1">SUM(AF115:AF160)</f>
        <v>211275.85789201714</v>
      </c>
      <c r="AH162" s="11">
        <f ca="1">SUM(AH115:AH160)</f>
        <v>18339.883386175716</v>
      </c>
      <c r="AJ162" s="11">
        <f ca="1">P162+R162+T162+V162+X162+Z162+AB162+AH162+AF162+AD162</f>
        <v>946939.37237353239</v>
      </c>
      <c r="AL162" s="25" t="str">
        <f ca="1">IF(ROUND(F162,4)=ROUND(AJ162,4), "", "check")</f>
        <v/>
      </c>
      <c r="AM162" s="49"/>
      <c r="AO162" s="90">
        <f ca="1">SUM(AO116:AO161)</f>
        <v>262900.4146806901</v>
      </c>
      <c r="AR162" s="90">
        <f ca="1">SUM(AR116:AR161)</f>
        <v>28066.267914728069</v>
      </c>
      <c r="AT162" s="90">
        <f ca="1">SUM(AT116:AT161)</f>
        <v>5368.0823943236283</v>
      </c>
      <c r="AV162" s="90">
        <f ca="1">SUM(AV116:AV161)</f>
        <v>32673.55667027599</v>
      </c>
      <c r="AX162" s="90">
        <f ca="1">SUM(AX116:AX161)</f>
        <v>26894.902828451814</v>
      </c>
      <c r="AZ162" s="90">
        <f ca="1">SUM(AZ116:AZ161)</f>
        <v>33166.220773794528</v>
      </c>
      <c r="BB162" s="90">
        <f ca="1">SUM(BB116:BB161)</f>
        <v>51284.355031017098</v>
      </c>
      <c r="BD162" s="90">
        <f ca="1">SUM(BD116:BD161)</f>
        <v>21995.349183684521</v>
      </c>
      <c r="BF162" s="90">
        <f ca="1">SUM(BF116:BF161)</f>
        <v>4943.4762042366647</v>
      </c>
      <c r="BH162" s="90">
        <f ca="1">SUM(BH116:BH161)</f>
        <v>58508.203680177816</v>
      </c>
      <c r="BJ162" s="90">
        <f ca="1">SUM(BJ116:BJ161)</f>
        <v>0</v>
      </c>
      <c r="BL162" s="90">
        <f ca="1">SUM(BL116:BL161)</f>
        <v>262900.4146806901</v>
      </c>
    </row>
    <row r="163" spans="2:64" ht="13" x14ac:dyDescent="0.3">
      <c r="S163" s="20"/>
      <c r="U163" s="20"/>
      <c r="AL163" s="25" t="str">
        <f t="shared" si="158"/>
        <v/>
      </c>
      <c r="AM163" s="49"/>
    </row>
    <row r="164" spans="2:64" ht="13.5" thickBot="1" x14ac:dyDescent="0.35">
      <c r="B164" s="18">
        <f>B162+1</f>
        <v>103</v>
      </c>
      <c r="D164" s="1" t="s">
        <v>151</v>
      </c>
      <c r="F164" s="80">
        <f ca="1">F162+F104+F109+F108+F97</f>
        <v>2464291.6658636788</v>
      </c>
      <c r="H164" s="80">
        <f>H162+H104+H109+H108+H97</f>
        <v>5563.8953516590282</v>
      </c>
      <c r="L164" s="80">
        <f ca="1">L162+L104+L109+L108+L97</f>
        <v>2458727.7705120197</v>
      </c>
      <c r="P164" s="34">
        <f ca="1">P162+P104+P109+P108+P97</f>
        <v>308037.74636037333</v>
      </c>
      <c r="R164" s="34">
        <f ca="1">R162+R104+R109+R108+R97</f>
        <v>56868.262593660387</v>
      </c>
      <c r="S164" s="20"/>
      <c r="T164" s="34">
        <f ca="1">T162+T104+T109+T108+T97</f>
        <v>344372.00780846307</v>
      </c>
      <c r="U164" s="20"/>
      <c r="V164" s="34">
        <f ca="1">V162+V104+V109+V108+V97</f>
        <v>216775.89918464425</v>
      </c>
      <c r="X164" s="34">
        <f ca="1">X162+X104+X109+X108+X97</f>
        <v>373864.90964815381</v>
      </c>
      <c r="Z164" s="34">
        <f ca="1">Z162+Z104+Z109+Z108+Z97</f>
        <v>583743.7291515196</v>
      </c>
      <c r="AB164" s="34">
        <f ca="1">AB162+AB104+AB109+AB108+AB97</f>
        <v>293237.9955716416</v>
      </c>
      <c r="AD164" s="34">
        <f ca="1">AD162+AD104+AD109+AD108+AD97</f>
        <v>48458.119684596852</v>
      </c>
      <c r="AF164" s="34">
        <f ca="1">AF162+AF104+AF109+AF108+AF97</f>
        <v>220593.11247445</v>
      </c>
      <c r="AH164" s="34">
        <f ca="1">AH162+AH104+AH109+AH108+AH97</f>
        <v>18339.883386175716</v>
      </c>
      <c r="AJ164" s="34">
        <f ca="1">AJ162+AJ104+AJ109+AJ108+AJ97</f>
        <v>2464291.6658636783</v>
      </c>
      <c r="AL164" s="25" t="str">
        <f t="shared" ca="1" si="158"/>
        <v/>
      </c>
      <c r="AM164" s="49"/>
    </row>
    <row r="165" spans="2:64" ht="13.5" thickTop="1" x14ac:dyDescent="0.3">
      <c r="F165" s="48"/>
      <c r="H165" s="48"/>
      <c r="L165" s="48"/>
      <c r="AL165" s="25" t="str">
        <f t="shared" si="158"/>
        <v/>
      </c>
      <c r="AM165" s="49"/>
    </row>
    <row r="166" spans="2:64" ht="13" x14ac:dyDescent="0.3">
      <c r="F166" s="48"/>
      <c r="H166" s="48"/>
      <c r="L166" s="48"/>
      <c r="AL166" s="25" t="str">
        <f t="shared" si="158"/>
        <v/>
      </c>
      <c r="AM166" s="49"/>
    </row>
    <row r="167" spans="2:64" ht="13" x14ac:dyDescent="0.3">
      <c r="F167" s="48"/>
      <c r="H167" s="48"/>
      <c r="L167" s="48"/>
      <c r="AL167" s="25" t="str">
        <f t="shared" si="158"/>
        <v/>
      </c>
      <c r="AM167" s="49"/>
    </row>
    <row r="168" spans="2:64" ht="13" x14ac:dyDescent="0.3">
      <c r="D168" s="6" t="s">
        <v>152</v>
      </c>
      <c r="AL168" s="25" t="str">
        <f t="shared" si="158"/>
        <v/>
      </c>
      <c r="AM168" s="49"/>
    </row>
    <row r="169" spans="2:64" ht="13" x14ac:dyDescent="0.3">
      <c r="D169" s="6"/>
      <c r="F169" s="48"/>
      <c r="H169" s="76"/>
      <c r="K169" s="70"/>
      <c r="L169" s="48"/>
      <c r="O169" s="70"/>
      <c r="P169" s="20"/>
      <c r="R169" s="20"/>
      <c r="S169" s="20"/>
      <c r="T169" s="20"/>
      <c r="U169" s="20"/>
      <c r="V169" s="20"/>
      <c r="W169" s="9"/>
      <c r="X169" s="20"/>
      <c r="Y169" s="9"/>
      <c r="Z169" s="20"/>
      <c r="AA169" s="20"/>
      <c r="AB169" s="20"/>
      <c r="AC169" s="9"/>
      <c r="AD169" s="20"/>
      <c r="AE169" s="9"/>
      <c r="AF169" s="20"/>
      <c r="AG169" s="9"/>
      <c r="AH169" s="20"/>
      <c r="AI169" s="9"/>
      <c r="AJ169" s="20"/>
      <c r="AL169" s="25" t="str">
        <f t="shared" si="158"/>
        <v/>
      </c>
      <c r="AM169" s="49"/>
    </row>
    <row r="170" spans="2:64" ht="13" x14ac:dyDescent="0.3">
      <c r="B170" s="18">
        <f>B164+1</f>
        <v>104</v>
      </c>
      <c r="D170" s="1" t="s">
        <v>153</v>
      </c>
      <c r="F170" s="48">
        <f ca="1">Function!V170</f>
        <v>0</v>
      </c>
      <c r="H170" s="76"/>
      <c r="K170" s="70">
        <f>_xlfn.IFNA(MATCH(J170,'Dist Factors'!$B$15:$B$431,0),0)</f>
        <v>0</v>
      </c>
      <c r="L170" s="48">
        <f t="shared" ref="L170:L176" ca="1" si="175">F170-H170</f>
        <v>0</v>
      </c>
      <c r="O170" s="70">
        <f>_xlfn.IFNA(MATCH(N170,'Dist Factors'!$B$15:$B$431,0),0)</f>
        <v>0</v>
      </c>
      <c r="P170" s="20">
        <f ca="1">OFFSET('Dist Factors'!$B$15,$O170-1,P$14)*$L170+OFFSET('Dist Factors'!$B$15,$K170-1,P$14)*$H170</f>
        <v>0</v>
      </c>
      <c r="R170" s="20">
        <f ca="1">OFFSET('Dist Factors'!$B$15,$O170-1,R$14)*$L170+OFFSET('Dist Factors'!$B$15,$K170-1,R$14)*$H170</f>
        <v>0</v>
      </c>
      <c r="S170" s="20"/>
      <c r="T170" s="20">
        <f ca="1">OFFSET('Dist Factors'!$B$15,$O170-1,T$14)*$L170+OFFSET('Dist Factors'!$B$15,$K170-1,T$14)*$H170</f>
        <v>0</v>
      </c>
      <c r="U170" s="20"/>
      <c r="V170" s="20">
        <f ca="1">OFFSET('Dist Factors'!$B$15,$O170-1,V$14)*$L170+OFFSET('Dist Factors'!$B$15,$K170-1,V$14)*$H170</f>
        <v>0</v>
      </c>
      <c r="W170" s="9"/>
      <c r="X170" s="20">
        <f ca="1">OFFSET('Dist Factors'!$B$15,$O170-1,X$14)*$L170+OFFSET('Dist Factors'!$B$15,$K170-1,X$14)*$H170</f>
        <v>0</v>
      </c>
      <c r="Y170" s="9"/>
      <c r="Z170" s="20">
        <f ca="1">OFFSET('Dist Factors'!$B$15,$O170-1,Z$14)*$L170+OFFSET('Dist Factors'!$B$15,$K170-1,Z$14)*$H170</f>
        <v>0</v>
      </c>
      <c r="AA170" s="20"/>
      <c r="AB170" s="20">
        <f ca="1">OFFSET('Dist Factors'!$B$15,$O170-1,AB$14)*$L170+OFFSET('Dist Factors'!$B$15,$K170-1,AB$14)*$H170</f>
        <v>0</v>
      </c>
      <c r="AC170" s="9"/>
      <c r="AD170" s="20">
        <f ca="1">OFFSET('Dist Factors'!$B$15,$O170-1,AD$14)*$L170+OFFSET('Dist Factors'!$B$15,$K170-1,AD$14)*$H170</f>
        <v>0</v>
      </c>
      <c r="AE170" s="9"/>
      <c r="AF170" s="20">
        <f ca="1">OFFSET('Dist Factors'!$B$15,$O170-1,AF$14)*$L170+OFFSET('Dist Factors'!$B$15,$K170-1,AF$14)*$H170</f>
        <v>0</v>
      </c>
      <c r="AG170" s="9"/>
      <c r="AH170" s="20">
        <f ca="1">OFFSET('Dist Factors'!$B$15,$O170-1,AH$14)*$L170+OFFSET('Dist Factors'!$B$15,$K170-1,AH$14)*$H170</f>
        <v>0</v>
      </c>
      <c r="AI170" s="9"/>
      <c r="AJ170" s="20">
        <f t="shared" ref="AJ170:AJ177" ca="1" si="176">P170+R170+T170+V170+X170+Z170+AB170+AD170+AF170+AH170</f>
        <v>0</v>
      </c>
      <c r="AL170" s="25" t="str">
        <f t="shared" ca="1" si="158"/>
        <v/>
      </c>
      <c r="AM170" s="49"/>
    </row>
    <row r="171" spans="2:64" ht="13" x14ac:dyDescent="0.3">
      <c r="B171" s="18">
        <f t="shared" ref="B171:B176" si="177">B170+1</f>
        <v>105</v>
      </c>
      <c r="D171" s="1" t="s">
        <v>154</v>
      </c>
      <c r="F171" s="48">
        <f ca="1">Function!V171</f>
        <v>0</v>
      </c>
      <c r="H171" s="76"/>
      <c r="J171" s="2"/>
      <c r="K171" s="70">
        <f>_xlfn.IFNA(MATCH(J171,'Dist Factors'!$B$15:$B$431,0),0)</f>
        <v>0</v>
      </c>
      <c r="L171" s="48">
        <f t="shared" ca="1" si="175"/>
        <v>0</v>
      </c>
      <c r="O171" s="70">
        <f>_xlfn.IFNA(MATCH(N171,'Dist Factors'!$B$15:$B$431,0),0)</f>
        <v>0</v>
      </c>
      <c r="P171" s="20">
        <f ca="1">OFFSET('Dist Factors'!$B$15,$O171-1,P$14)*$L171+OFFSET('Dist Factors'!$B$15,$K171-1,P$14)*$H171</f>
        <v>0</v>
      </c>
      <c r="R171" s="20">
        <f ca="1">OFFSET('Dist Factors'!$B$15,$O171-1,R$14)*$L171+OFFSET('Dist Factors'!$B$15,$K171-1,R$14)*$H171</f>
        <v>0</v>
      </c>
      <c r="S171" s="20"/>
      <c r="T171" s="20">
        <f ca="1">OFFSET('Dist Factors'!$B$15,$O171-1,T$14)*$L171+OFFSET('Dist Factors'!$B$15,$K171-1,T$14)*$H171</f>
        <v>0</v>
      </c>
      <c r="U171" s="20"/>
      <c r="V171" s="20">
        <f ca="1">OFFSET('Dist Factors'!$B$15,$O171-1,V$14)*$L171+OFFSET('Dist Factors'!$B$15,$K171-1,V$14)*$H171</f>
        <v>0</v>
      </c>
      <c r="W171" s="9"/>
      <c r="X171" s="20">
        <f ca="1">OFFSET('Dist Factors'!$B$15,$O171-1,X$14)*$L171+OFFSET('Dist Factors'!$B$15,$K171-1,X$14)*$H171</f>
        <v>0</v>
      </c>
      <c r="Y171" s="9"/>
      <c r="Z171" s="20">
        <f ca="1">OFFSET('Dist Factors'!$B$15,$O171-1,Z$14)*$L171+OFFSET('Dist Factors'!$B$15,$K171-1,Z$14)*$H171</f>
        <v>0</v>
      </c>
      <c r="AA171" s="20"/>
      <c r="AB171" s="20">
        <f ca="1">OFFSET('Dist Factors'!$B$15,$O171-1,AB$14)*$L171+OFFSET('Dist Factors'!$B$15,$K171-1,AB$14)*$H171</f>
        <v>0</v>
      </c>
      <c r="AC171" s="9"/>
      <c r="AD171" s="20">
        <f ca="1">OFFSET('Dist Factors'!$B$15,$O171-1,AD$14)*$L171+OFFSET('Dist Factors'!$B$15,$K171-1,AD$14)*$H171</f>
        <v>0</v>
      </c>
      <c r="AE171" s="9"/>
      <c r="AF171" s="20">
        <f ca="1">OFFSET('Dist Factors'!$B$15,$O171-1,AF$14)*$L171+OFFSET('Dist Factors'!$B$15,$K171-1,AF$14)*$H171</f>
        <v>0</v>
      </c>
      <c r="AG171" s="9"/>
      <c r="AH171" s="20">
        <f ca="1">OFFSET('Dist Factors'!$B$15,$O171-1,AH$14)*$L171+OFFSET('Dist Factors'!$B$15,$K171-1,AH$14)*$H171</f>
        <v>0</v>
      </c>
      <c r="AI171" s="9"/>
      <c r="AJ171" s="20">
        <f t="shared" ca="1" si="176"/>
        <v>0</v>
      </c>
      <c r="AL171" s="25" t="str">
        <f t="shared" ca="1" si="158"/>
        <v/>
      </c>
      <c r="AM171" s="49"/>
    </row>
    <row r="172" spans="2:64" ht="13" x14ac:dyDescent="0.3">
      <c r="B172" s="18">
        <f t="shared" si="177"/>
        <v>106</v>
      </c>
      <c r="D172" s="1" t="s">
        <v>155</v>
      </c>
      <c r="F172" s="48">
        <f ca="1">Function!V172</f>
        <v>0</v>
      </c>
      <c r="H172" s="76"/>
      <c r="J172" s="2"/>
      <c r="K172" s="70">
        <f>_xlfn.IFNA(MATCH(J172,'Dist Factors'!$B$15:$B$431,0),0)</f>
        <v>0</v>
      </c>
      <c r="L172" s="48">
        <f t="shared" ca="1" si="175"/>
        <v>0</v>
      </c>
      <c r="O172" s="70">
        <f>_xlfn.IFNA(MATCH(N172,'Dist Factors'!$B$15:$B$431,0),0)</f>
        <v>0</v>
      </c>
      <c r="P172" s="20">
        <f ca="1">OFFSET('Dist Factors'!$B$15,$O172-1,P$14)*$L172+OFFSET('Dist Factors'!$B$15,$K172-1,P$14)*$H172</f>
        <v>0</v>
      </c>
      <c r="R172" s="20">
        <f ca="1">OFFSET('Dist Factors'!$B$15,$O172-1,R$14)*$L172+OFFSET('Dist Factors'!$B$15,$K172-1,R$14)*$H172</f>
        <v>0</v>
      </c>
      <c r="S172" s="20"/>
      <c r="T172" s="20">
        <f ca="1">OFFSET('Dist Factors'!$B$15,$O172-1,T$14)*$L172+OFFSET('Dist Factors'!$B$15,$K172-1,T$14)*$H172</f>
        <v>0</v>
      </c>
      <c r="U172" s="20"/>
      <c r="V172" s="20">
        <f ca="1">OFFSET('Dist Factors'!$B$15,$O172-1,V$14)*$L172+OFFSET('Dist Factors'!$B$15,$K172-1,V$14)*$H172</f>
        <v>0</v>
      </c>
      <c r="W172" s="9"/>
      <c r="X172" s="20">
        <f ca="1">OFFSET('Dist Factors'!$B$15,$O172-1,X$14)*$L172+OFFSET('Dist Factors'!$B$15,$K172-1,X$14)*$H172</f>
        <v>0</v>
      </c>
      <c r="Y172" s="9"/>
      <c r="Z172" s="20">
        <f ca="1">OFFSET('Dist Factors'!$B$15,$O172-1,Z$14)*$L172+OFFSET('Dist Factors'!$B$15,$K172-1,Z$14)*$H172</f>
        <v>0</v>
      </c>
      <c r="AA172" s="20"/>
      <c r="AB172" s="20">
        <f ca="1">OFFSET('Dist Factors'!$B$15,$O172-1,AB$14)*$L172+OFFSET('Dist Factors'!$B$15,$K172-1,AB$14)*$H172</f>
        <v>0</v>
      </c>
      <c r="AC172" s="9"/>
      <c r="AD172" s="20">
        <f ca="1">OFFSET('Dist Factors'!$B$15,$O172-1,AD$14)*$L172+OFFSET('Dist Factors'!$B$15,$K172-1,AD$14)*$H172</f>
        <v>0</v>
      </c>
      <c r="AE172" s="9"/>
      <c r="AF172" s="20">
        <f ca="1">OFFSET('Dist Factors'!$B$15,$O172-1,AF$14)*$L172+OFFSET('Dist Factors'!$B$15,$K172-1,AF$14)*$H172</f>
        <v>0</v>
      </c>
      <c r="AG172" s="9"/>
      <c r="AH172" s="20">
        <f ca="1">OFFSET('Dist Factors'!$B$15,$O172-1,AH$14)*$L172+OFFSET('Dist Factors'!$B$15,$K172-1,AH$14)*$H172</f>
        <v>0</v>
      </c>
      <c r="AI172" s="9"/>
      <c r="AJ172" s="20">
        <f t="shared" ca="1" si="176"/>
        <v>0</v>
      </c>
      <c r="AL172" s="25" t="str">
        <f t="shared" ca="1" si="158"/>
        <v/>
      </c>
      <c r="AM172" s="49"/>
    </row>
    <row r="173" spans="2:64" ht="13" x14ac:dyDescent="0.3">
      <c r="B173" s="18">
        <f t="shared" si="177"/>
        <v>107</v>
      </c>
      <c r="D173" s="1" t="s">
        <v>156</v>
      </c>
      <c r="F173" s="48">
        <f ca="1">Function!V173</f>
        <v>26870.623617239937</v>
      </c>
      <c r="H173" s="76"/>
      <c r="J173" s="2"/>
      <c r="K173" s="70">
        <f>_xlfn.IFNA(MATCH(J173,'Dist Factors'!$B$15:$B$431,0),0)</f>
        <v>0</v>
      </c>
      <c r="L173" s="48">
        <f t="shared" ca="1" si="175"/>
        <v>26870.623617239937</v>
      </c>
      <c r="N173" s="18" t="s">
        <v>307</v>
      </c>
      <c r="O173" s="70">
        <f>_xlfn.IFNA(MATCH(N173,'Dist Factors'!$B$15:$B$431,0),0)</f>
        <v>11</v>
      </c>
      <c r="P173" s="20">
        <f ca="1">OFFSET('Dist Factors'!$B$15,$O173-1,P$14)*$L173+OFFSET('Dist Factors'!$B$15,$K173-1,P$14)*$H173</f>
        <v>0</v>
      </c>
      <c r="R173" s="20">
        <f ca="1">OFFSET('Dist Factors'!$B$15,$O173-1,R$14)*$L173+OFFSET('Dist Factors'!$B$15,$K173-1,R$14)*$H173</f>
        <v>0</v>
      </c>
      <c r="S173" s="20"/>
      <c r="T173" s="20">
        <f ca="1">OFFSET('Dist Factors'!$B$15,$O173-1,T$14)*$L173+OFFSET('Dist Factors'!$B$15,$K173-1,T$14)*$H173</f>
        <v>0</v>
      </c>
      <c r="U173" s="20"/>
      <c r="V173" s="20">
        <f ca="1">OFFSET('Dist Factors'!$B$15,$O173-1,V$14)*$L173+OFFSET('Dist Factors'!$B$15,$K173-1,V$14)*$H173</f>
        <v>0</v>
      </c>
      <c r="W173" s="9"/>
      <c r="X173" s="20">
        <f ca="1">OFFSET('Dist Factors'!$B$15,$O173-1,X$14)*$L173+OFFSET('Dist Factors'!$B$15,$K173-1,X$14)*$H173</f>
        <v>0</v>
      </c>
      <c r="Y173" s="9"/>
      <c r="Z173" s="20">
        <f ca="1">OFFSET('Dist Factors'!$B$15,$O173-1,Z$14)*$L173+OFFSET('Dist Factors'!$B$15,$K173-1,Z$14)*$H173</f>
        <v>0</v>
      </c>
      <c r="AA173" s="20"/>
      <c r="AB173" s="20">
        <f ca="1">OFFSET('Dist Factors'!$B$15,$O173-1,AB$14)*$L173+OFFSET('Dist Factors'!$B$15,$K173-1,AB$14)*$H173</f>
        <v>0</v>
      </c>
      <c r="AC173" s="9"/>
      <c r="AD173" s="20">
        <f ca="1">OFFSET('Dist Factors'!$B$15,$O173-1,AD$14)*$L173+OFFSET('Dist Factors'!$B$15,$K173-1,AD$14)*$H173</f>
        <v>0</v>
      </c>
      <c r="AE173" s="9"/>
      <c r="AF173" s="20">
        <f ca="1">OFFSET('Dist Factors'!$B$15,$O173-1,AF$14)*$L173+OFFSET('Dist Factors'!$B$15,$K173-1,AF$14)*$H173</f>
        <v>26870.623617239937</v>
      </c>
      <c r="AG173" s="9"/>
      <c r="AH173" s="20">
        <f ca="1">OFFSET('Dist Factors'!$B$15,$O173-1,AH$14)*$L173+OFFSET('Dist Factors'!$B$15,$K173-1,AH$14)*$H173</f>
        <v>0</v>
      </c>
      <c r="AI173" s="9"/>
      <c r="AJ173" s="20">
        <f t="shared" ca="1" si="176"/>
        <v>26870.623617239937</v>
      </c>
      <c r="AL173" s="25" t="str">
        <f ca="1">IF(ROUND(F173,4)=ROUND(AJ173,4), "", "check")</f>
        <v/>
      </c>
      <c r="AM173" s="49"/>
    </row>
    <row r="174" spans="2:64" ht="13" x14ac:dyDescent="0.3">
      <c r="B174" s="18">
        <f t="shared" si="177"/>
        <v>108</v>
      </c>
      <c r="D174" s="1" t="s">
        <v>157</v>
      </c>
      <c r="F174" s="48">
        <f ca="1">Function!V174</f>
        <v>14283.139384300001</v>
      </c>
      <c r="H174" s="76"/>
      <c r="J174" s="2"/>
      <c r="K174" s="70">
        <f>_xlfn.IFNA(MATCH(J174,'Dist Factors'!$B$15:$B$431,0),0)</f>
        <v>0</v>
      </c>
      <c r="L174" s="48">
        <f t="shared" ca="1" si="175"/>
        <v>14283.139384300001</v>
      </c>
      <c r="N174" s="18" t="s">
        <v>307</v>
      </c>
      <c r="O174" s="70">
        <f>_xlfn.IFNA(MATCH(N174,'Dist Factors'!$B$15:$B$431,0),0)</f>
        <v>11</v>
      </c>
      <c r="P174" s="20">
        <f ca="1">OFFSET('Dist Factors'!$B$15,$O174-1,P$14)*$L174+OFFSET('Dist Factors'!$B$15,$K174-1,P$14)*$H174</f>
        <v>0</v>
      </c>
      <c r="R174" s="20">
        <f ca="1">OFFSET('Dist Factors'!$B$15,$O174-1,R$14)*$L174+OFFSET('Dist Factors'!$B$15,$K174-1,R$14)*$H174</f>
        <v>0</v>
      </c>
      <c r="S174" s="20"/>
      <c r="T174" s="20">
        <f ca="1">OFFSET('Dist Factors'!$B$15,$O174-1,T$14)*$L174+OFFSET('Dist Factors'!$B$15,$K174-1,T$14)*$H174</f>
        <v>0</v>
      </c>
      <c r="U174" s="20"/>
      <c r="V174" s="20">
        <f ca="1">OFFSET('Dist Factors'!$B$15,$O174-1,V$14)*$L174+OFFSET('Dist Factors'!$B$15,$K174-1,V$14)*$H174</f>
        <v>0</v>
      </c>
      <c r="W174" s="9"/>
      <c r="X174" s="20">
        <f ca="1">OFFSET('Dist Factors'!$B$15,$O174-1,X$14)*$L174+OFFSET('Dist Factors'!$B$15,$K174-1,X$14)*$H174</f>
        <v>0</v>
      </c>
      <c r="Y174" s="9"/>
      <c r="Z174" s="20">
        <f ca="1">OFFSET('Dist Factors'!$B$15,$O174-1,Z$14)*$L174+OFFSET('Dist Factors'!$B$15,$K174-1,Z$14)*$H174</f>
        <v>0</v>
      </c>
      <c r="AA174" s="20"/>
      <c r="AB174" s="20">
        <f ca="1">OFFSET('Dist Factors'!$B$15,$O174-1,AB$14)*$L174+OFFSET('Dist Factors'!$B$15,$K174-1,AB$14)*$H174</f>
        <v>0</v>
      </c>
      <c r="AC174" s="9"/>
      <c r="AD174" s="20">
        <f ca="1">OFFSET('Dist Factors'!$B$15,$O174-1,AD$14)*$L174+OFFSET('Dist Factors'!$B$15,$K174-1,AD$14)*$H174</f>
        <v>0</v>
      </c>
      <c r="AE174" s="9"/>
      <c r="AF174" s="20">
        <f ca="1">OFFSET('Dist Factors'!$B$15,$O174-1,AF$14)*$L174+OFFSET('Dist Factors'!$B$15,$K174-1,AF$14)*$H174</f>
        <v>14283.139384300001</v>
      </c>
      <c r="AG174" s="9"/>
      <c r="AH174" s="20">
        <f ca="1">OFFSET('Dist Factors'!$B$15,$O174-1,AH$14)*$L174+OFFSET('Dist Factors'!$B$15,$K174-1,AH$14)*$H174</f>
        <v>0</v>
      </c>
      <c r="AI174" s="9"/>
      <c r="AJ174" s="20">
        <f t="shared" ca="1" si="176"/>
        <v>14283.139384300001</v>
      </c>
      <c r="AL174" s="25" t="str">
        <f t="shared" ca="1" si="158"/>
        <v/>
      </c>
      <c r="AM174" s="49"/>
    </row>
    <row r="175" spans="2:64" ht="13" x14ac:dyDescent="0.3">
      <c r="B175" s="18">
        <f t="shared" si="177"/>
        <v>109</v>
      </c>
      <c r="D175" s="1" t="s">
        <v>158</v>
      </c>
      <c r="F175" s="48">
        <f ca="1">Function!V175</f>
        <v>17761.652743977927</v>
      </c>
      <c r="H175" s="76"/>
      <c r="J175" s="2"/>
      <c r="K175" s="70">
        <f>_xlfn.IFNA(MATCH(J175,'Dist Factors'!$B$15:$B$431,0),0)</f>
        <v>0</v>
      </c>
      <c r="L175" s="48">
        <f t="shared" ca="1" si="175"/>
        <v>17761.652743977927</v>
      </c>
      <c r="N175" s="18" t="s">
        <v>307</v>
      </c>
      <c r="O175" s="70">
        <f>_xlfn.IFNA(MATCH(N175,'Dist Factors'!$B$15:$B$431,0),0)</f>
        <v>11</v>
      </c>
      <c r="P175" s="20">
        <f ca="1">OFFSET('Dist Factors'!$B$15,$O175-1,P$14)*$L175+OFFSET('Dist Factors'!$B$15,$K175-1,P$14)*$H175</f>
        <v>0</v>
      </c>
      <c r="R175" s="20">
        <f ca="1">OFFSET('Dist Factors'!$B$15,$O175-1,R$14)*$L175+OFFSET('Dist Factors'!$B$15,$K175-1,R$14)*$H175</f>
        <v>0</v>
      </c>
      <c r="S175" s="20"/>
      <c r="T175" s="20">
        <f ca="1">OFFSET('Dist Factors'!$B$15,$O175-1,T$14)*$L175+OFFSET('Dist Factors'!$B$15,$K175-1,T$14)*$H175</f>
        <v>0</v>
      </c>
      <c r="U175" s="20"/>
      <c r="V175" s="20">
        <f ca="1">OFFSET('Dist Factors'!$B$15,$O175-1,V$14)*$L175+OFFSET('Dist Factors'!$B$15,$K175-1,V$14)*$H175</f>
        <v>0</v>
      </c>
      <c r="W175" s="9"/>
      <c r="X175" s="20">
        <f ca="1">OFFSET('Dist Factors'!$B$15,$O175-1,X$14)*$L175+OFFSET('Dist Factors'!$B$15,$K175-1,X$14)*$H175</f>
        <v>0</v>
      </c>
      <c r="Y175" s="9"/>
      <c r="Z175" s="20">
        <f ca="1">OFFSET('Dist Factors'!$B$15,$O175-1,Z$14)*$L175+OFFSET('Dist Factors'!$B$15,$K175-1,Z$14)*$H175</f>
        <v>0</v>
      </c>
      <c r="AA175" s="20"/>
      <c r="AB175" s="20">
        <f ca="1">OFFSET('Dist Factors'!$B$15,$O175-1,AB$14)*$L175+OFFSET('Dist Factors'!$B$15,$K175-1,AB$14)*$H175</f>
        <v>0</v>
      </c>
      <c r="AC175" s="9"/>
      <c r="AD175" s="20">
        <f ca="1">OFFSET('Dist Factors'!$B$15,$O175-1,AD$14)*$L175+OFFSET('Dist Factors'!$B$15,$K175-1,AD$14)*$H175</f>
        <v>0</v>
      </c>
      <c r="AE175" s="9"/>
      <c r="AF175" s="20">
        <f ca="1">OFFSET('Dist Factors'!$B$15,$O175-1,AF$14)*$L175+OFFSET('Dist Factors'!$B$15,$K175-1,AF$14)*$H175</f>
        <v>17761.652743977927</v>
      </c>
      <c r="AG175" s="9"/>
      <c r="AH175" s="20">
        <f ca="1">OFFSET('Dist Factors'!$B$15,$O175-1,AH$14)*$L175+OFFSET('Dist Factors'!$B$15,$K175-1,AH$14)*$H175</f>
        <v>0</v>
      </c>
      <c r="AI175" s="9"/>
      <c r="AJ175" s="20">
        <f t="shared" ca="1" si="176"/>
        <v>17761.652743977927</v>
      </c>
      <c r="AL175" s="25" t="str">
        <f t="shared" ca="1" si="158"/>
        <v/>
      </c>
      <c r="AM175" s="49"/>
    </row>
    <row r="176" spans="2:64" ht="13" x14ac:dyDescent="0.3">
      <c r="B176" s="18">
        <f t="shared" si="177"/>
        <v>110</v>
      </c>
      <c r="D176" s="1" t="s">
        <v>159</v>
      </c>
      <c r="F176" s="48">
        <f ca="1">Function!V176</f>
        <v>6017.1693334783249</v>
      </c>
      <c r="H176" s="76">
        <v>3019.5891666666666</v>
      </c>
      <c r="J176" s="2" t="s">
        <v>294</v>
      </c>
      <c r="K176" s="70">
        <f>_xlfn.IFNA(MATCH(J176,'Dist Factors'!$B$15:$B$431,0),0)</f>
        <v>14</v>
      </c>
      <c r="L176" s="48">
        <f t="shared" ca="1" si="175"/>
        <v>2997.5801668116583</v>
      </c>
      <c r="N176" s="18" t="s">
        <v>311</v>
      </c>
      <c r="O176" s="70">
        <f>_xlfn.IFNA(MATCH(N176,'Dist Factors'!$B$15:$B$431,0),0)</f>
        <v>2</v>
      </c>
      <c r="P176" s="20">
        <f ca="1">OFFSET('Dist Factors'!$B$15,$O176-1,P$14)*$L176+OFFSET('Dist Factors'!$B$15,$K176-1,P$14)*$H176</f>
        <v>0</v>
      </c>
      <c r="R176" s="20">
        <f ca="1">OFFSET('Dist Factors'!$B$15,$O176-1,R$14)*$L176+OFFSET('Dist Factors'!$B$15,$K176-1,R$14)*$H176</f>
        <v>0</v>
      </c>
      <c r="S176" s="20"/>
      <c r="T176" s="20">
        <f ca="1">OFFSET('Dist Factors'!$B$15,$O176-1,T$14)*$L176+OFFSET('Dist Factors'!$B$15,$K176-1,T$14)*$H176</f>
        <v>628.03266710473531</v>
      </c>
      <c r="U176" s="20"/>
      <c r="V176" s="20">
        <f ca="1">OFFSET('Dist Factors'!$B$15,$O176-1,V$14)*$L176+OFFSET('Dist Factors'!$B$15,$K176-1,V$14)*$H176</f>
        <v>0</v>
      </c>
      <c r="W176" s="9"/>
      <c r="X176" s="20">
        <f ca="1">OFFSET('Dist Factors'!$B$15,$O176-1,X$14)*$L176+OFFSET('Dist Factors'!$B$15,$K176-1,X$14)*$H176</f>
        <v>681.81899521227774</v>
      </c>
      <c r="Y176" s="9"/>
      <c r="Z176" s="20">
        <f ca="1">OFFSET('Dist Factors'!$B$15,$O176-1,Z$14)*$L176+OFFSET('Dist Factors'!$B$15,$K176-1,Z$14)*$H176</f>
        <v>1064.5758737992396</v>
      </c>
      <c r="AA176" s="20"/>
      <c r="AB176" s="20">
        <f ca="1">OFFSET('Dist Factors'!$B$15,$O176-1,AB$14)*$L176+OFFSET('Dist Factors'!$B$15,$K176-1,AB$14)*$H176</f>
        <v>534.77935569529404</v>
      </c>
      <c r="AC176" s="9"/>
      <c r="AD176" s="20">
        <f ca="1">OFFSET('Dist Factors'!$B$15,$O176-1,AD$14)*$L176+OFFSET('Dist Factors'!$B$15,$K176-1,AD$14)*$H176</f>
        <v>3107.962441666778</v>
      </c>
      <c r="AE176" s="9"/>
      <c r="AF176" s="20">
        <f ca="1">OFFSET('Dist Factors'!$B$15,$O176-1,AF$14)*$L176+OFFSET('Dist Factors'!$B$15,$K176-1,AF$14)*$H176</f>
        <v>0</v>
      </c>
      <c r="AG176" s="9"/>
      <c r="AH176" s="20">
        <f ca="1">OFFSET('Dist Factors'!$B$15,$O176-1,AH$14)*$L176+OFFSET('Dist Factors'!$B$15,$K176-1,AH$14)*$H176</f>
        <v>0</v>
      </c>
      <c r="AI176" s="9"/>
      <c r="AJ176" s="20">
        <f t="shared" ca="1" si="176"/>
        <v>6017.1693334783249</v>
      </c>
      <c r="AL176" s="25" t="str">
        <f t="shared" ca="1" si="158"/>
        <v/>
      </c>
      <c r="AM176" s="49"/>
    </row>
    <row r="177" spans="2:39" ht="13" x14ac:dyDescent="0.3">
      <c r="AE177" s="9"/>
      <c r="AG177" s="9"/>
      <c r="AJ177" s="1">
        <f t="shared" si="176"/>
        <v>0</v>
      </c>
      <c r="AL177" s="25" t="str">
        <f t="shared" si="158"/>
        <v/>
      </c>
      <c r="AM177" s="49"/>
    </row>
    <row r="178" spans="2:39" ht="13" x14ac:dyDescent="0.3">
      <c r="B178" s="18">
        <f>B176+1</f>
        <v>111</v>
      </c>
      <c r="D178" s="1" t="s">
        <v>160</v>
      </c>
      <c r="F178" s="40">
        <f ca="1">SUM(F170:F176)</f>
        <v>64932.585078996191</v>
      </c>
      <c r="H178" s="40">
        <f>SUM(H170:H176)</f>
        <v>3019.5891666666666</v>
      </c>
      <c r="J178" s="2"/>
      <c r="L178" s="40">
        <f ca="1">SUM(L170:L176)</f>
        <v>61912.995912329527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628.03266710473531</v>
      </c>
      <c r="U178" s="20"/>
      <c r="V178" s="10">
        <f ca="1">SUM(V170:V176)</f>
        <v>0</v>
      </c>
      <c r="X178" s="10">
        <f ca="1">SUM(X170:X176)</f>
        <v>681.81899521227774</v>
      </c>
      <c r="Z178" s="10">
        <f ca="1">SUM(Z170:Z176)</f>
        <v>1064.5758737992396</v>
      </c>
      <c r="AB178" s="10">
        <f ca="1">SUM(AB170:AB176)</f>
        <v>534.77935569529404</v>
      </c>
      <c r="AD178" s="10">
        <f ca="1">SUM(AD170:AD176)</f>
        <v>3107.962441666778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25" t="str">
        <f t="shared" ca="1" si="158"/>
        <v/>
      </c>
      <c r="AM178" s="49"/>
    </row>
    <row r="179" spans="2:39" ht="13" x14ac:dyDescent="0.3">
      <c r="S179" s="20"/>
      <c r="U179" s="20"/>
      <c r="AL179" s="25" t="str">
        <f t="shared" si="158"/>
        <v/>
      </c>
      <c r="AM179" s="49"/>
    </row>
    <row r="180" spans="2:39" ht="13.5" thickBot="1" x14ac:dyDescent="0.35">
      <c r="B180" s="18">
        <f>B178+1</f>
        <v>112</v>
      </c>
      <c r="D180" s="1" t="s">
        <v>161</v>
      </c>
      <c r="F180" s="80">
        <f ca="1">F164-F178</f>
        <v>2399359.0807846827</v>
      </c>
      <c r="H180" s="80">
        <f>H164-H178</f>
        <v>2544.3061849923615</v>
      </c>
      <c r="L180" s="80">
        <f ca="1">L164-L178</f>
        <v>2396814.77459969</v>
      </c>
      <c r="P180" s="34">
        <f ca="1">P164-P178</f>
        <v>308037.74636037333</v>
      </c>
      <c r="R180" s="34">
        <f ca="1">R164-R178</f>
        <v>56868.262593660387</v>
      </c>
      <c r="S180" s="20"/>
      <c r="T180" s="34">
        <f ca="1">T164-T178</f>
        <v>343743.97514135833</v>
      </c>
      <c r="U180" s="20"/>
      <c r="V180" s="34">
        <f ca="1">V164-V178</f>
        <v>216775.89918464425</v>
      </c>
      <c r="X180" s="34">
        <f ca="1">X164-X178</f>
        <v>373183.09065294155</v>
      </c>
      <c r="Z180" s="34">
        <f ca="1">Z164-Z178</f>
        <v>582679.15327772032</v>
      </c>
      <c r="AB180" s="34">
        <f ca="1">AB164-AB178</f>
        <v>292703.2162159463</v>
      </c>
      <c r="AD180" s="34">
        <f ca="1">AD164-AD178</f>
        <v>45350.157242930072</v>
      </c>
      <c r="AF180" s="34">
        <f ca="1">AF164-AF178</f>
        <v>161677.69672893215</v>
      </c>
      <c r="AH180" s="34">
        <f ca="1">AH164-AH178</f>
        <v>18339.883386175716</v>
      </c>
      <c r="AJ180" s="34">
        <f ca="1">AJ164-AJ178</f>
        <v>2399359.0807846822</v>
      </c>
      <c r="AL180" s="25" t="str">
        <f t="shared" ca="1" si="158"/>
        <v/>
      </c>
      <c r="AM180" s="49"/>
    </row>
    <row r="181" spans="2:39" ht="13" thickTop="1" x14ac:dyDescent="0.25">
      <c r="D181" s="1" t="s">
        <v>162</v>
      </c>
    </row>
    <row r="182" spans="2:39" x14ac:dyDescent="0.25">
      <c r="V182" s="8"/>
    </row>
  </sheetData>
  <mergeCells count="5">
    <mergeCell ref="B5:AJ5"/>
    <mergeCell ref="B6:AJ6"/>
    <mergeCell ref="B7:AJ7"/>
    <mergeCell ref="P9:V9"/>
    <mergeCell ref="X9:AF9"/>
  </mergeCells>
  <phoneticPr fontId="12" type="noConversion"/>
  <pageMargins left="0.7" right="0.7" top="0.75" bottom="0.75" header="0.3" footer="0.3"/>
  <pageSetup scale="36" fitToHeight="4" orientation="landscape" r:id="rId1"/>
  <ignoredErrors>
    <ignoredError sqref="AD158:AH158 BH145 BH1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12</vt:i4>
      </vt:variant>
    </vt:vector>
  </HeadingPairs>
  <TitlesOfParts>
    <vt:vector size="48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</vt:lpstr>
      <vt:lpstr>Dist Cust Factors</vt:lpstr>
      <vt:lpstr>Total Allocation by Rate Zone</vt:lpstr>
      <vt:lpstr>Rate Zone Allocation - Dist</vt:lpstr>
      <vt:lpstr>Rate Zone Allocation - Gas Cost</vt:lpstr>
      <vt:lpstr>Rate Zone Allocation Factors</vt:lpstr>
      <vt:lpstr>Total Allocation - N</vt:lpstr>
      <vt:lpstr>Allocation - N Dist</vt:lpstr>
      <vt:lpstr>Allocation - N Gas</vt:lpstr>
      <vt:lpstr>Allocation Factors - N</vt:lpstr>
      <vt:lpstr>Total Allocation - C</vt:lpstr>
      <vt:lpstr>Allocation - C Dist</vt:lpstr>
      <vt:lpstr>Allocation - C Gas</vt:lpstr>
      <vt:lpstr>Allocation Factors - C</vt:lpstr>
      <vt:lpstr>Total Allocation - S</vt:lpstr>
      <vt:lpstr>Allocation - S Dist</vt:lpstr>
      <vt:lpstr>Allocation - S Gas</vt:lpstr>
      <vt:lpstr>Allocation Factors - S</vt:lpstr>
      <vt:lpstr>Total Allocation -Ex</vt:lpstr>
      <vt:lpstr>Total Allocation - Ex Dist</vt:lpstr>
      <vt:lpstr>Total Allocation - Ex Gas</vt:lpstr>
      <vt:lpstr>Allocation Factors - Ex</vt:lpstr>
      <vt:lpstr>Distribution - One Rate Zone</vt:lpstr>
      <vt:lpstr>Distribution One Rate Zone Dist</vt:lpstr>
      <vt:lpstr>Distribution One Rate Zone Gas</vt:lpstr>
      <vt:lpstr>Distribution Allocation Factors</vt:lpstr>
      <vt:lpstr>'Dist Cust Class'!Print_Area</vt:lpstr>
      <vt:lpstr>'Dist Factors'!Print_Area</vt:lpstr>
      <vt:lpstr>'Distribution Class'!Print_Area</vt:lpstr>
      <vt:lpstr>Function!Print_Area</vt:lpstr>
      <vt:lpstr>'Function Factors'!Print_Area</vt:lpstr>
      <vt:lpstr>'Gas Supply Class'!Print_Area</vt:lpstr>
      <vt:lpstr>'Gas Supply Factors'!Print_Area</vt:lpstr>
      <vt:lpstr>'Stor Factors'!Print_Area</vt:lpstr>
      <vt:lpstr>'Storage Class'!Print_Area</vt:lpstr>
      <vt:lpstr>'Trans Factors'!Print_Area</vt:lpstr>
      <vt:lpstr>'Transmission Class'!Print_Area</vt:lpstr>
      <vt:lpstr>Function!Print_Titles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2025-12-18T19:39:32Z</dcterms:created>
  <dcterms:modified xsi:type="dcterms:W3CDTF">2025-12-18T19:39:42Z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2025-12-18T19:39:42Z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042c6188-eabb-4247-8fe4-0aa620c1badf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