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2A (Rate Base)/"/>
    </mc:Choice>
  </mc:AlternateContent>
  <xr:revisionPtr revIDLastSave="10" documentId="8_{13D79DD8-D0A6-4F54-9FBC-8D143387826C}" xr6:coauthVersionLast="47" xr6:coauthVersionMax="47" xr10:uidLastSave="{991A500B-7245-4553-9835-25A5D2FAADD2}"/>
  <bookViews>
    <workbookView xWindow="-120" yWindow="-120" windowWidth="29040" windowHeight="15720" tabRatio="672" xr2:uid="{F6B267ED-0C11-481D-B343-61A0C5D1964A}"/>
  </bookViews>
  <sheets>
    <sheet name="App2.-AA_Capital Projects" sheetId="1" r:id="rId1"/>
    <sheet name="App2.AB_Capital Expenditures" sheetId="2" r:id="rId2"/>
    <sheet name="App2-BA_Fixed Asset Cont" sheetId="3" r:id="rId3"/>
    <sheet name="App2-BA_Fixed Asset Cont(ICM)" sheetId="4" r:id="rId4"/>
    <sheet name="App2.BB_Service Life" sheetId="5" r:id="rId5"/>
    <sheet name="App2.C_DepExp"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 r="B23" i="1"/>
  <c r="D651" i="6" l="1"/>
  <c r="J650" i="6"/>
  <c r="L650" i="6" s="1"/>
  <c r="M650" i="6" s="1"/>
  <c r="I650" i="6"/>
  <c r="G650" i="6"/>
  <c r="I649" i="6"/>
  <c r="G649" i="6"/>
  <c r="J649" i="6" s="1"/>
  <c r="I648" i="6"/>
  <c r="G648" i="6"/>
  <c r="J648" i="6" s="1"/>
  <c r="L648" i="6" s="1"/>
  <c r="M648" i="6" s="1"/>
  <c r="J647" i="6"/>
  <c r="L647" i="6" s="1"/>
  <c r="M647" i="6" s="1"/>
  <c r="I647" i="6"/>
  <c r="G647" i="6"/>
  <c r="J646" i="6"/>
  <c r="L646" i="6" s="1"/>
  <c r="M646" i="6" s="1"/>
  <c r="I646" i="6"/>
  <c r="G646" i="6"/>
  <c r="J645" i="6"/>
  <c r="L645" i="6" s="1"/>
  <c r="M645" i="6" s="1"/>
  <c r="I645" i="6"/>
  <c r="G645" i="6"/>
  <c r="I644" i="6"/>
  <c r="G644" i="6"/>
  <c r="J644" i="6" s="1"/>
  <c r="L644" i="6" s="1"/>
  <c r="M644" i="6" s="1"/>
  <c r="J643" i="6"/>
  <c r="I643" i="6"/>
  <c r="G643" i="6"/>
  <c r="J642" i="6"/>
  <c r="L642" i="6" s="1"/>
  <c r="M642" i="6" s="1"/>
  <c r="I642" i="6"/>
  <c r="G642" i="6"/>
  <c r="I641" i="6"/>
  <c r="J640" i="6"/>
  <c r="L640" i="6" s="1"/>
  <c r="M640" i="6" s="1"/>
  <c r="I640" i="6"/>
  <c r="G640" i="6"/>
  <c r="I639" i="6"/>
  <c r="G639" i="6"/>
  <c r="J639" i="6" s="1"/>
  <c r="L639" i="6" s="1"/>
  <c r="M639" i="6" s="1"/>
  <c r="J638" i="6"/>
  <c r="L638" i="6" s="1"/>
  <c r="M638" i="6" s="1"/>
  <c r="I638" i="6"/>
  <c r="G638" i="6"/>
  <c r="I637" i="6"/>
  <c r="G637" i="6"/>
  <c r="J637" i="6" s="1"/>
  <c r="L637" i="6" s="1"/>
  <c r="M637" i="6" s="1"/>
  <c r="I636" i="6"/>
  <c r="G636" i="6"/>
  <c r="J636" i="6" s="1"/>
  <c r="J635" i="6"/>
  <c r="I635" i="6"/>
  <c r="G635" i="6"/>
  <c r="I634" i="6"/>
  <c r="J633" i="6"/>
  <c r="L633" i="6" s="1"/>
  <c r="M633" i="6" s="1"/>
  <c r="I633" i="6"/>
  <c r="G633" i="6"/>
  <c r="J632" i="6"/>
  <c r="L632" i="6" s="1"/>
  <c r="M632" i="6" s="1"/>
  <c r="I632" i="6"/>
  <c r="G632" i="6"/>
  <c r="I631" i="6"/>
  <c r="G631" i="6"/>
  <c r="J631" i="6" s="1"/>
  <c r="J630" i="6"/>
  <c r="L630" i="6" s="1"/>
  <c r="M630" i="6" s="1"/>
  <c r="I630" i="6"/>
  <c r="G630" i="6"/>
  <c r="I629" i="6"/>
  <c r="G629" i="6"/>
  <c r="J629" i="6" s="1"/>
  <c r="L628" i="6"/>
  <c r="M628" i="6" s="1"/>
  <c r="J628" i="6"/>
  <c r="I628" i="6"/>
  <c r="G628" i="6"/>
  <c r="I627" i="6"/>
  <c r="G627" i="6"/>
  <c r="J627" i="6" s="1"/>
  <c r="L627" i="6" s="1"/>
  <c r="M627" i="6" s="1"/>
  <c r="J626" i="6"/>
  <c r="L626" i="6" s="1"/>
  <c r="M626" i="6" s="1"/>
  <c r="I626" i="6"/>
  <c r="G626" i="6"/>
  <c r="J625" i="6"/>
  <c r="L625" i="6" s="1"/>
  <c r="M625" i="6" s="1"/>
  <c r="I625" i="6"/>
  <c r="G625" i="6"/>
  <c r="I624" i="6"/>
  <c r="G624" i="6"/>
  <c r="J624" i="6" s="1"/>
  <c r="L624" i="6" s="1"/>
  <c r="M624" i="6" s="1"/>
  <c r="I623" i="6"/>
  <c r="G623" i="6"/>
  <c r="J623" i="6" s="1"/>
  <c r="L623" i="6" s="1"/>
  <c r="M623" i="6" s="1"/>
  <c r="L622" i="6"/>
  <c r="M622" i="6" s="1"/>
  <c r="I622" i="6"/>
  <c r="G622" i="6"/>
  <c r="J622" i="6" s="1"/>
  <c r="I621" i="6"/>
  <c r="G621" i="6"/>
  <c r="J621" i="6" s="1"/>
  <c r="L620" i="6"/>
  <c r="M620" i="6" s="1"/>
  <c r="I620" i="6"/>
  <c r="G620" i="6"/>
  <c r="J620" i="6" s="1"/>
  <c r="I619" i="6"/>
  <c r="G619" i="6"/>
  <c r="J619" i="6" s="1"/>
  <c r="I618" i="6"/>
  <c r="G618" i="6"/>
  <c r="J618" i="6" s="1"/>
  <c r="I617" i="6"/>
  <c r="J616" i="6"/>
  <c r="L616" i="6" s="1"/>
  <c r="M616" i="6" s="1"/>
  <c r="I616" i="6"/>
  <c r="G616" i="6"/>
  <c r="I615" i="6"/>
  <c r="G615" i="6"/>
  <c r="J615" i="6" s="1"/>
  <c r="L615" i="6" s="1"/>
  <c r="M615" i="6" s="1"/>
  <c r="I614" i="6"/>
  <c r="G614" i="6"/>
  <c r="J614" i="6" s="1"/>
  <c r="J613" i="6"/>
  <c r="L613" i="6" s="1"/>
  <c r="M613" i="6" s="1"/>
  <c r="I613" i="6"/>
  <c r="G613" i="6"/>
  <c r="I612" i="6"/>
  <c r="J611" i="6"/>
  <c r="L611" i="6" s="1"/>
  <c r="M611" i="6" s="1"/>
  <c r="I611" i="6"/>
  <c r="G611" i="6"/>
  <c r="J610" i="6"/>
  <c r="L610" i="6" s="1"/>
  <c r="M610" i="6" s="1"/>
  <c r="I610" i="6"/>
  <c r="G610" i="6"/>
  <c r="I609" i="6"/>
  <c r="G609" i="6"/>
  <c r="J609" i="6" s="1"/>
  <c r="I608" i="6"/>
  <c r="G608" i="6"/>
  <c r="J608" i="6" s="1"/>
  <c r="J607" i="6"/>
  <c r="L607" i="6" s="1"/>
  <c r="M607" i="6" s="1"/>
  <c r="I607" i="6"/>
  <c r="G607" i="6"/>
  <c r="I606" i="6"/>
  <c r="K598" i="6"/>
  <c r="D598" i="6"/>
  <c r="J597" i="6"/>
  <c r="L597" i="6" s="1"/>
  <c r="M597" i="6" s="1"/>
  <c r="I597" i="6"/>
  <c r="G597" i="6"/>
  <c r="I596" i="6"/>
  <c r="G596" i="6"/>
  <c r="J596" i="6" s="1"/>
  <c r="I595" i="6"/>
  <c r="G595" i="6"/>
  <c r="J595" i="6" s="1"/>
  <c r="L595" i="6" s="1"/>
  <c r="M595" i="6" s="1"/>
  <c r="J594" i="6"/>
  <c r="I594" i="6"/>
  <c r="G594" i="6"/>
  <c r="J593" i="6"/>
  <c r="I593" i="6"/>
  <c r="G593" i="6"/>
  <c r="J592" i="6"/>
  <c r="I592" i="6"/>
  <c r="G592" i="6"/>
  <c r="L591" i="6"/>
  <c r="M591" i="6" s="1"/>
  <c r="I591" i="6"/>
  <c r="G591" i="6"/>
  <c r="J591" i="6" s="1"/>
  <c r="L590" i="6"/>
  <c r="M590" i="6" s="1"/>
  <c r="J590" i="6"/>
  <c r="I590" i="6"/>
  <c r="G590" i="6"/>
  <c r="J589" i="6"/>
  <c r="L589" i="6" s="1"/>
  <c r="M589" i="6" s="1"/>
  <c r="I589" i="6"/>
  <c r="G589" i="6"/>
  <c r="I588" i="6"/>
  <c r="G588" i="6"/>
  <c r="J588" i="6" s="1"/>
  <c r="L588" i="6" s="1"/>
  <c r="M588" i="6" s="1"/>
  <c r="J587" i="6"/>
  <c r="L587" i="6" s="1"/>
  <c r="M587" i="6" s="1"/>
  <c r="I587" i="6"/>
  <c r="G587" i="6"/>
  <c r="I586" i="6"/>
  <c r="G586" i="6"/>
  <c r="J586" i="6" s="1"/>
  <c r="L585" i="6"/>
  <c r="M585" i="6" s="1"/>
  <c r="J585" i="6"/>
  <c r="I585" i="6"/>
  <c r="G585" i="6"/>
  <c r="I584" i="6"/>
  <c r="G584" i="6"/>
  <c r="J584" i="6" s="1"/>
  <c r="I583" i="6"/>
  <c r="G583" i="6"/>
  <c r="J583" i="6" s="1"/>
  <c r="L583" i="6" s="1"/>
  <c r="M583" i="6" s="1"/>
  <c r="L582" i="6"/>
  <c r="M582" i="6" s="1"/>
  <c r="J582" i="6"/>
  <c r="I582" i="6"/>
  <c r="G582" i="6"/>
  <c r="I581" i="6"/>
  <c r="G581" i="6"/>
  <c r="J581" i="6" s="1"/>
  <c r="L581" i="6" s="1"/>
  <c r="M581" i="6" s="1"/>
  <c r="J580" i="6"/>
  <c r="L580" i="6" s="1"/>
  <c r="M580" i="6" s="1"/>
  <c r="I580" i="6"/>
  <c r="G580" i="6"/>
  <c r="J579" i="6"/>
  <c r="L579" i="6" s="1"/>
  <c r="M579" i="6" s="1"/>
  <c r="I579" i="6"/>
  <c r="G579" i="6"/>
  <c r="I578" i="6"/>
  <c r="G578" i="6"/>
  <c r="J578" i="6" s="1"/>
  <c r="J577" i="6"/>
  <c r="L577" i="6" s="1"/>
  <c r="M577" i="6" s="1"/>
  <c r="I577" i="6"/>
  <c r="G577" i="6"/>
  <c r="I576" i="6"/>
  <c r="G576" i="6"/>
  <c r="J576" i="6" s="1"/>
  <c r="L575" i="6"/>
  <c r="M575" i="6" s="1"/>
  <c r="J575" i="6"/>
  <c r="I575" i="6"/>
  <c r="G575" i="6"/>
  <c r="I574" i="6"/>
  <c r="G574" i="6"/>
  <c r="J574" i="6" s="1"/>
  <c r="L574" i="6" s="1"/>
  <c r="M574" i="6" s="1"/>
  <c r="J573" i="6"/>
  <c r="L573" i="6" s="1"/>
  <c r="M573" i="6" s="1"/>
  <c r="I573" i="6"/>
  <c r="G573" i="6"/>
  <c r="J572" i="6"/>
  <c r="I572" i="6"/>
  <c r="G572" i="6"/>
  <c r="I571" i="6"/>
  <c r="G571" i="6"/>
  <c r="J571" i="6" s="1"/>
  <c r="L571" i="6" s="1"/>
  <c r="M571" i="6" s="1"/>
  <c r="I570" i="6"/>
  <c r="G570" i="6"/>
  <c r="J570" i="6" s="1"/>
  <c r="I569" i="6"/>
  <c r="G569" i="6"/>
  <c r="J569" i="6" s="1"/>
  <c r="I568" i="6"/>
  <c r="G568" i="6"/>
  <c r="J568" i="6" s="1"/>
  <c r="L568" i="6" s="1"/>
  <c r="M568" i="6" s="1"/>
  <c r="I567" i="6"/>
  <c r="G567" i="6"/>
  <c r="J567" i="6" s="1"/>
  <c r="L567" i="6" s="1"/>
  <c r="M567" i="6" s="1"/>
  <c r="I566" i="6"/>
  <c r="G566" i="6"/>
  <c r="J566" i="6" s="1"/>
  <c r="L566" i="6" s="1"/>
  <c r="M566" i="6" s="1"/>
  <c r="I565" i="6"/>
  <c r="G565" i="6"/>
  <c r="J565" i="6" s="1"/>
  <c r="I564" i="6"/>
  <c r="G564" i="6"/>
  <c r="J564" i="6" s="1"/>
  <c r="J563" i="6"/>
  <c r="L563" i="6" s="1"/>
  <c r="M563" i="6" s="1"/>
  <c r="I563" i="6"/>
  <c r="G563" i="6"/>
  <c r="I562" i="6"/>
  <c r="G562" i="6"/>
  <c r="J562" i="6" s="1"/>
  <c r="I561" i="6"/>
  <c r="G561" i="6"/>
  <c r="J561" i="6" s="1"/>
  <c r="J560" i="6"/>
  <c r="L560" i="6" s="1"/>
  <c r="M560" i="6" s="1"/>
  <c r="I560" i="6"/>
  <c r="G560" i="6"/>
  <c r="I559" i="6"/>
  <c r="G559" i="6"/>
  <c r="J559" i="6" s="1"/>
  <c r="L559" i="6" s="1"/>
  <c r="M559" i="6" s="1"/>
  <c r="J558" i="6"/>
  <c r="L558" i="6" s="1"/>
  <c r="M558" i="6" s="1"/>
  <c r="I558" i="6"/>
  <c r="J557" i="6"/>
  <c r="L557" i="6" s="1"/>
  <c r="M557" i="6" s="1"/>
  <c r="I557" i="6"/>
  <c r="G557" i="6"/>
  <c r="I556" i="6"/>
  <c r="G556" i="6"/>
  <c r="J556" i="6" s="1"/>
  <c r="I555" i="6"/>
  <c r="G555" i="6"/>
  <c r="J555" i="6" s="1"/>
  <c r="L555" i="6" s="1"/>
  <c r="M555" i="6" s="1"/>
  <c r="I554" i="6"/>
  <c r="G554" i="6"/>
  <c r="J554" i="6" s="1"/>
  <c r="L554" i="6" s="1"/>
  <c r="M554" i="6" s="1"/>
  <c r="I553" i="6"/>
  <c r="E545" i="6"/>
  <c r="D545" i="6"/>
  <c r="C545" i="6"/>
  <c r="J544" i="6"/>
  <c r="L544" i="6" s="1"/>
  <c r="M544" i="6" s="1"/>
  <c r="I544" i="6"/>
  <c r="G544" i="6"/>
  <c r="I543" i="6"/>
  <c r="G543" i="6"/>
  <c r="J543" i="6" s="1"/>
  <c r="I542" i="6"/>
  <c r="G542" i="6"/>
  <c r="J542" i="6" s="1"/>
  <c r="J541" i="6"/>
  <c r="L541" i="6" s="1"/>
  <c r="M541" i="6" s="1"/>
  <c r="I541" i="6"/>
  <c r="G541" i="6"/>
  <c r="J540" i="6"/>
  <c r="I540" i="6"/>
  <c r="G540" i="6"/>
  <c r="J539" i="6"/>
  <c r="L539" i="6" s="1"/>
  <c r="M539" i="6" s="1"/>
  <c r="I539" i="6"/>
  <c r="G539" i="6"/>
  <c r="I538" i="6"/>
  <c r="G538" i="6"/>
  <c r="J538" i="6" s="1"/>
  <c r="J537" i="6"/>
  <c r="I537" i="6"/>
  <c r="G537" i="6"/>
  <c r="J536" i="6"/>
  <c r="L536" i="6" s="1"/>
  <c r="M536" i="6" s="1"/>
  <c r="I536" i="6"/>
  <c r="G536" i="6"/>
  <c r="I535" i="6"/>
  <c r="G535" i="6"/>
  <c r="J535" i="6" s="1"/>
  <c r="J534" i="6"/>
  <c r="L534" i="6" s="1"/>
  <c r="M534" i="6" s="1"/>
  <c r="I534" i="6"/>
  <c r="G534" i="6"/>
  <c r="I533" i="6"/>
  <c r="G533" i="6"/>
  <c r="J533" i="6" s="1"/>
  <c r="L532" i="6"/>
  <c r="M532" i="6" s="1"/>
  <c r="J532" i="6"/>
  <c r="I532" i="6"/>
  <c r="G532" i="6"/>
  <c r="I531" i="6"/>
  <c r="G531" i="6"/>
  <c r="J531" i="6" s="1"/>
  <c r="I530" i="6"/>
  <c r="G530" i="6"/>
  <c r="J530" i="6" s="1"/>
  <c r="L530" i="6" s="1"/>
  <c r="M530" i="6" s="1"/>
  <c r="J529" i="6"/>
  <c r="L529" i="6" s="1"/>
  <c r="M529" i="6" s="1"/>
  <c r="I529" i="6"/>
  <c r="G529" i="6"/>
  <c r="I528" i="6"/>
  <c r="G528" i="6"/>
  <c r="J528" i="6" s="1"/>
  <c r="L528" i="6" s="1"/>
  <c r="M528" i="6" s="1"/>
  <c r="J527" i="6"/>
  <c r="L527" i="6" s="1"/>
  <c r="M527" i="6" s="1"/>
  <c r="I527" i="6"/>
  <c r="G527" i="6"/>
  <c r="J526" i="6"/>
  <c r="L526" i="6" s="1"/>
  <c r="M526" i="6" s="1"/>
  <c r="I526" i="6"/>
  <c r="G526" i="6"/>
  <c r="I525" i="6"/>
  <c r="G525" i="6"/>
  <c r="J525" i="6" s="1"/>
  <c r="J524" i="6"/>
  <c r="L524" i="6" s="1"/>
  <c r="M524" i="6" s="1"/>
  <c r="I524" i="6"/>
  <c r="G524" i="6"/>
  <c r="I523" i="6"/>
  <c r="G523" i="6"/>
  <c r="J523" i="6" s="1"/>
  <c r="L523" i="6" s="1"/>
  <c r="M523" i="6" s="1"/>
  <c r="J522" i="6"/>
  <c r="L522" i="6" s="1"/>
  <c r="M522" i="6" s="1"/>
  <c r="I522" i="6"/>
  <c r="G522" i="6"/>
  <c r="I521" i="6"/>
  <c r="G521" i="6"/>
  <c r="J521" i="6" s="1"/>
  <c r="J520" i="6"/>
  <c r="L520" i="6" s="1"/>
  <c r="M520" i="6" s="1"/>
  <c r="I520" i="6"/>
  <c r="G520" i="6"/>
  <c r="J519" i="6"/>
  <c r="L519" i="6" s="1"/>
  <c r="M519" i="6" s="1"/>
  <c r="I519" i="6"/>
  <c r="G519" i="6"/>
  <c r="I518" i="6"/>
  <c r="G518" i="6"/>
  <c r="J518" i="6" s="1"/>
  <c r="I517" i="6"/>
  <c r="G517" i="6"/>
  <c r="J517" i="6" s="1"/>
  <c r="L517" i="6" s="1"/>
  <c r="M517" i="6" s="1"/>
  <c r="I516" i="6"/>
  <c r="G516" i="6"/>
  <c r="J516" i="6" s="1"/>
  <c r="I515" i="6"/>
  <c r="G515" i="6"/>
  <c r="J515" i="6" s="1"/>
  <c r="I514" i="6"/>
  <c r="G514" i="6"/>
  <c r="J514" i="6" s="1"/>
  <c r="I513" i="6"/>
  <c r="G513" i="6"/>
  <c r="J513" i="6" s="1"/>
  <c r="L513" i="6" s="1"/>
  <c r="M513" i="6" s="1"/>
  <c r="I512" i="6"/>
  <c r="G512" i="6"/>
  <c r="J512" i="6" s="1"/>
  <c r="I511" i="6"/>
  <c r="G511" i="6"/>
  <c r="J511" i="6" s="1"/>
  <c r="L510" i="6"/>
  <c r="M510" i="6" s="1"/>
  <c r="J510" i="6"/>
  <c r="I510" i="6"/>
  <c r="G510" i="6"/>
  <c r="I509" i="6"/>
  <c r="G509" i="6"/>
  <c r="J509" i="6" s="1"/>
  <c r="I508" i="6"/>
  <c r="G508" i="6"/>
  <c r="J508" i="6" s="1"/>
  <c r="J507" i="6"/>
  <c r="I507" i="6"/>
  <c r="G507" i="6"/>
  <c r="I506" i="6"/>
  <c r="G506" i="6"/>
  <c r="J506" i="6" s="1"/>
  <c r="L506" i="6" s="1"/>
  <c r="M506" i="6" s="1"/>
  <c r="J505" i="6"/>
  <c r="I505" i="6"/>
  <c r="G505" i="6"/>
  <c r="J504" i="6"/>
  <c r="L504" i="6" s="1"/>
  <c r="M504" i="6" s="1"/>
  <c r="I504" i="6"/>
  <c r="G504" i="6"/>
  <c r="I503" i="6"/>
  <c r="G503" i="6"/>
  <c r="J503" i="6" s="1"/>
  <c r="M502" i="6"/>
  <c r="L502" i="6"/>
  <c r="I502" i="6"/>
  <c r="G502" i="6"/>
  <c r="J502" i="6" s="1"/>
  <c r="I501" i="6"/>
  <c r="I500" i="6"/>
  <c r="G500" i="6"/>
  <c r="J500" i="6" s="1"/>
  <c r="D492" i="6"/>
  <c r="J491" i="6"/>
  <c r="L491" i="6" s="1"/>
  <c r="M491" i="6" s="1"/>
  <c r="I491" i="6"/>
  <c r="G491" i="6"/>
  <c r="I490" i="6"/>
  <c r="G490" i="6"/>
  <c r="J490" i="6" s="1"/>
  <c r="L490" i="6" s="1"/>
  <c r="M490" i="6" s="1"/>
  <c r="I489" i="6"/>
  <c r="J488" i="6"/>
  <c r="L488" i="6" s="1"/>
  <c r="M488" i="6" s="1"/>
  <c r="I488" i="6"/>
  <c r="G488" i="6"/>
  <c r="J487" i="6"/>
  <c r="L487" i="6" s="1"/>
  <c r="M487" i="6" s="1"/>
  <c r="I487" i="6"/>
  <c r="J486" i="6"/>
  <c r="L486" i="6" s="1"/>
  <c r="M486" i="6" s="1"/>
  <c r="I486" i="6"/>
  <c r="J485" i="6"/>
  <c r="I485" i="6"/>
  <c r="G485" i="6"/>
  <c r="J484" i="6"/>
  <c r="L484" i="6" s="1"/>
  <c r="M484" i="6" s="1"/>
  <c r="I484" i="6"/>
  <c r="G484" i="6"/>
  <c r="J483" i="6"/>
  <c r="L483" i="6" s="1"/>
  <c r="M483" i="6" s="1"/>
  <c r="I483" i="6"/>
  <c r="G483" i="6"/>
  <c r="I482" i="6"/>
  <c r="G482" i="6"/>
  <c r="J482" i="6" s="1"/>
  <c r="J481" i="6"/>
  <c r="L481" i="6" s="1"/>
  <c r="M481" i="6" s="1"/>
  <c r="I481" i="6"/>
  <c r="G481" i="6"/>
  <c r="I480" i="6"/>
  <c r="G480" i="6"/>
  <c r="J480" i="6" s="1"/>
  <c r="L480" i="6" s="1"/>
  <c r="M480" i="6" s="1"/>
  <c r="J479" i="6"/>
  <c r="L479" i="6" s="1"/>
  <c r="M479" i="6" s="1"/>
  <c r="I479" i="6"/>
  <c r="G479" i="6"/>
  <c r="I478" i="6"/>
  <c r="G478" i="6"/>
  <c r="J478" i="6" s="1"/>
  <c r="L478" i="6" s="1"/>
  <c r="M478" i="6" s="1"/>
  <c r="I477" i="6"/>
  <c r="G477" i="6"/>
  <c r="J477" i="6" s="1"/>
  <c r="L477" i="6" s="1"/>
  <c r="M477" i="6" s="1"/>
  <c r="J476" i="6"/>
  <c r="L476" i="6" s="1"/>
  <c r="M476" i="6" s="1"/>
  <c r="I476" i="6"/>
  <c r="G476" i="6"/>
  <c r="I475" i="6"/>
  <c r="G475" i="6"/>
  <c r="J475" i="6" s="1"/>
  <c r="J474" i="6"/>
  <c r="L474" i="6" s="1"/>
  <c r="M474" i="6" s="1"/>
  <c r="I474" i="6"/>
  <c r="G474" i="6"/>
  <c r="J473" i="6"/>
  <c r="L473" i="6" s="1"/>
  <c r="M473" i="6" s="1"/>
  <c r="I473" i="6"/>
  <c r="G473" i="6"/>
  <c r="I472" i="6"/>
  <c r="G472" i="6"/>
  <c r="J472" i="6" s="1"/>
  <c r="J471" i="6"/>
  <c r="L471" i="6" s="1"/>
  <c r="M471" i="6" s="1"/>
  <c r="I471" i="6"/>
  <c r="G471" i="6"/>
  <c r="I470" i="6"/>
  <c r="G470" i="6"/>
  <c r="J470" i="6" s="1"/>
  <c r="L470" i="6" s="1"/>
  <c r="M470" i="6" s="1"/>
  <c r="J469" i="6"/>
  <c r="L469" i="6" s="1"/>
  <c r="M469" i="6" s="1"/>
  <c r="I469" i="6"/>
  <c r="G469" i="6"/>
  <c r="J468" i="6"/>
  <c r="L468" i="6" s="1"/>
  <c r="M468" i="6" s="1"/>
  <c r="I468" i="6"/>
  <c r="G468" i="6"/>
  <c r="J467" i="6"/>
  <c r="I467" i="6"/>
  <c r="J466" i="6"/>
  <c r="L466" i="6" s="1"/>
  <c r="M466" i="6" s="1"/>
  <c r="I466" i="6"/>
  <c r="G466" i="6"/>
  <c r="I465" i="6"/>
  <c r="I464" i="6"/>
  <c r="G464" i="6"/>
  <c r="J464" i="6" s="1"/>
  <c r="L464" i="6" s="1"/>
  <c r="M464" i="6" s="1"/>
  <c r="I463" i="6"/>
  <c r="G463" i="6"/>
  <c r="J463" i="6" s="1"/>
  <c r="I462" i="6"/>
  <c r="G462" i="6"/>
  <c r="J462" i="6" s="1"/>
  <c r="L462" i="6" s="1"/>
  <c r="M462" i="6" s="1"/>
  <c r="I461" i="6"/>
  <c r="G461" i="6"/>
  <c r="J461" i="6" s="1"/>
  <c r="L461" i="6" s="1"/>
  <c r="M461" i="6" s="1"/>
  <c r="I460" i="6"/>
  <c r="G460" i="6"/>
  <c r="J460" i="6" s="1"/>
  <c r="I459" i="6"/>
  <c r="G459" i="6"/>
  <c r="J459" i="6" s="1"/>
  <c r="I458" i="6"/>
  <c r="G458" i="6"/>
  <c r="J458" i="6" s="1"/>
  <c r="L458" i="6" s="1"/>
  <c r="M458" i="6" s="1"/>
  <c r="J457" i="6"/>
  <c r="L457" i="6" s="1"/>
  <c r="M457" i="6" s="1"/>
  <c r="I457" i="6"/>
  <c r="G457" i="6"/>
  <c r="I456" i="6"/>
  <c r="I455" i="6"/>
  <c r="G455" i="6"/>
  <c r="J455" i="6" s="1"/>
  <c r="L455" i="6" s="1"/>
  <c r="M455" i="6" s="1"/>
  <c r="J454" i="6"/>
  <c r="L454" i="6" s="1"/>
  <c r="M454" i="6" s="1"/>
  <c r="I454" i="6"/>
  <c r="G454" i="6"/>
  <c r="I453" i="6"/>
  <c r="G453" i="6"/>
  <c r="J453" i="6" s="1"/>
  <c r="L453" i="6" s="1"/>
  <c r="M453" i="6" s="1"/>
  <c r="J452" i="6"/>
  <c r="I452" i="6"/>
  <c r="G452" i="6"/>
  <c r="J451" i="6"/>
  <c r="L451" i="6" s="1"/>
  <c r="M451" i="6" s="1"/>
  <c r="I451" i="6"/>
  <c r="G451" i="6"/>
  <c r="I450" i="6"/>
  <c r="G450" i="6"/>
  <c r="J450" i="6" s="1"/>
  <c r="I449" i="6"/>
  <c r="G449" i="6"/>
  <c r="I448" i="6"/>
  <c r="I447" i="6"/>
  <c r="D439" i="6"/>
  <c r="I438" i="6"/>
  <c r="G438" i="6"/>
  <c r="J438" i="6" s="1"/>
  <c r="I437" i="6"/>
  <c r="G437" i="6"/>
  <c r="J437" i="6" s="1"/>
  <c r="I436" i="6"/>
  <c r="G436" i="6"/>
  <c r="J436" i="6" s="1"/>
  <c r="L436" i="6" s="1"/>
  <c r="M436" i="6" s="1"/>
  <c r="J435" i="6"/>
  <c r="L435" i="6" s="1"/>
  <c r="M435" i="6" s="1"/>
  <c r="I435" i="6"/>
  <c r="G435" i="6"/>
  <c r="J434" i="6"/>
  <c r="L434" i="6" s="1"/>
  <c r="M434" i="6" s="1"/>
  <c r="I434" i="6"/>
  <c r="G434" i="6"/>
  <c r="L433" i="6"/>
  <c r="M433" i="6" s="1"/>
  <c r="J433" i="6"/>
  <c r="I433" i="6"/>
  <c r="G433" i="6"/>
  <c r="I432" i="6"/>
  <c r="G432" i="6"/>
  <c r="J432" i="6" s="1"/>
  <c r="L431" i="6"/>
  <c r="M431" i="6" s="1"/>
  <c r="J431" i="6"/>
  <c r="I431" i="6"/>
  <c r="G431" i="6"/>
  <c r="J430" i="6"/>
  <c r="L430" i="6" s="1"/>
  <c r="M430" i="6" s="1"/>
  <c r="I430" i="6"/>
  <c r="G430" i="6"/>
  <c r="I429" i="6"/>
  <c r="G429" i="6"/>
  <c r="J429" i="6" s="1"/>
  <c r="J428" i="6"/>
  <c r="I428" i="6"/>
  <c r="G428" i="6"/>
  <c r="I427" i="6"/>
  <c r="G427" i="6"/>
  <c r="J427" i="6" s="1"/>
  <c r="L427" i="6" s="1"/>
  <c r="M427" i="6" s="1"/>
  <c r="J426" i="6"/>
  <c r="L426" i="6" s="1"/>
  <c r="M426" i="6" s="1"/>
  <c r="I426" i="6"/>
  <c r="G426" i="6"/>
  <c r="I425" i="6"/>
  <c r="G425" i="6"/>
  <c r="J425" i="6" s="1"/>
  <c r="I424" i="6"/>
  <c r="G424" i="6"/>
  <c r="J424" i="6" s="1"/>
  <c r="J423" i="6"/>
  <c r="L423" i="6" s="1"/>
  <c r="M423" i="6" s="1"/>
  <c r="I423" i="6"/>
  <c r="G423" i="6"/>
  <c r="I422" i="6"/>
  <c r="G422" i="6"/>
  <c r="J422" i="6" s="1"/>
  <c r="J421" i="6"/>
  <c r="I421" i="6"/>
  <c r="G421" i="6"/>
  <c r="J420" i="6"/>
  <c r="L420" i="6" s="1"/>
  <c r="M420" i="6" s="1"/>
  <c r="I420" i="6"/>
  <c r="G420" i="6"/>
  <c r="I419" i="6"/>
  <c r="G419" i="6"/>
  <c r="J419" i="6" s="1"/>
  <c r="L419" i="6" s="1"/>
  <c r="M419" i="6" s="1"/>
  <c r="J418" i="6"/>
  <c r="L418" i="6" s="1"/>
  <c r="M418" i="6" s="1"/>
  <c r="I418" i="6"/>
  <c r="G418" i="6"/>
  <c r="I417" i="6"/>
  <c r="G417" i="6"/>
  <c r="J417" i="6" s="1"/>
  <c r="L417" i="6" s="1"/>
  <c r="M417" i="6" s="1"/>
  <c r="J416" i="6"/>
  <c r="I416" i="6"/>
  <c r="I415" i="6"/>
  <c r="C439" i="6"/>
  <c r="J414" i="6"/>
  <c r="L414" i="6" s="1"/>
  <c r="M414" i="6" s="1"/>
  <c r="I414" i="6"/>
  <c r="G414" i="6"/>
  <c r="J413" i="6"/>
  <c r="L413" i="6" s="1"/>
  <c r="M413" i="6" s="1"/>
  <c r="I413" i="6"/>
  <c r="G413" i="6"/>
  <c r="I412" i="6"/>
  <c r="G412" i="6"/>
  <c r="J412" i="6" s="1"/>
  <c r="L412" i="6" s="1"/>
  <c r="M412" i="6" s="1"/>
  <c r="I411" i="6"/>
  <c r="I410" i="6"/>
  <c r="G410" i="6"/>
  <c r="J410" i="6" s="1"/>
  <c r="L409" i="6"/>
  <c r="M409" i="6" s="1"/>
  <c r="I409" i="6"/>
  <c r="G409" i="6"/>
  <c r="J409" i="6" s="1"/>
  <c r="I408" i="6"/>
  <c r="G408" i="6"/>
  <c r="J408" i="6" s="1"/>
  <c r="I407" i="6"/>
  <c r="G407" i="6"/>
  <c r="J407" i="6" s="1"/>
  <c r="I406" i="6"/>
  <c r="G406" i="6"/>
  <c r="J406" i="6" s="1"/>
  <c r="L406" i="6" s="1"/>
  <c r="M406" i="6" s="1"/>
  <c r="I405" i="6"/>
  <c r="G405" i="6"/>
  <c r="J405" i="6" s="1"/>
  <c r="J404" i="6"/>
  <c r="L404" i="6" s="1"/>
  <c r="M404" i="6" s="1"/>
  <c r="I404" i="6"/>
  <c r="G404" i="6"/>
  <c r="I403" i="6"/>
  <c r="G403" i="6"/>
  <c r="J403" i="6" s="1"/>
  <c r="L403" i="6" s="1"/>
  <c r="M403" i="6" s="1"/>
  <c r="I402" i="6"/>
  <c r="G402" i="6"/>
  <c r="J402" i="6" s="1"/>
  <c r="J401" i="6"/>
  <c r="I401" i="6"/>
  <c r="I400" i="6"/>
  <c r="G400" i="6"/>
  <c r="J400" i="6" s="1"/>
  <c r="L400" i="6" s="1"/>
  <c r="M400" i="6" s="1"/>
  <c r="J399" i="6"/>
  <c r="I399" i="6"/>
  <c r="G399" i="6"/>
  <c r="J398" i="6"/>
  <c r="L398" i="6" s="1"/>
  <c r="M398" i="6" s="1"/>
  <c r="I398" i="6"/>
  <c r="G398" i="6"/>
  <c r="I397" i="6"/>
  <c r="I396" i="6"/>
  <c r="G396" i="6"/>
  <c r="I395" i="6"/>
  <c r="G395" i="6"/>
  <c r="J395" i="6" s="1"/>
  <c r="I394" i="6"/>
  <c r="G394" i="6"/>
  <c r="J394" i="6" s="1"/>
  <c r="D386" i="6"/>
  <c r="I385" i="6"/>
  <c r="G385" i="6"/>
  <c r="J385" i="6" s="1"/>
  <c r="L385" i="6" s="1"/>
  <c r="M385" i="6" s="1"/>
  <c r="I384" i="6"/>
  <c r="G384" i="6"/>
  <c r="J384" i="6" s="1"/>
  <c r="L384" i="6" s="1"/>
  <c r="M384" i="6" s="1"/>
  <c r="I383" i="6"/>
  <c r="G383" i="6"/>
  <c r="J383" i="6" s="1"/>
  <c r="L383" i="6" s="1"/>
  <c r="M383" i="6" s="1"/>
  <c r="J382" i="6"/>
  <c r="L382" i="6" s="1"/>
  <c r="M382" i="6" s="1"/>
  <c r="I382" i="6"/>
  <c r="G382" i="6"/>
  <c r="J381" i="6"/>
  <c r="I381" i="6"/>
  <c r="G381" i="6"/>
  <c r="J380" i="6"/>
  <c r="I380" i="6"/>
  <c r="G380" i="6"/>
  <c r="I379" i="6"/>
  <c r="G379" i="6"/>
  <c r="J379" i="6" s="1"/>
  <c r="J378" i="6"/>
  <c r="L378" i="6" s="1"/>
  <c r="M378" i="6" s="1"/>
  <c r="I378" i="6"/>
  <c r="G378" i="6"/>
  <c r="J377" i="6"/>
  <c r="I377" i="6"/>
  <c r="G377" i="6"/>
  <c r="I376" i="6"/>
  <c r="L375" i="6"/>
  <c r="M375" i="6" s="1"/>
  <c r="J375" i="6"/>
  <c r="I375" i="6"/>
  <c r="I374" i="6"/>
  <c r="G374" i="6"/>
  <c r="J374" i="6" s="1"/>
  <c r="L373" i="6"/>
  <c r="M373" i="6" s="1"/>
  <c r="J373" i="6"/>
  <c r="I373" i="6"/>
  <c r="G373" i="6"/>
  <c r="I372" i="6"/>
  <c r="G372" i="6"/>
  <c r="J372" i="6" s="1"/>
  <c r="L372" i="6" s="1"/>
  <c r="M372" i="6" s="1"/>
  <c r="I371" i="6"/>
  <c r="G371" i="6"/>
  <c r="J371" i="6" s="1"/>
  <c r="L371" i="6" s="1"/>
  <c r="M371" i="6" s="1"/>
  <c r="I370" i="6"/>
  <c r="G370" i="6"/>
  <c r="J370" i="6" s="1"/>
  <c r="I369" i="6"/>
  <c r="G369" i="6"/>
  <c r="J369" i="6" s="1"/>
  <c r="L369" i="6" s="1"/>
  <c r="M369" i="6" s="1"/>
  <c r="J368" i="6"/>
  <c r="L368" i="6" s="1"/>
  <c r="M368" i="6" s="1"/>
  <c r="I368" i="6"/>
  <c r="G368" i="6"/>
  <c r="J367" i="6"/>
  <c r="L367" i="6" s="1"/>
  <c r="M367" i="6" s="1"/>
  <c r="I367" i="6"/>
  <c r="I366" i="6"/>
  <c r="G366" i="6"/>
  <c r="J366" i="6" s="1"/>
  <c r="J365" i="6"/>
  <c r="L365" i="6" s="1"/>
  <c r="M365" i="6" s="1"/>
  <c r="I365" i="6"/>
  <c r="I364" i="6"/>
  <c r="G364" i="6"/>
  <c r="J364" i="6" s="1"/>
  <c r="J363" i="6"/>
  <c r="I363" i="6"/>
  <c r="G363" i="6"/>
  <c r="I362" i="6"/>
  <c r="G362" i="6"/>
  <c r="J362" i="6" s="1"/>
  <c r="L362" i="6" s="1"/>
  <c r="M362" i="6" s="1"/>
  <c r="J361" i="6"/>
  <c r="L361" i="6" s="1"/>
  <c r="M361" i="6" s="1"/>
  <c r="I361" i="6"/>
  <c r="G361" i="6"/>
  <c r="L360" i="6"/>
  <c r="M360" i="6" s="1"/>
  <c r="J360" i="6"/>
  <c r="I360" i="6"/>
  <c r="G360" i="6"/>
  <c r="I359" i="6"/>
  <c r="G359" i="6"/>
  <c r="J359" i="6" s="1"/>
  <c r="I358" i="6"/>
  <c r="G358" i="6"/>
  <c r="J358" i="6" s="1"/>
  <c r="L358" i="6" s="1"/>
  <c r="M358" i="6" s="1"/>
  <c r="I357" i="6"/>
  <c r="G357" i="6"/>
  <c r="J357" i="6" s="1"/>
  <c r="I356" i="6"/>
  <c r="G356" i="6"/>
  <c r="J356" i="6" s="1"/>
  <c r="J355" i="6"/>
  <c r="L355" i="6" s="1"/>
  <c r="M355" i="6" s="1"/>
  <c r="I355" i="6"/>
  <c r="G355" i="6"/>
  <c r="I354" i="6"/>
  <c r="G354" i="6"/>
  <c r="J354" i="6" s="1"/>
  <c r="I353" i="6"/>
  <c r="L352" i="6"/>
  <c r="M352" i="6" s="1"/>
  <c r="I352" i="6"/>
  <c r="G352" i="6"/>
  <c r="J352" i="6" s="1"/>
  <c r="J351" i="6"/>
  <c r="I351" i="6"/>
  <c r="G351" i="6"/>
  <c r="J350" i="6"/>
  <c r="I350" i="6"/>
  <c r="G350" i="6"/>
  <c r="I349" i="6"/>
  <c r="G349" i="6"/>
  <c r="J349" i="6" s="1"/>
  <c r="L349" i="6" s="1"/>
  <c r="M349" i="6" s="1"/>
  <c r="J348" i="6"/>
  <c r="L348" i="6" s="1"/>
  <c r="M348" i="6" s="1"/>
  <c r="I348" i="6"/>
  <c r="G348" i="6"/>
  <c r="I347" i="6"/>
  <c r="G347" i="6"/>
  <c r="J347" i="6" s="1"/>
  <c r="L347" i="6" s="1"/>
  <c r="M347" i="6" s="1"/>
  <c r="L346" i="6"/>
  <c r="M346" i="6" s="1"/>
  <c r="J346" i="6"/>
  <c r="I346" i="6"/>
  <c r="I345" i="6"/>
  <c r="G345" i="6"/>
  <c r="J345" i="6" s="1"/>
  <c r="L345" i="6" s="1"/>
  <c r="M345" i="6" s="1"/>
  <c r="K386" i="6"/>
  <c r="I344" i="6"/>
  <c r="F386" i="6"/>
  <c r="G344" i="6"/>
  <c r="I343" i="6"/>
  <c r="I342" i="6"/>
  <c r="D334" i="6"/>
  <c r="I333" i="6"/>
  <c r="G333" i="6"/>
  <c r="J333" i="6" s="1"/>
  <c r="L333" i="6" s="1"/>
  <c r="M333" i="6" s="1"/>
  <c r="I332" i="6"/>
  <c r="I331" i="6"/>
  <c r="G331" i="6"/>
  <c r="J331" i="6" s="1"/>
  <c r="L331" i="6" s="1"/>
  <c r="M331" i="6" s="1"/>
  <c r="J330" i="6"/>
  <c r="L330" i="6" s="1"/>
  <c r="M330" i="6" s="1"/>
  <c r="I330" i="6"/>
  <c r="G330" i="6"/>
  <c r="J329" i="6"/>
  <c r="I329" i="6"/>
  <c r="G329" i="6"/>
  <c r="J328" i="6"/>
  <c r="L328" i="6" s="1"/>
  <c r="M328" i="6" s="1"/>
  <c r="I328" i="6"/>
  <c r="G328" i="6"/>
  <c r="I327" i="6"/>
  <c r="G327" i="6"/>
  <c r="J327" i="6" s="1"/>
  <c r="J326" i="6"/>
  <c r="I326" i="6"/>
  <c r="G326" i="6"/>
  <c r="J325" i="6"/>
  <c r="L325" i="6" s="1"/>
  <c r="M325" i="6" s="1"/>
  <c r="I325" i="6"/>
  <c r="G325" i="6"/>
  <c r="I324" i="6"/>
  <c r="G324" i="6"/>
  <c r="J324" i="6" s="1"/>
  <c r="J323" i="6"/>
  <c r="L323" i="6" s="1"/>
  <c r="M323" i="6" s="1"/>
  <c r="I323" i="6"/>
  <c r="G323" i="6"/>
  <c r="I322" i="6"/>
  <c r="G322" i="6"/>
  <c r="J322" i="6" s="1"/>
  <c r="L322" i="6" s="1"/>
  <c r="M322" i="6" s="1"/>
  <c r="J321" i="6"/>
  <c r="I321" i="6"/>
  <c r="G321" i="6"/>
  <c r="I320" i="6"/>
  <c r="G320" i="6"/>
  <c r="J320" i="6" s="1"/>
  <c r="L320" i="6" s="1"/>
  <c r="M320" i="6" s="1"/>
  <c r="I319" i="6"/>
  <c r="G319" i="6"/>
  <c r="J319" i="6" s="1"/>
  <c r="L319" i="6" s="1"/>
  <c r="M319" i="6" s="1"/>
  <c r="I318" i="6"/>
  <c r="G318" i="6"/>
  <c r="J318" i="6" s="1"/>
  <c r="L318" i="6" s="1"/>
  <c r="M318" i="6" s="1"/>
  <c r="I317" i="6"/>
  <c r="G317" i="6"/>
  <c r="J317" i="6" s="1"/>
  <c r="J316" i="6"/>
  <c r="L316" i="6" s="1"/>
  <c r="M316" i="6" s="1"/>
  <c r="I316" i="6"/>
  <c r="G316" i="6"/>
  <c r="J315" i="6"/>
  <c r="L315" i="6" s="1"/>
  <c r="M315" i="6" s="1"/>
  <c r="I315" i="6"/>
  <c r="G315" i="6"/>
  <c r="I314" i="6"/>
  <c r="G314" i="6"/>
  <c r="J314" i="6" s="1"/>
  <c r="J313" i="6"/>
  <c r="I313" i="6"/>
  <c r="G313" i="6"/>
  <c r="I312" i="6"/>
  <c r="G312" i="6"/>
  <c r="J312" i="6" s="1"/>
  <c r="J311" i="6"/>
  <c r="L311" i="6" s="1"/>
  <c r="M311" i="6" s="1"/>
  <c r="I311" i="6"/>
  <c r="I310" i="6"/>
  <c r="G310" i="6"/>
  <c r="J310" i="6" s="1"/>
  <c r="J309" i="6"/>
  <c r="L309" i="6" s="1"/>
  <c r="M309" i="6" s="1"/>
  <c r="I309" i="6"/>
  <c r="G309" i="6"/>
  <c r="J308" i="6"/>
  <c r="L308" i="6" s="1"/>
  <c r="M308" i="6" s="1"/>
  <c r="I308" i="6"/>
  <c r="G308" i="6"/>
  <c r="I307" i="6"/>
  <c r="G307" i="6"/>
  <c r="J307" i="6" s="1"/>
  <c r="L307" i="6" s="1"/>
  <c r="M307" i="6" s="1"/>
  <c r="L306" i="6"/>
  <c r="M306" i="6" s="1"/>
  <c r="I306" i="6"/>
  <c r="G306" i="6"/>
  <c r="J306" i="6" s="1"/>
  <c r="I305" i="6"/>
  <c r="G305" i="6"/>
  <c r="J305" i="6" s="1"/>
  <c r="L304" i="6"/>
  <c r="M304" i="6" s="1"/>
  <c r="I304" i="6"/>
  <c r="G304" i="6"/>
  <c r="J304" i="6" s="1"/>
  <c r="I303" i="6"/>
  <c r="G303" i="6"/>
  <c r="J303" i="6" s="1"/>
  <c r="L303" i="6" s="1"/>
  <c r="M303" i="6" s="1"/>
  <c r="I302" i="6"/>
  <c r="G302" i="6"/>
  <c r="J302" i="6" s="1"/>
  <c r="L302" i="6" s="1"/>
  <c r="M302" i="6" s="1"/>
  <c r="I301" i="6"/>
  <c r="G301" i="6"/>
  <c r="J301" i="6" s="1"/>
  <c r="I300" i="6"/>
  <c r="G300" i="6"/>
  <c r="J300" i="6" s="1"/>
  <c r="J299" i="6"/>
  <c r="L299" i="6" s="1"/>
  <c r="M299" i="6" s="1"/>
  <c r="I299" i="6"/>
  <c r="G299" i="6"/>
  <c r="I298" i="6"/>
  <c r="G298" i="6"/>
  <c r="J298" i="6" s="1"/>
  <c r="L297" i="6"/>
  <c r="M297" i="6" s="1"/>
  <c r="I297" i="6"/>
  <c r="G297" i="6"/>
  <c r="J297" i="6" s="1"/>
  <c r="J296" i="6"/>
  <c r="L296" i="6" s="1"/>
  <c r="M296" i="6" s="1"/>
  <c r="I296" i="6"/>
  <c r="J295" i="6"/>
  <c r="I295" i="6"/>
  <c r="G295" i="6"/>
  <c r="J294" i="6"/>
  <c r="L294" i="6" s="1"/>
  <c r="M294" i="6" s="1"/>
  <c r="I294" i="6"/>
  <c r="G294" i="6"/>
  <c r="I293" i="6"/>
  <c r="G293" i="6"/>
  <c r="J293" i="6" s="1"/>
  <c r="L293" i="6" s="1"/>
  <c r="M293" i="6" s="1"/>
  <c r="I292" i="6"/>
  <c r="G292" i="6"/>
  <c r="I291" i="6"/>
  <c r="G291" i="6"/>
  <c r="J291" i="6" s="1"/>
  <c r="I290" i="6"/>
  <c r="G290" i="6"/>
  <c r="J290" i="6" s="1"/>
  <c r="D282" i="6"/>
  <c r="I281" i="6"/>
  <c r="G281" i="6"/>
  <c r="J281" i="6" s="1"/>
  <c r="L281" i="6" s="1"/>
  <c r="M281" i="6" s="1"/>
  <c r="I280" i="6"/>
  <c r="G280" i="6"/>
  <c r="J280" i="6" s="1"/>
  <c r="L280" i="6" s="1"/>
  <c r="M280" i="6" s="1"/>
  <c r="I279" i="6"/>
  <c r="G279" i="6"/>
  <c r="J279" i="6" s="1"/>
  <c r="L279" i="6" s="1"/>
  <c r="M279" i="6" s="1"/>
  <c r="J278" i="6"/>
  <c r="I278" i="6"/>
  <c r="G278" i="6"/>
  <c r="J277" i="6"/>
  <c r="I277" i="6"/>
  <c r="G277" i="6"/>
  <c r="J276" i="6"/>
  <c r="L276" i="6" s="1"/>
  <c r="M276" i="6" s="1"/>
  <c r="I276" i="6"/>
  <c r="I275" i="6"/>
  <c r="G275" i="6"/>
  <c r="J275" i="6" s="1"/>
  <c r="J274" i="6"/>
  <c r="L274" i="6" s="1"/>
  <c r="M274" i="6" s="1"/>
  <c r="I274" i="6"/>
  <c r="G274" i="6"/>
  <c r="J273" i="6"/>
  <c r="L273" i="6" s="1"/>
  <c r="M273" i="6" s="1"/>
  <c r="I273" i="6"/>
  <c r="G273" i="6"/>
  <c r="I272" i="6"/>
  <c r="G272" i="6"/>
  <c r="J272" i="6" s="1"/>
  <c r="L272" i="6" s="1"/>
  <c r="M272" i="6" s="1"/>
  <c r="J271" i="6"/>
  <c r="L271" i="6" s="1"/>
  <c r="M271" i="6" s="1"/>
  <c r="I271" i="6"/>
  <c r="G271" i="6"/>
  <c r="I270" i="6"/>
  <c r="G270" i="6"/>
  <c r="J270" i="6" s="1"/>
  <c r="L270" i="6" s="1"/>
  <c r="M270" i="6" s="1"/>
  <c r="J269" i="6"/>
  <c r="L269" i="6" s="1"/>
  <c r="M269" i="6" s="1"/>
  <c r="I269" i="6"/>
  <c r="G269" i="6"/>
  <c r="I268" i="6"/>
  <c r="G268" i="6"/>
  <c r="J268" i="6" s="1"/>
  <c r="I267" i="6"/>
  <c r="G267" i="6"/>
  <c r="J267" i="6" s="1"/>
  <c r="L267" i="6" s="1"/>
  <c r="M267" i="6" s="1"/>
  <c r="L266" i="6"/>
  <c r="M266" i="6" s="1"/>
  <c r="I266" i="6"/>
  <c r="G266" i="6"/>
  <c r="J266" i="6" s="1"/>
  <c r="I265" i="6"/>
  <c r="G265" i="6"/>
  <c r="J265" i="6" s="1"/>
  <c r="J264" i="6"/>
  <c r="I264" i="6"/>
  <c r="G264" i="6"/>
  <c r="J263" i="6"/>
  <c r="L263" i="6" s="1"/>
  <c r="M263" i="6" s="1"/>
  <c r="I263" i="6"/>
  <c r="G263" i="6"/>
  <c r="I262" i="6"/>
  <c r="G262" i="6"/>
  <c r="J262" i="6" s="1"/>
  <c r="J261" i="6"/>
  <c r="L261" i="6" s="1"/>
  <c r="M261" i="6" s="1"/>
  <c r="I261" i="6"/>
  <c r="G261" i="6"/>
  <c r="I260" i="6"/>
  <c r="J259" i="6"/>
  <c r="I259" i="6"/>
  <c r="G259" i="6"/>
  <c r="I258" i="6"/>
  <c r="G258" i="6"/>
  <c r="J258" i="6" s="1"/>
  <c r="L258" i="6" s="1"/>
  <c r="M258" i="6" s="1"/>
  <c r="L257" i="6"/>
  <c r="M257" i="6" s="1"/>
  <c r="J257" i="6"/>
  <c r="I257" i="6"/>
  <c r="G257" i="6"/>
  <c r="J256" i="6"/>
  <c r="L256" i="6" s="1"/>
  <c r="M256" i="6" s="1"/>
  <c r="I256" i="6"/>
  <c r="G256" i="6"/>
  <c r="I255" i="6"/>
  <c r="G255" i="6"/>
  <c r="J255" i="6" s="1"/>
  <c r="J254" i="6"/>
  <c r="L254" i="6" s="1"/>
  <c r="M254" i="6" s="1"/>
  <c r="I254" i="6"/>
  <c r="G254" i="6"/>
  <c r="I253" i="6"/>
  <c r="I252" i="6"/>
  <c r="G252" i="6"/>
  <c r="J252" i="6" s="1"/>
  <c r="I251" i="6"/>
  <c r="L250" i="6"/>
  <c r="M250" i="6" s="1"/>
  <c r="I250" i="6"/>
  <c r="G250" i="6"/>
  <c r="J250" i="6" s="1"/>
  <c r="I249" i="6"/>
  <c r="G249" i="6"/>
  <c r="J249" i="6" s="1"/>
  <c r="L248" i="6"/>
  <c r="M248" i="6" s="1"/>
  <c r="I248" i="6"/>
  <c r="G248" i="6"/>
  <c r="J248" i="6" s="1"/>
  <c r="J247" i="6"/>
  <c r="L247" i="6" s="1"/>
  <c r="M247" i="6" s="1"/>
  <c r="I247" i="6"/>
  <c r="G247" i="6"/>
  <c r="I246" i="6"/>
  <c r="G246" i="6"/>
  <c r="J246" i="6" s="1"/>
  <c r="I245" i="6"/>
  <c r="G245" i="6"/>
  <c r="J245" i="6" s="1"/>
  <c r="L245" i="6" s="1"/>
  <c r="M245" i="6" s="1"/>
  <c r="L244" i="6"/>
  <c r="M244" i="6" s="1"/>
  <c r="J244" i="6"/>
  <c r="I244" i="6"/>
  <c r="G244" i="6"/>
  <c r="I243" i="6"/>
  <c r="G243" i="6"/>
  <c r="J243" i="6" s="1"/>
  <c r="J242" i="6"/>
  <c r="I242" i="6"/>
  <c r="G242" i="6"/>
  <c r="I241" i="6"/>
  <c r="G241" i="6"/>
  <c r="J241" i="6" s="1"/>
  <c r="L241" i="6" s="1"/>
  <c r="M241" i="6" s="1"/>
  <c r="I240" i="6"/>
  <c r="G240" i="6"/>
  <c r="I239" i="6"/>
  <c r="G239" i="6"/>
  <c r="J239" i="6" s="1"/>
  <c r="I238" i="6"/>
  <c r="D230" i="6"/>
  <c r="I229" i="6"/>
  <c r="G229" i="6"/>
  <c r="J229" i="6" s="1"/>
  <c r="L229" i="6" s="1"/>
  <c r="M229" i="6" s="1"/>
  <c r="I228" i="6"/>
  <c r="G228" i="6"/>
  <c r="J228" i="6" s="1"/>
  <c r="L228" i="6" s="1"/>
  <c r="M228" i="6" s="1"/>
  <c r="I227" i="6"/>
  <c r="J226" i="6"/>
  <c r="I226" i="6"/>
  <c r="G226" i="6"/>
  <c r="J225" i="6"/>
  <c r="L225" i="6" s="1"/>
  <c r="M225" i="6" s="1"/>
  <c r="I225" i="6"/>
  <c r="G225" i="6"/>
  <c r="J224" i="6"/>
  <c r="L224" i="6" s="1"/>
  <c r="M224" i="6" s="1"/>
  <c r="I224" i="6"/>
  <c r="I223" i="6"/>
  <c r="G223" i="6"/>
  <c r="J223" i="6" s="1"/>
  <c r="L223" i="6" s="1"/>
  <c r="M223" i="6" s="1"/>
  <c r="J222" i="6"/>
  <c r="I222" i="6"/>
  <c r="J221" i="6"/>
  <c r="L221" i="6" s="1"/>
  <c r="M221" i="6" s="1"/>
  <c r="I221" i="6"/>
  <c r="G221" i="6"/>
  <c r="I220" i="6"/>
  <c r="G220" i="6"/>
  <c r="J220" i="6" s="1"/>
  <c r="J219" i="6"/>
  <c r="L219" i="6" s="1"/>
  <c r="M219" i="6" s="1"/>
  <c r="I219" i="6"/>
  <c r="G219" i="6"/>
  <c r="I218" i="6"/>
  <c r="L217" i="6"/>
  <c r="M217" i="6" s="1"/>
  <c r="J217" i="6"/>
  <c r="I217" i="6"/>
  <c r="G217" i="6"/>
  <c r="I216" i="6"/>
  <c r="G216" i="6"/>
  <c r="J216" i="6" s="1"/>
  <c r="L216" i="6" s="1"/>
  <c r="M216" i="6" s="1"/>
  <c r="J215" i="6"/>
  <c r="I215" i="6"/>
  <c r="G215" i="6"/>
  <c r="I214" i="6"/>
  <c r="G214" i="6"/>
  <c r="J214" i="6" s="1"/>
  <c r="I213" i="6"/>
  <c r="G213" i="6"/>
  <c r="J213" i="6" s="1"/>
  <c r="J212" i="6"/>
  <c r="L212" i="6" s="1"/>
  <c r="M212" i="6" s="1"/>
  <c r="I212" i="6"/>
  <c r="G212" i="6"/>
  <c r="J211" i="6"/>
  <c r="I211" i="6"/>
  <c r="G211" i="6"/>
  <c r="I210" i="6"/>
  <c r="G210" i="6"/>
  <c r="J210" i="6" s="1"/>
  <c r="L210" i="6" s="1"/>
  <c r="M210" i="6" s="1"/>
  <c r="J209" i="6"/>
  <c r="L209" i="6" s="1"/>
  <c r="M209" i="6" s="1"/>
  <c r="I209" i="6"/>
  <c r="G209" i="6"/>
  <c r="I208" i="6"/>
  <c r="G208" i="6"/>
  <c r="J208" i="6" s="1"/>
  <c r="J207" i="6"/>
  <c r="L207" i="6" s="1"/>
  <c r="M207" i="6" s="1"/>
  <c r="I207" i="6"/>
  <c r="G207" i="6"/>
  <c r="I206" i="6"/>
  <c r="G206" i="6"/>
  <c r="J206" i="6" s="1"/>
  <c r="J205" i="6"/>
  <c r="L205" i="6" s="1"/>
  <c r="M205" i="6" s="1"/>
  <c r="I205" i="6"/>
  <c r="G205" i="6"/>
  <c r="J204" i="6"/>
  <c r="I204" i="6"/>
  <c r="G204" i="6"/>
  <c r="I203" i="6"/>
  <c r="G203" i="6"/>
  <c r="J203" i="6" s="1"/>
  <c r="I202" i="6"/>
  <c r="I201" i="6"/>
  <c r="G201" i="6"/>
  <c r="J201" i="6" s="1"/>
  <c r="I200" i="6"/>
  <c r="I199" i="6"/>
  <c r="G199" i="6"/>
  <c r="J199" i="6" s="1"/>
  <c r="L199" i="6" s="1"/>
  <c r="M199" i="6" s="1"/>
  <c r="I198" i="6"/>
  <c r="G198" i="6"/>
  <c r="J198" i="6" s="1"/>
  <c r="L198" i="6" s="1"/>
  <c r="M198" i="6" s="1"/>
  <c r="I197" i="6"/>
  <c r="G197" i="6"/>
  <c r="J197" i="6" s="1"/>
  <c r="I196" i="6"/>
  <c r="G196" i="6"/>
  <c r="J196" i="6" s="1"/>
  <c r="J195" i="6"/>
  <c r="L195" i="6" s="1"/>
  <c r="M195" i="6" s="1"/>
  <c r="I195" i="6"/>
  <c r="G195" i="6"/>
  <c r="I194" i="6"/>
  <c r="G194" i="6"/>
  <c r="J194" i="6" s="1"/>
  <c r="L194" i="6" s="1"/>
  <c r="M194" i="6" s="1"/>
  <c r="I193" i="6"/>
  <c r="G193" i="6"/>
  <c r="J193" i="6" s="1"/>
  <c r="J192" i="6"/>
  <c r="L192" i="6" s="1"/>
  <c r="M192" i="6" s="1"/>
  <c r="I192" i="6"/>
  <c r="G192" i="6"/>
  <c r="I191" i="6"/>
  <c r="G191" i="6"/>
  <c r="J191" i="6" s="1"/>
  <c r="L190" i="6"/>
  <c r="M190" i="6" s="1"/>
  <c r="J190" i="6"/>
  <c r="I190" i="6"/>
  <c r="G190" i="6"/>
  <c r="J189" i="6"/>
  <c r="I189" i="6"/>
  <c r="G189" i="6"/>
  <c r="I188" i="6"/>
  <c r="G188" i="6"/>
  <c r="I187" i="6"/>
  <c r="F230" i="6"/>
  <c r="I186" i="6"/>
  <c r="G186" i="6"/>
  <c r="J186" i="6" s="1"/>
  <c r="D178" i="6"/>
  <c r="I177" i="6"/>
  <c r="G177" i="6"/>
  <c r="J177" i="6" s="1"/>
  <c r="L177" i="6" s="1"/>
  <c r="M177" i="6" s="1"/>
  <c r="I176" i="6"/>
  <c r="G176" i="6"/>
  <c r="J176" i="6" s="1"/>
  <c r="L176" i="6" s="1"/>
  <c r="M176" i="6" s="1"/>
  <c r="L175" i="6"/>
  <c r="M175" i="6" s="1"/>
  <c r="I175" i="6"/>
  <c r="G175" i="6"/>
  <c r="J175" i="6" s="1"/>
  <c r="L174" i="6"/>
  <c r="M174" i="6" s="1"/>
  <c r="J174" i="6"/>
  <c r="I174" i="6"/>
  <c r="G174" i="6"/>
  <c r="J173" i="6"/>
  <c r="I173" i="6"/>
  <c r="G173" i="6"/>
  <c r="J172" i="6"/>
  <c r="L172" i="6" s="1"/>
  <c r="M172" i="6" s="1"/>
  <c r="I172" i="6"/>
  <c r="G172" i="6"/>
  <c r="I171" i="6"/>
  <c r="J170" i="6"/>
  <c r="L170" i="6" s="1"/>
  <c r="M170" i="6" s="1"/>
  <c r="I170" i="6"/>
  <c r="G170" i="6"/>
  <c r="J169" i="6"/>
  <c r="I169" i="6"/>
  <c r="G169" i="6"/>
  <c r="I168" i="6"/>
  <c r="G168" i="6"/>
  <c r="J168" i="6" s="1"/>
  <c r="L168" i="6" s="1"/>
  <c r="M168" i="6" s="1"/>
  <c r="J167" i="6"/>
  <c r="I167" i="6"/>
  <c r="G167" i="6"/>
  <c r="I166" i="6"/>
  <c r="G166" i="6"/>
  <c r="J166" i="6" s="1"/>
  <c r="J165" i="6"/>
  <c r="L165" i="6" s="1"/>
  <c r="M165" i="6" s="1"/>
  <c r="I165" i="6"/>
  <c r="G165" i="6"/>
  <c r="I164" i="6"/>
  <c r="G164" i="6"/>
  <c r="J164" i="6" s="1"/>
  <c r="I163" i="6"/>
  <c r="G163" i="6"/>
  <c r="J163" i="6" s="1"/>
  <c r="I162" i="6"/>
  <c r="G162" i="6"/>
  <c r="J162" i="6" s="1"/>
  <c r="I161" i="6"/>
  <c r="G161" i="6"/>
  <c r="J161" i="6" s="1"/>
  <c r="J160" i="6"/>
  <c r="I160" i="6"/>
  <c r="G160" i="6"/>
  <c r="J159" i="6"/>
  <c r="L159" i="6" s="1"/>
  <c r="M159" i="6" s="1"/>
  <c r="I159" i="6"/>
  <c r="G159" i="6"/>
  <c r="I158" i="6"/>
  <c r="G158" i="6"/>
  <c r="J158" i="6" s="1"/>
  <c r="L158" i="6" s="1"/>
  <c r="M158" i="6" s="1"/>
  <c r="J157" i="6"/>
  <c r="L157" i="6" s="1"/>
  <c r="M157" i="6" s="1"/>
  <c r="I157" i="6"/>
  <c r="G157" i="6"/>
  <c r="I156" i="6"/>
  <c r="G156" i="6"/>
  <c r="J156" i="6" s="1"/>
  <c r="L156" i="6" s="1"/>
  <c r="M156" i="6" s="1"/>
  <c r="J155" i="6"/>
  <c r="L155" i="6" s="1"/>
  <c r="M155" i="6" s="1"/>
  <c r="I155" i="6"/>
  <c r="G155" i="6"/>
  <c r="I154" i="6"/>
  <c r="G154" i="6"/>
  <c r="J154" i="6" s="1"/>
  <c r="J153" i="6"/>
  <c r="I153" i="6"/>
  <c r="G153" i="6"/>
  <c r="J152" i="6"/>
  <c r="L152" i="6" s="1"/>
  <c r="M152" i="6" s="1"/>
  <c r="I152" i="6"/>
  <c r="G152" i="6"/>
  <c r="I151" i="6"/>
  <c r="I150" i="6"/>
  <c r="G150" i="6"/>
  <c r="J150" i="6" s="1"/>
  <c r="L150" i="6" s="1"/>
  <c r="M150" i="6" s="1"/>
  <c r="J149" i="6"/>
  <c r="L149" i="6" s="1"/>
  <c r="M149" i="6" s="1"/>
  <c r="I149" i="6"/>
  <c r="G149" i="6"/>
  <c r="I148" i="6"/>
  <c r="G148" i="6"/>
  <c r="J148" i="6" s="1"/>
  <c r="I147" i="6"/>
  <c r="G147" i="6"/>
  <c r="J147" i="6" s="1"/>
  <c r="L147" i="6" s="1"/>
  <c r="M147" i="6" s="1"/>
  <c r="I146" i="6"/>
  <c r="G146" i="6"/>
  <c r="J146" i="6" s="1"/>
  <c r="L146" i="6" s="1"/>
  <c r="M146" i="6" s="1"/>
  <c r="I145" i="6"/>
  <c r="G145" i="6"/>
  <c r="J145" i="6" s="1"/>
  <c r="L145" i="6" s="1"/>
  <c r="M145" i="6" s="1"/>
  <c r="I144" i="6"/>
  <c r="G144" i="6"/>
  <c r="J144" i="6" s="1"/>
  <c r="L144" i="6" s="1"/>
  <c r="M144" i="6" s="1"/>
  <c r="J143" i="6"/>
  <c r="L143" i="6" s="1"/>
  <c r="M143" i="6" s="1"/>
  <c r="I143" i="6"/>
  <c r="G143" i="6"/>
  <c r="I142" i="6"/>
  <c r="G142" i="6"/>
  <c r="J142" i="6" s="1"/>
  <c r="I141" i="6"/>
  <c r="G141" i="6"/>
  <c r="J141" i="6" s="1"/>
  <c r="L141" i="6" s="1"/>
  <c r="M141" i="6" s="1"/>
  <c r="L140" i="6"/>
  <c r="M140" i="6" s="1"/>
  <c r="J140" i="6"/>
  <c r="I140" i="6"/>
  <c r="G140" i="6"/>
  <c r="I139" i="6"/>
  <c r="G139" i="6"/>
  <c r="J139" i="6" s="1"/>
  <c r="L139" i="6" s="1"/>
  <c r="M139" i="6" s="1"/>
  <c r="J138" i="6"/>
  <c r="I138" i="6"/>
  <c r="G138" i="6"/>
  <c r="J137" i="6"/>
  <c r="L137" i="6" s="1"/>
  <c r="M137" i="6" s="1"/>
  <c r="I137" i="6"/>
  <c r="G137" i="6"/>
  <c r="I136" i="6"/>
  <c r="I135" i="6"/>
  <c r="G135" i="6"/>
  <c r="I134" i="6"/>
  <c r="G134" i="6"/>
  <c r="J134" i="6" s="1"/>
  <c r="I133" i="6"/>
  <c r="D125" i="6"/>
  <c r="I124" i="6"/>
  <c r="J123" i="6"/>
  <c r="I123" i="6"/>
  <c r="G123" i="6"/>
  <c r="I122" i="6"/>
  <c r="G122" i="6"/>
  <c r="J122" i="6" s="1"/>
  <c r="J121" i="6"/>
  <c r="L121" i="6" s="1"/>
  <c r="M121" i="6" s="1"/>
  <c r="I121" i="6"/>
  <c r="G121" i="6"/>
  <c r="J120" i="6"/>
  <c r="I120" i="6"/>
  <c r="G120" i="6"/>
  <c r="J119" i="6"/>
  <c r="L119" i="6" s="1"/>
  <c r="M119" i="6" s="1"/>
  <c r="I119" i="6"/>
  <c r="G119" i="6"/>
  <c r="I118" i="6"/>
  <c r="G118" i="6"/>
  <c r="J118" i="6" s="1"/>
  <c r="J117" i="6"/>
  <c r="I117" i="6"/>
  <c r="G117" i="6"/>
  <c r="J116" i="6"/>
  <c r="L116" i="6" s="1"/>
  <c r="M116" i="6" s="1"/>
  <c r="I116" i="6"/>
  <c r="G116" i="6"/>
  <c r="I115" i="6"/>
  <c r="G115" i="6"/>
  <c r="J115" i="6" s="1"/>
  <c r="J114" i="6"/>
  <c r="L114" i="6" s="1"/>
  <c r="M114" i="6" s="1"/>
  <c r="I114" i="6"/>
  <c r="G114" i="6"/>
  <c r="I113" i="6"/>
  <c r="G113" i="6"/>
  <c r="J113" i="6" s="1"/>
  <c r="J112" i="6"/>
  <c r="L112" i="6" s="1"/>
  <c r="M112" i="6" s="1"/>
  <c r="I112" i="6"/>
  <c r="I111" i="6"/>
  <c r="I110" i="6"/>
  <c r="G110" i="6"/>
  <c r="J110" i="6" s="1"/>
  <c r="L110" i="6" s="1"/>
  <c r="M110" i="6" s="1"/>
  <c r="J109" i="6"/>
  <c r="L109" i="6" s="1"/>
  <c r="M109" i="6" s="1"/>
  <c r="I109" i="6"/>
  <c r="G109" i="6"/>
  <c r="I108" i="6"/>
  <c r="G108" i="6"/>
  <c r="J108" i="6" s="1"/>
  <c r="L108" i="6" s="1"/>
  <c r="M108" i="6" s="1"/>
  <c r="M107" i="6"/>
  <c r="J107" i="6"/>
  <c r="L107" i="6" s="1"/>
  <c r="I107" i="6"/>
  <c r="G107" i="6"/>
  <c r="J106" i="6"/>
  <c r="L106" i="6" s="1"/>
  <c r="M106" i="6" s="1"/>
  <c r="I106" i="6"/>
  <c r="I105" i="6"/>
  <c r="G105" i="6"/>
  <c r="J105" i="6" s="1"/>
  <c r="J104" i="6"/>
  <c r="I104" i="6"/>
  <c r="G104" i="6"/>
  <c r="I103" i="6"/>
  <c r="G103" i="6"/>
  <c r="J103" i="6" s="1"/>
  <c r="L103" i="6" s="1"/>
  <c r="M103" i="6" s="1"/>
  <c r="J102" i="6"/>
  <c r="I102" i="6"/>
  <c r="J101" i="6"/>
  <c r="L101" i="6" s="1"/>
  <c r="M101" i="6" s="1"/>
  <c r="I101" i="6"/>
  <c r="G101" i="6"/>
  <c r="J100" i="6"/>
  <c r="L100" i="6" s="1"/>
  <c r="M100" i="6" s="1"/>
  <c r="I100" i="6"/>
  <c r="J99" i="6"/>
  <c r="L99" i="6" s="1"/>
  <c r="M99" i="6" s="1"/>
  <c r="I99" i="6"/>
  <c r="I98" i="6"/>
  <c r="G98" i="6"/>
  <c r="J98" i="6" s="1"/>
  <c r="L98" i="6" s="1"/>
  <c r="M98" i="6" s="1"/>
  <c r="I97" i="6"/>
  <c r="G97" i="6"/>
  <c r="J97" i="6" s="1"/>
  <c r="I96" i="6"/>
  <c r="G96" i="6"/>
  <c r="J96" i="6" s="1"/>
  <c r="I95" i="6"/>
  <c r="G95" i="6"/>
  <c r="J95" i="6" s="1"/>
  <c r="I94" i="6"/>
  <c r="G94" i="6"/>
  <c r="J94" i="6" s="1"/>
  <c r="L94" i="6" s="1"/>
  <c r="M94" i="6" s="1"/>
  <c r="I93" i="6"/>
  <c r="G93" i="6"/>
  <c r="J93" i="6" s="1"/>
  <c r="J92" i="6"/>
  <c r="L92" i="6" s="1"/>
  <c r="M92" i="6" s="1"/>
  <c r="I92" i="6"/>
  <c r="G92" i="6"/>
  <c r="I91" i="6"/>
  <c r="J90" i="6"/>
  <c r="L90" i="6" s="1"/>
  <c r="M90" i="6" s="1"/>
  <c r="I90" i="6"/>
  <c r="G90" i="6"/>
  <c r="I89" i="6"/>
  <c r="I88" i="6"/>
  <c r="G88" i="6"/>
  <c r="J88" i="6" s="1"/>
  <c r="J87" i="6"/>
  <c r="L87" i="6" s="1"/>
  <c r="M87" i="6" s="1"/>
  <c r="I87" i="6"/>
  <c r="G87" i="6"/>
  <c r="I86" i="6"/>
  <c r="G86" i="6"/>
  <c r="J86" i="6" s="1"/>
  <c r="J85" i="6"/>
  <c r="I85" i="6"/>
  <c r="G85" i="6"/>
  <c r="J84" i="6"/>
  <c r="L84" i="6" s="1"/>
  <c r="M84" i="6" s="1"/>
  <c r="I84" i="6"/>
  <c r="G84" i="6"/>
  <c r="I83" i="6"/>
  <c r="G83" i="6"/>
  <c r="J83" i="6" s="1"/>
  <c r="I82" i="6"/>
  <c r="G82" i="6"/>
  <c r="J82" i="6" s="1"/>
  <c r="I81" i="6"/>
  <c r="G81" i="6"/>
  <c r="J81" i="6" s="1"/>
  <c r="L81" i="6" s="1"/>
  <c r="M81" i="6" s="1"/>
  <c r="I80" i="6"/>
  <c r="G80" i="6"/>
  <c r="J80" i="6" s="1"/>
  <c r="D72" i="6"/>
  <c r="I71" i="6"/>
  <c r="G71" i="6"/>
  <c r="J71" i="6" s="1"/>
  <c r="L71" i="6" s="1"/>
  <c r="M71" i="6" s="1"/>
  <c r="I70" i="6"/>
  <c r="G70" i="6"/>
  <c r="J70" i="6" s="1"/>
  <c r="L70" i="6" s="1"/>
  <c r="M70" i="6" s="1"/>
  <c r="I69" i="6"/>
  <c r="G69" i="6"/>
  <c r="J69" i="6" s="1"/>
  <c r="J68" i="6"/>
  <c r="L68" i="6" s="1"/>
  <c r="M68" i="6" s="1"/>
  <c r="I68" i="6"/>
  <c r="G68" i="6"/>
  <c r="J67" i="6"/>
  <c r="L67" i="6" s="1"/>
  <c r="M67" i="6" s="1"/>
  <c r="I67" i="6"/>
  <c r="G67" i="6"/>
  <c r="J66" i="6"/>
  <c r="L66" i="6" s="1"/>
  <c r="M66" i="6" s="1"/>
  <c r="I66" i="6"/>
  <c r="G66" i="6"/>
  <c r="I65" i="6"/>
  <c r="G65" i="6"/>
  <c r="J65" i="6" s="1"/>
  <c r="J64" i="6"/>
  <c r="I64" i="6"/>
  <c r="G64" i="6"/>
  <c r="J63" i="6"/>
  <c r="L63" i="6" s="1"/>
  <c r="M63" i="6" s="1"/>
  <c r="I63" i="6"/>
  <c r="G63" i="6"/>
  <c r="I62" i="6"/>
  <c r="G62" i="6"/>
  <c r="J62" i="6" s="1"/>
  <c r="L62" i="6" s="1"/>
  <c r="M62" i="6" s="1"/>
  <c r="J61" i="6"/>
  <c r="I61" i="6"/>
  <c r="G61" i="6"/>
  <c r="I60" i="6"/>
  <c r="G60" i="6"/>
  <c r="J60" i="6" s="1"/>
  <c r="L60" i="6" s="1"/>
  <c r="M60" i="6" s="1"/>
  <c r="J59" i="6"/>
  <c r="L59" i="6" s="1"/>
  <c r="M59" i="6" s="1"/>
  <c r="I59" i="6"/>
  <c r="G59" i="6"/>
  <c r="I58" i="6"/>
  <c r="G58" i="6"/>
  <c r="J58" i="6" s="1"/>
  <c r="I57" i="6"/>
  <c r="G57" i="6"/>
  <c r="J57" i="6" s="1"/>
  <c r="L57" i="6" s="1"/>
  <c r="M57" i="6" s="1"/>
  <c r="I56" i="6"/>
  <c r="G56" i="6"/>
  <c r="J56" i="6" s="1"/>
  <c r="L56" i="6" s="1"/>
  <c r="M56" i="6" s="1"/>
  <c r="I55" i="6"/>
  <c r="G55" i="6"/>
  <c r="J55" i="6" s="1"/>
  <c r="J54" i="6"/>
  <c r="L54" i="6" s="1"/>
  <c r="M54" i="6" s="1"/>
  <c r="I54" i="6"/>
  <c r="G54" i="6"/>
  <c r="J53" i="6"/>
  <c r="L53" i="6" s="1"/>
  <c r="M53" i="6" s="1"/>
  <c r="I53" i="6"/>
  <c r="G53" i="6"/>
  <c r="I52" i="6"/>
  <c r="G52" i="6"/>
  <c r="J52" i="6" s="1"/>
  <c r="L52" i="6" s="1"/>
  <c r="M52" i="6" s="1"/>
  <c r="J51" i="6"/>
  <c r="L51" i="6" s="1"/>
  <c r="M51" i="6" s="1"/>
  <c r="I51" i="6"/>
  <c r="I50" i="6"/>
  <c r="G50" i="6"/>
  <c r="J50" i="6" s="1"/>
  <c r="J49" i="6"/>
  <c r="L49" i="6" s="1"/>
  <c r="M49" i="6" s="1"/>
  <c r="I49" i="6"/>
  <c r="G49" i="6"/>
  <c r="I48" i="6"/>
  <c r="F72" i="6"/>
  <c r="J47" i="6"/>
  <c r="L47" i="6" s="1"/>
  <c r="M47" i="6" s="1"/>
  <c r="I47" i="6"/>
  <c r="G47" i="6"/>
  <c r="J46" i="6"/>
  <c r="I46" i="6"/>
  <c r="G46" i="6"/>
  <c r="I45" i="6"/>
  <c r="G45" i="6"/>
  <c r="J45" i="6" s="1"/>
  <c r="L45" i="6" s="1"/>
  <c r="M45" i="6" s="1"/>
  <c r="I44" i="6"/>
  <c r="G44" i="6"/>
  <c r="J44" i="6" s="1"/>
  <c r="I43" i="6"/>
  <c r="G43" i="6"/>
  <c r="J43" i="6" s="1"/>
  <c r="L43" i="6" s="1"/>
  <c r="M43" i="6" s="1"/>
  <c r="I42" i="6"/>
  <c r="G42" i="6"/>
  <c r="J42" i="6" s="1"/>
  <c r="I41" i="6"/>
  <c r="G41" i="6"/>
  <c r="J41" i="6" s="1"/>
  <c r="I40" i="6"/>
  <c r="G40" i="6"/>
  <c r="J40" i="6" s="1"/>
  <c r="L40" i="6" s="1"/>
  <c r="M40" i="6" s="1"/>
  <c r="I39" i="6"/>
  <c r="G39" i="6"/>
  <c r="J39" i="6" s="1"/>
  <c r="I38" i="6"/>
  <c r="G38" i="6"/>
  <c r="J38" i="6" s="1"/>
  <c r="L38" i="6" s="1"/>
  <c r="M38" i="6" s="1"/>
  <c r="L37" i="6"/>
  <c r="M37" i="6" s="1"/>
  <c r="J37" i="6"/>
  <c r="I37" i="6"/>
  <c r="G37" i="6"/>
  <c r="I36" i="6"/>
  <c r="G36" i="6"/>
  <c r="J36" i="6" s="1"/>
  <c r="I35" i="6"/>
  <c r="G35" i="6"/>
  <c r="J35" i="6" s="1"/>
  <c r="L35" i="6" s="1"/>
  <c r="M35" i="6" s="1"/>
  <c r="J34" i="6"/>
  <c r="L34" i="6" s="1"/>
  <c r="M34" i="6" s="1"/>
  <c r="I34" i="6"/>
  <c r="I33" i="6"/>
  <c r="G33" i="6"/>
  <c r="J33" i="6" s="1"/>
  <c r="J32" i="6"/>
  <c r="L32" i="6" s="1"/>
  <c r="M32" i="6" s="1"/>
  <c r="I32" i="6"/>
  <c r="G32" i="6"/>
  <c r="I31" i="6"/>
  <c r="G31" i="6"/>
  <c r="I30" i="6"/>
  <c r="G30" i="6"/>
  <c r="J30" i="6" s="1"/>
  <c r="L30" i="6" s="1"/>
  <c r="M30" i="6" s="1"/>
  <c r="I29" i="6"/>
  <c r="G29" i="6"/>
  <c r="J29" i="6" s="1"/>
  <c r="I28" i="6"/>
  <c r="Q121" i="5"/>
  <c r="P121" i="5"/>
  <c r="O121" i="5"/>
  <c r="M121" i="5"/>
  <c r="Q120" i="5"/>
  <c r="P120" i="5"/>
  <c r="O120" i="5"/>
  <c r="M120" i="5"/>
  <c r="Q119" i="5"/>
  <c r="P119" i="5"/>
  <c r="O119" i="5"/>
  <c r="M119" i="5"/>
  <c r="Q118" i="5"/>
  <c r="P118" i="5"/>
  <c r="O118" i="5"/>
  <c r="M118" i="5"/>
  <c r="Q117" i="5"/>
  <c r="P117" i="5"/>
  <c r="O117" i="5"/>
  <c r="M117" i="5"/>
  <c r="Q116" i="5"/>
  <c r="P116" i="5"/>
  <c r="O116" i="5"/>
  <c r="M116" i="5"/>
  <c r="Q115" i="5"/>
  <c r="P115" i="5"/>
  <c r="O115" i="5"/>
  <c r="M115" i="5"/>
  <c r="Q114" i="5"/>
  <c r="P114" i="5"/>
  <c r="O114" i="5"/>
  <c r="M114" i="5"/>
  <c r="Q113" i="5"/>
  <c r="P113" i="5"/>
  <c r="O113" i="5"/>
  <c r="M113" i="5"/>
  <c r="Q112" i="5"/>
  <c r="P112" i="5"/>
  <c r="O112" i="5"/>
  <c r="M112" i="5"/>
  <c r="Q111" i="5"/>
  <c r="P111" i="5"/>
  <c r="O111" i="5"/>
  <c r="M111" i="5"/>
  <c r="Q110" i="5"/>
  <c r="P110" i="5"/>
  <c r="O110" i="5"/>
  <c r="M110" i="5"/>
  <c r="Q109" i="5"/>
  <c r="P109" i="5"/>
  <c r="O109" i="5"/>
  <c r="M109" i="5"/>
  <c r="Q108" i="5"/>
  <c r="P108" i="5"/>
  <c r="O108" i="5"/>
  <c r="M108" i="5"/>
  <c r="Q107" i="5"/>
  <c r="P107" i="5"/>
  <c r="O107" i="5"/>
  <c r="M107" i="5"/>
  <c r="Q106" i="5"/>
  <c r="P106" i="5"/>
  <c r="O106" i="5"/>
  <c r="M106" i="5"/>
  <c r="Q105" i="5"/>
  <c r="P105" i="5"/>
  <c r="O105" i="5"/>
  <c r="M105" i="5"/>
  <c r="Q104" i="5"/>
  <c r="P104" i="5"/>
  <c r="O104" i="5"/>
  <c r="M104" i="5"/>
  <c r="Q103" i="5"/>
  <c r="P103" i="5"/>
  <c r="O103" i="5"/>
  <c r="M103" i="5"/>
  <c r="Q102" i="5"/>
  <c r="P102" i="5"/>
  <c r="O102" i="5"/>
  <c r="M102" i="5"/>
  <c r="Q101" i="5"/>
  <c r="P101" i="5"/>
  <c r="O101" i="5"/>
  <c r="M101" i="5"/>
  <c r="Q100" i="5"/>
  <c r="P100" i="5"/>
  <c r="O100" i="5"/>
  <c r="M100" i="5"/>
  <c r="Q99" i="5"/>
  <c r="P99" i="5"/>
  <c r="O99" i="5"/>
  <c r="M99" i="5"/>
  <c r="Q98" i="5"/>
  <c r="P98" i="5"/>
  <c r="O98" i="5"/>
  <c r="M98" i="5"/>
  <c r="Q97" i="5"/>
  <c r="P97" i="5"/>
  <c r="O97" i="5"/>
  <c r="M97" i="5"/>
  <c r="Q96" i="5"/>
  <c r="P96" i="5"/>
  <c r="O96" i="5"/>
  <c r="M96" i="5"/>
  <c r="Q95" i="5"/>
  <c r="P95" i="5"/>
  <c r="O95" i="5"/>
  <c r="M95" i="5"/>
  <c r="Q94" i="5"/>
  <c r="P94" i="5"/>
  <c r="O94" i="5"/>
  <c r="M94" i="5"/>
  <c r="Q93" i="5"/>
  <c r="P93" i="5"/>
  <c r="O93" i="5"/>
  <c r="M93" i="5"/>
  <c r="Q92" i="5"/>
  <c r="P92" i="5"/>
  <c r="O92" i="5"/>
  <c r="M92" i="5"/>
  <c r="Q91" i="5"/>
  <c r="P91" i="5"/>
  <c r="O91" i="5"/>
  <c r="M91" i="5"/>
  <c r="Q90" i="5"/>
  <c r="P90" i="5"/>
  <c r="O90" i="5"/>
  <c r="M90" i="5"/>
  <c r="Q89" i="5"/>
  <c r="P89" i="5"/>
  <c r="O89" i="5"/>
  <c r="M89" i="5"/>
  <c r="Q88" i="5"/>
  <c r="P88" i="5"/>
  <c r="O88" i="5"/>
  <c r="M88" i="5"/>
  <c r="Q87" i="5"/>
  <c r="P87" i="5"/>
  <c r="O87" i="5"/>
  <c r="M87" i="5"/>
  <c r="Q80" i="5"/>
  <c r="P80" i="5"/>
  <c r="O80" i="5"/>
  <c r="M80" i="5"/>
  <c r="Q79" i="5"/>
  <c r="P79" i="5"/>
  <c r="O79" i="5"/>
  <c r="M79" i="5"/>
  <c r="Q78" i="5"/>
  <c r="P78" i="5"/>
  <c r="O78" i="5"/>
  <c r="M78" i="5"/>
  <c r="Q77" i="5"/>
  <c r="P77" i="5"/>
  <c r="O77" i="5"/>
  <c r="M77" i="5"/>
  <c r="Q76" i="5"/>
  <c r="P76" i="5"/>
  <c r="O76" i="5"/>
  <c r="M76" i="5"/>
  <c r="Q75" i="5"/>
  <c r="P75" i="5"/>
  <c r="O75" i="5"/>
  <c r="M75" i="5"/>
  <c r="Q74" i="5"/>
  <c r="P74" i="5"/>
  <c r="O74" i="5"/>
  <c r="M74" i="5"/>
  <c r="Q73" i="5"/>
  <c r="P73" i="5"/>
  <c r="O73" i="5"/>
  <c r="M73" i="5"/>
  <c r="Q72" i="5"/>
  <c r="P72" i="5"/>
  <c r="O72" i="5"/>
  <c r="M72" i="5"/>
  <c r="Q71" i="5"/>
  <c r="P71" i="5"/>
  <c r="O71" i="5"/>
  <c r="M71" i="5"/>
  <c r="Q70" i="5"/>
  <c r="P70" i="5"/>
  <c r="O70" i="5"/>
  <c r="M70" i="5"/>
  <c r="Q69" i="5"/>
  <c r="P69" i="5"/>
  <c r="O69" i="5"/>
  <c r="M69" i="5"/>
  <c r="Q68" i="5"/>
  <c r="P68" i="5"/>
  <c r="O68" i="5"/>
  <c r="M68" i="5"/>
  <c r="Q67" i="5"/>
  <c r="P67" i="5"/>
  <c r="O67" i="5"/>
  <c r="M67" i="5"/>
  <c r="Q66" i="5"/>
  <c r="P66" i="5"/>
  <c r="O66" i="5"/>
  <c r="M66" i="5"/>
  <c r="Q65" i="5"/>
  <c r="P65" i="5"/>
  <c r="O65" i="5"/>
  <c r="M65" i="5"/>
  <c r="Q64" i="5"/>
  <c r="P64" i="5"/>
  <c r="O64" i="5"/>
  <c r="M64" i="5"/>
  <c r="Q63" i="5"/>
  <c r="P63" i="5"/>
  <c r="O63" i="5"/>
  <c r="M63" i="5"/>
  <c r="Q62" i="5"/>
  <c r="P62" i="5"/>
  <c r="O62" i="5"/>
  <c r="M62" i="5"/>
  <c r="Q61" i="5"/>
  <c r="P61" i="5"/>
  <c r="O61" i="5"/>
  <c r="M61" i="5"/>
  <c r="Q60" i="5"/>
  <c r="P60" i="5"/>
  <c r="O60" i="5"/>
  <c r="M60" i="5"/>
  <c r="Q59" i="5"/>
  <c r="P59" i="5"/>
  <c r="O59" i="5"/>
  <c r="M59" i="5"/>
  <c r="Q58" i="5"/>
  <c r="P58" i="5"/>
  <c r="O58" i="5"/>
  <c r="M58" i="5"/>
  <c r="Q57" i="5"/>
  <c r="P57" i="5"/>
  <c r="O57" i="5"/>
  <c r="M57" i="5"/>
  <c r="Q56" i="5"/>
  <c r="P56" i="5"/>
  <c r="O56" i="5"/>
  <c r="M56" i="5"/>
  <c r="Q55" i="5"/>
  <c r="P55" i="5"/>
  <c r="O55" i="5"/>
  <c r="M55" i="5"/>
  <c r="Q54" i="5"/>
  <c r="P54" i="5"/>
  <c r="O54" i="5"/>
  <c r="M54" i="5"/>
  <c r="Q53" i="5"/>
  <c r="P53" i="5"/>
  <c r="O53" i="5"/>
  <c r="M53" i="5"/>
  <c r="Q52" i="5"/>
  <c r="P52" i="5"/>
  <c r="O52" i="5"/>
  <c r="M52" i="5"/>
  <c r="Q51" i="5"/>
  <c r="P51" i="5"/>
  <c r="O51" i="5"/>
  <c r="M51" i="5"/>
  <c r="Q50" i="5"/>
  <c r="P50" i="5"/>
  <c r="O50" i="5"/>
  <c r="M50" i="5"/>
  <c r="Q49" i="5"/>
  <c r="P49" i="5"/>
  <c r="O49" i="5"/>
  <c r="M49" i="5"/>
  <c r="Q48" i="5"/>
  <c r="P48" i="5"/>
  <c r="O48" i="5"/>
  <c r="M48" i="5"/>
  <c r="Q47" i="5"/>
  <c r="P47" i="5"/>
  <c r="O47" i="5"/>
  <c r="M47" i="5"/>
  <c r="Q46" i="5"/>
  <c r="P46" i="5"/>
  <c r="O46" i="5"/>
  <c r="M46" i="5"/>
  <c r="Q45" i="5"/>
  <c r="P45" i="5"/>
  <c r="O45" i="5"/>
  <c r="M45" i="5"/>
  <c r="Q44" i="5"/>
  <c r="P44" i="5"/>
  <c r="O44" i="5"/>
  <c r="M44" i="5"/>
  <c r="Q43" i="5"/>
  <c r="P43" i="5"/>
  <c r="O43" i="5"/>
  <c r="M43" i="5"/>
  <c r="Q42" i="5"/>
  <c r="P42" i="5"/>
  <c r="O42" i="5"/>
  <c r="M42" i="5"/>
  <c r="Q41" i="5"/>
  <c r="P41" i="5"/>
  <c r="O41" i="5"/>
  <c r="M41" i="5"/>
  <c r="Q40" i="5"/>
  <c r="P40" i="5"/>
  <c r="O40" i="5"/>
  <c r="M40" i="5"/>
  <c r="Q39" i="5"/>
  <c r="P39" i="5"/>
  <c r="O39" i="5"/>
  <c r="M39" i="5"/>
  <c r="Q38" i="5"/>
  <c r="P38" i="5"/>
  <c r="O38" i="5"/>
  <c r="M38" i="5"/>
  <c r="Q37" i="5"/>
  <c r="P37" i="5"/>
  <c r="O37" i="5"/>
  <c r="M37" i="5"/>
  <c r="Q36" i="5"/>
  <c r="P36" i="5"/>
  <c r="O36" i="5"/>
  <c r="M36" i="5"/>
  <c r="Q35" i="5"/>
  <c r="P35" i="5"/>
  <c r="O35" i="5"/>
  <c r="M35" i="5"/>
  <c r="Q34" i="5"/>
  <c r="P34" i="5"/>
  <c r="O34" i="5"/>
  <c r="M34" i="5"/>
  <c r="Q33" i="5"/>
  <c r="P33" i="5"/>
  <c r="O33" i="5"/>
  <c r="M33" i="5"/>
  <c r="Q32" i="5"/>
  <c r="P32" i="5"/>
  <c r="O32" i="5"/>
  <c r="M32" i="5"/>
  <c r="Q31" i="5"/>
  <c r="P31" i="5"/>
  <c r="O31" i="5"/>
  <c r="M31" i="5"/>
  <c r="Q30" i="5"/>
  <c r="P30" i="5"/>
  <c r="O30" i="5"/>
  <c r="M30" i="5"/>
  <c r="Q29" i="5"/>
  <c r="P29" i="5"/>
  <c r="O29" i="5"/>
  <c r="M29" i="5"/>
  <c r="Q28" i="5"/>
  <c r="P28" i="5"/>
  <c r="O28" i="5"/>
  <c r="M28" i="5"/>
  <c r="Q27" i="5"/>
  <c r="P27" i="5"/>
  <c r="O27" i="5"/>
  <c r="M27" i="5"/>
  <c r="Q26" i="5"/>
  <c r="P26" i="5"/>
  <c r="O26" i="5"/>
  <c r="M26" i="5"/>
  <c r="Q25" i="5"/>
  <c r="P25" i="5"/>
  <c r="O25" i="5"/>
  <c r="M25" i="5"/>
  <c r="Q24" i="5"/>
  <c r="P24" i="5"/>
  <c r="O24" i="5"/>
  <c r="M24" i="5"/>
  <c r="Q23" i="5"/>
  <c r="P23" i="5"/>
  <c r="O23" i="5"/>
  <c r="M23" i="5"/>
  <c r="Q22" i="5"/>
  <c r="P22" i="5"/>
  <c r="O22" i="5"/>
  <c r="M22" i="5"/>
  <c r="Q21" i="5"/>
  <c r="P21" i="5"/>
  <c r="O21" i="5"/>
  <c r="M21" i="5"/>
  <c r="Q20" i="5"/>
  <c r="P20" i="5"/>
  <c r="O20" i="5"/>
  <c r="M20" i="5"/>
  <c r="Q19" i="5"/>
  <c r="P19" i="5"/>
  <c r="O19" i="5"/>
  <c r="M19" i="5"/>
  <c r="Q18" i="5"/>
  <c r="P18" i="5"/>
  <c r="O18" i="5"/>
  <c r="M18" i="5"/>
  <c r="Q17" i="5"/>
  <c r="P17" i="5"/>
  <c r="O17" i="5"/>
  <c r="M17" i="5"/>
  <c r="N304" i="4"/>
  <c r="M302" i="4"/>
  <c r="L302" i="4"/>
  <c r="F302" i="4"/>
  <c r="F303" i="4" s="1"/>
  <c r="F305" i="4" s="1"/>
  <c r="E302" i="4"/>
  <c r="E303" i="4" s="1"/>
  <c r="E305" i="4" s="1"/>
  <c r="M300" i="4"/>
  <c r="M303" i="4" s="1"/>
  <c r="M305" i="4" s="1"/>
  <c r="L300" i="4"/>
  <c r="L303" i="4" s="1"/>
  <c r="L305" i="4" s="1"/>
  <c r="L307" i="4" s="1"/>
  <c r="F300" i="4"/>
  <c r="E300" i="4"/>
  <c r="K279" i="4"/>
  <c r="N279" i="4" s="1"/>
  <c r="K276" i="4"/>
  <c r="N276" i="4" s="1"/>
  <c r="N266" i="4"/>
  <c r="L263" i="4"/>
  <c r="L247" i="4"/>
  <c r="L245" i="4"/>
  <c r="N244" i="4"/>
  <c r="M243" i="4"/>
  <c r="M245" i="4" s="1"/>
  <c r="M242" i="4"/>
  <c r="L242" i="4"/>
  <c r="F242" i="4"/>
  <c r="F243" i="4" s="1"/>
  <c r="F245" i="4" s="1"/>
  <c r="E242" i="4"/>
  <c r="E243" i="4" s="1"/>
  <c r="E245" i="4" s="1"/>
  <c r="D242" i="4"/>
  <c r="G242" i="4" s="1"/>
  <c r="K241" i="4"/>
  <c r="N241" i="4" s="1"/>
  <c r="K301" i="4" s="1"/>
  <c r="N301" i="4" s="1"/>
  <c r="M240" i="4"/>
  <c r="F240" i="4"/>
  <c r="E240" i="4"/>
  <c r="N233" i="4"/>
  <c r="K293" i="4" s="1"/>
  <c r="N293" i="4" s="1"/>
  <c r="N225" i="4"/>
  <c r="K285" i="4" s="1"/>
  <c r="N285" i="4" s="1"/>
  <c r="D218" i="4"/>
  <c r="G218" i="4" s="1"/>
  <c r="K215" i="4"/>
  <c r="N215" i="4" s="1"/>
  <c r="K275" i="4" s="1"/>
  <c r="N275" i="4" s="1"/>
  <c r="K205" i="4"/>
  <c r="N205" i="4" s="1"/>
  <c r="K265" i="4" s="1"/>
  <c r="N265" i="4" s="1"/>
  <c r="L203" i="4"/>
  <c r="L240" i="4" s="1"/>
  <c r="L243" i="4" s="1"/>
  <c r="N184" i="4"/>
  <c r="O184" i="4" s="1"/>
  <c r="M183" i="4"/>
  <c r="M185" i="4" s="1"/>
  <c r="M180" i="4"/>
  <c r="F180" i="4"/>
  <c r="F183" i="4" s="1"/>
  <c r="F185" i="4" s="1"/>
  <c r="L178" i="4"/>
  <c r="E178" i="4"/>
  <c r="K176" i="4"/>
  <c r="N176" i="4" s="1"/>
  <c r="K236" i="4" s="1"/>
  <c r="N236" i="4" s="1"/>
  <c r="K296" i="4" s="1"/>
  <c r="N296" i="4" s="1"/>
  <c r="L173" i="4"/>
  <c r="E173" i="4"/>
  <c r="N172" i="4"/>
  <c r="K232" i="4" s="1"/>
  <c r="N232" i="4" s="1"/>
  <c r="K292" i="4" s="1"/>
  <c r="N292" i="4" s="1"/>
  <c r="D167" i="4"/>
  <c r="G167" i="4" s="1"/>
  <c r="K163" i="4"/>
  <c r="N163" i="4" s="1"/>
  <c r="K223" i="4" s="1"/>
  <c r="N223" i="4" s="1"/>
  <c r="K283" i="4" s="1"/>
  <c r="N283" i="4" s="1"/>
  <c r="L160" i="4"/>
  <c r="K155" i="4"/>
  <c r="N155" i="4" s="1"/>
  <c r="D155" i="4"/>
  <c r="G155" i="4" s="1"/>
  <c r="L150" i="4"/>
  <c r="E150" i="4"/>
  <c r="L149" i="4"/>
  <c r="E148" i="4"/>
  <c r="E180" i="4" s="1"/>
  <c r="E183" i="4" s="1"/>
  <c r="E185" i="4" s="1"/>
  <c r="L147" i="4"/>
  <c r="E147" i="4"/>
  <c r="L146" i="4"/>
  <c r="E146" i="4"/>
  <c r="L143" i="4"/>
  <c r="K141" i="4"/>
  <c r="N141" i="4" s="1"/>
  <c r="K201" i="4" s="1"/>
  <c r="N201" i="4" s="1"/>
  <c r="K261" i="4" s="1"/>
  <c r="N261" i="4" s="1"/>
  <c r="K140" i="4"/>
  <c r="N140" i="4" s="1"/>
  <c r="K200" i="4" s="1"/>
  <c r="N200" i="4" s="1"/>
  <c r="K260" i="4" s="1"/>
  <c r="N260" i="4" s="1"/>
  <c r="K139" i="4"/>
  <c r="N139" i="4" s="1"/>
  <c r="K199" i="4" s="1"/>
  <c r="N199" i="4" s="1"/>
  <c r="K259" i="4" s="1"/>
  <c r="N259" i="4" s="1"/>
  <c r="E136" i="4"/>
  <c r="F132" i="4"/>
  <c r="M127" i="4"/>
  <c r="L125" i="4"/>
  <c r="O124" i="4"/>
  <c r="H124" i="4"/>
  <c r="D184" i="4" s="1"/>
  <c r="G184" i="4" s="1"/>
  <c r="D244" i="4" s="1"/>
  <c r="G244" i="4" s="1"/>
  <c r="D124" i="4"/>
  <c r="N123" i="4"/>
  <c r="N125" i="4" s="1"/>
  <c r="O122" i="4"/>
  <c r="K182" i="4" s="1"/>
  <c r="N182" i="4" s="1"/>
  <c r="K242" i="4" s="1"/>
  <c r="N242" i="4" s="1"/>
  <c r="K302" i="4" s="1"/>
  <c r="N302" i="4" s="1"/>
  <c r="D122" i="4"/>
  <c r="H122" i="4" s="1"/>
  <c r="D182" i="4" s="1"/>
  <c r="G182" i="4" s="1"/>
  <c r="O182" i="4" s="1"/>
  <c r="K121" i="4"/>
  <c r="O121" i="4" s="1"/>
  <c r="K181" i="4" s="1"/>
  <c r="N181" i="4" s="1"/>
  <c r="D121" i="4"/>
  <c r="H121" i="4" s="1"/>
  <c r="N120" i="4"/>
  <c r="L120" i="4"/>
  <c r="L123" i="4" s="1"/>
  <c r="G120" i="4"/>
  <c r="G123" i="4" s="1"/>
  <c r="G125" i="4" s="1"/>
  <c r="F120" i="4"/>
  <c r="F123" i="4" s="1"/>
  <c r="F125" i="4" s="1"/>
  <c r="E120" i="4"/>
  <c r="E123" i="4" s="1"/>
  <c r="E125" i="4" s="1"/>
  <c r="O119" i="4"/>
  <c r="K179" i="4" s="1"/>
  <c r="N179" i="4" s="1"/>
  <c r="K239" i="4" s="1"/>
  <c r="N239" i="4" s="1"/>
  <c r="K299" i="4" s="1"/>
  <c r="N299" i="4" s="1"/>
  <c r="K119" i="4"/>
  <c r="D119" i="4"/>
  <c r="H119" i="4" s="1"/>
  <c r="D179" i="4" s="1"/>
  <c r="G179" i="4" s="1"/>
  <c r="K115" i="4"/>
  <c r="O115" i="4" s="1"/>
  <c r="K175" i="4" s="1"/>
  <c r="N175" i="4" s="1"/>
  <c r="K235" i="4" s="1"/>
  <c r="N235" i="4" s="1"/>
  <c r="K295" i="4" s="1"/>
  <c r="N295" i="4" s="1"/>
  <c r="D115" i="4"/>
  <c r="H115" i="4" s="1"/>
  <c r="K114" i="4"/>
  <c r="O114" i="4" s="1"/>
  <c r="K174" i="4" s="1"/>
  <c r="N174" i="4" s="1"/>
  <c r="K234" i="4" s="1"/>
  <c r="N234" i="4" s="1"/>
  <c r="K294" i="4" s="1"/>
  <c r="N294" i="4" s="1"/>
  <c r="D114" i="4"/>
  <c r="H114" i="4" s="1"/>
  <c r="K113" i="4"/>
  <c r="O113" i="4" s="1"/>
  <c r="K173" i="4" s="1"/>
  <c r="N173" i="4" s="1"/>
  <c r="K233" i="4" s="1"/>
  <c r="D113" i="4"/>
  <c r="H113" i="4" s="1"/>
  <c r="O112" i="4"/>
  <c r="K172" i="4" s="1"/>
  <c r="O109" i="4"/>
  <c r="K169" i="4" s="1"/>
  <c r="N169" i="4" s="1"/>
  <c r="K229" i="4" s="1"/>
  <c r="N229" i="4" s="1"/>
  <c r="K289" i="4" s="1"/>
  <c r="N289" i="4" s="1"/>
  <c r="K109" i="4"/>
  <c r="D109" i="4"/>
  <c r="H109" i="4" s="1"/>
  <c r="K108" i="4"/>
  <c r="O108" i="4" s="1"/>
  <c r="K168" i="4" s="1"/>
  <c r="N168" i="4" s="1"/>
  <c r="K228" i="4" s="1"/>
  <c r="N228" i="4" s="1"/>
  <c r="K288" i="4" s="1"/>
  <c r="N288" i="4" s="1"/>
  <c r="K107" i="4"/>
  <c r="O107" i="4" s="1"/>
  <c r="K167" i="4" s="1"/>
  <c r="N167" i="4" s="1"/>
  <c r="K227" i="4" s="1"/>
  <c r="N227" i="4" s="1"/>
  <c r="K287" i="4" s="1"/>
  <c r="N287" i="4" s="1"/>
  <c r="H107" i="4"/>
  <c r="D107" i="4"/>
  <c r="K106" i="4"/>
  <c r="O106" i="4" s="1"/>
  <c r="K166" i="4" s="1"/>
  <c r="N166" i="4" s="1"/>
  <c r="K226" i="4" s="1"/>
  <c r="N226" i="4" s="1"/>
  <c r="K286" i="4" s="1"/>
  <c r="N286" i="4" s="1"/>
  <c r="K105" i="4"/>
  <c r="O105" i="4" s="1"/>
  <c r="K165" i="4" s="1"/>
  <c r="N165" i="4" s="1"/>
  <c r="K225" i="4" s="1"/>
  <c r="H105" i="4"/>
  <c r="K104" i="4"/>
  <c r="O104" i="4" s="1"/>
  <c r="K164" i="4" s="1"/>
  <c r="N164" i="4" s="1"/>
  <c r="K224" i="4" s="1"/>
  <c r="N224" i="4" s="1"/>
  <c r="K284" i="4" s="1"/>
  <c r="N284" i="4" s="1"/>
  <c r="D104" i="4"/>
  <c r="H104" i="4" s="1"/>
  <c r="H103" i="4"/>
  <c r="D163" i="4" s="1"/>
  <c r="G163" i="4" s="1"/>
  <c r="D103" i="4"/>
  <c r="K101" i="4"/>
  <c r="O101" i="4" s="1"/>
  <c r="K161" i="4" s="1"/>
  <c r="N161" i="4" s="1"/>
  <c r="K221" i="4" s="1"/>
  <c r="N221" i="4" s="1"/>
  <c r="K281" i="4" s="1"/>
  <c r="N281" i="4" s="1"/>
  <c r="D100" i="4"/>
  <c r="H100" i="4" s="1"/>
  <c r="K99" i="4"/>
  <c r="O99" i="4" s="1"/>
  <c r="K159" i="4" s="1"/>
  <c r="N159" i="4" s="1"/>
  <c r="K219" i="4" s="1"/>
  <c r="N219" i="4" s="1"/>
  <c r="D97" i="4"/>
  <c r="H97" i="4" s="1"/>
  <c r="K96" i="4"/>
  <c r="O96" i="4" s="1"/>
  <c r="K156" i="4" s="1"/>
  <c r="N156" i="4" s="1"/>
  <c r="K216" i="4" s="1"/>
  <c r="N216" i="4" s="1"/>
  <c r="D96" i="4"/>
  <c r="H96" i="4" s="1"/>
  <c r="D95" i="4"/>
  <c r="H95" i="4" s="1"/>
  <c r="P95" i="4" s="1"/>
  <c r="K94" i="4"/>
  <c r="O94" i="4" s="1"/>
  <c r="K154" i="4" s="1"/>
  <c r="N154" i="4" s="1"/>
  <c r="K214" i="4" s="1"/>
  <c r="N214" i="4" s="1"/>
  <c r="K274" i="4" s="1"/>
  <c r="N274" i="4" s="1"/>
  <c r="D94" i="4"/>
  <c r="H94" i="4" s="1"/>
  <c r="K93" i="4"/>
  <c r="O93" i="4" s="1"/>
  <c r="K153" i="4" s="1"/>
  <c r="N153" i="4" s="1"/>
  <c r="K213" i="4" s="1"/>
  <c r="N213" i="4" s="1"/>
  <c r="K273" i="4" s="1"/>
  <c r="N273" i="4" s="1"/>
  <c r="D93" i="4"/>
  <c r="H93" i="4" s="1"/>
  <c r="D153" i="4" s="1"/>
  <c r="G153" i="4" s="1"/>
  <c r="K92" i="4"/>
  <c r="O92" i="4" s="1"/>
  <c r="K152" i="4" s="1"/>
  <c r="N152" i="4" s="1"/>
  <c r="K212" i="4" s="1"/>
  <c r="N212" i="4" s="1"/>
  <c r="K272" i="4" s="1"/>
  <c r="N272" i="4" s="1"/>
  <c r="D92" i="4"/>
  <c r="H92" i="4" s="1"/>
  <c r="D152" i="4" s="1"/>
  <c r="G152" i="4" s="1"/>
  <c r="O152" i="4" s="1"/>
  <c r="K89" i="4"/>
  <c r="O89" i="4" s="1"/>
  <c r="K149" i="4" s="1"/>
  <c r="N149" i="4" s="1"/>
  <c r="K209" i="4" s="1"/>
  <c r="N209" i="4" s="1"/>
  <c r="K269" i="4" s="1"/>
  <c r="N269" i="4" s="1"/>
  <c r="D89" i="4"/>
  <c r="H89" i="4" s="1"/>
  <c r="K88" i="4"/>
  <c r="O88" i="4" s="1"/>
  <c r="K148" i="4" s="1"/>
  <c r="N148" i="4" s="1"/>
  <c r="K208" i="4" s="1"/>
  <c r="N208" i="4" s="1"/>
  <c r="K268" i="4" s="1"/>
  <c r="N268" i="4" s="1"/>
  <c r="D88" i="4"/>
  <c r="H88" i="4" s="1"/>
  <c r="K87" i="4"/>
  <c r="O87" i="4" s="1"/>
  <c r="K147" i="4" s="1"/>
  <c r="D87" i="4"/>
  <c r="H87" i="4" s="1"/>
  <c r="M83" i="4"/>
  <c r="M120" i="4" s="1"/>
  <c r="M123" i="4" s="1"/>
  <c r="M125" i="4" s="1"/>
  <c r="K83" i="4"/>
  <c r="O83" i="4" s="1"/>
  <c r="K143" i="4" s="1"/>
  <c r="N143" i="4" s="1"/>
  <c r="K203" i="4" s="1"/>
  <c r="N203" i="4" s="1"/>
  <c r="K263" i="4" s="1"/>
  <c r="N263" i="4" s="1"/>
  <c r="F83" i="4"/>
  <c r="K82" i="4"/>
  <c r="O82" i="4" s="1"/>
  <c r="K142" i="4" s="1"/>
  <c r="N142" i="4" s="1"/>
  <c r="K202" i="4" s="1"/>
  <c r="N202" i="4" s="1"/>
  <c r="K262" i="4" s="1"/>
  <c r="N262" i="4" s="1"/>
  <c r="K81" i="4"/>
  <c r="O81" i="4" s="1"/>
  <c r="D81" i="4"/>
  <c r="H81" i="4" s="1"/>
  <c r="K80" i="4"/>
  <c r="O80" i="4" s="1"/>
  <c r="D78" i="4"/>
  <c r="H78" i="4" s="1"/>
  <c r="P77" i="4"/>
  <c r="D76" i="4"/>
  <c r="H76" i="4" s="1"/>
  <c r="F72" i="4"/>
  <c r="I72" i="4" s="1"/>
  <c r="O64" i="4"/>
  <c r="N64" i="4"/>
  <c r="G64" i="4"/>
  <c r="M63" i="4"/>
  <c r="M65" i="4" s="1"/>
  <c r="K63" i="4"/>
  <c r="K65" i="4" s="1"/>
  <c r="F63" i="4"/>
  <c r="F65" i="4" s="1"/>
  <c r="D63" i="4"/>
  <c r="D65" i="4" s="1"/>
  <c r="N62" i="4"/>
  <c r="K122" i="4" s="1"/>
  <c r="G62" i="4"/>
  <c r="N61" i="4"/>
  <c r="G61" i="4"/>
  <c r="O61" i="4" s="1"/>
  <c r="M60" i="4"/>
  <c r="K60" i="4"/>
  <c r="F60" i="4"/>
  <c r="D60" i="4"/>
  <c r="N59" i="4"/>
  <c r="G59" i="4"/>
  <c r="O59" i="4" s="1"/>
  <c r="L58" i="4"/>
  <c r="N58" i="4" s="1"/>
  <c r="K118" i="4" s="1"/>
  <c r="O118" i="4" s="1"/>
  <c r="K178" i="4" s="1"/>
  <c r="N178" i="4" s="1"/>
  <c r="K238" i="4" s="1"/>
  <c r="N238" i="4" s="1"/>
  <c r="K298" i="4" s="1"/>
  <c r="N298" i="4" s="1"/>
  <c r="E58" i="4"/>
  <c r="G58" i="4" s="1"/>
  <c r="N57" i="4"/>
  <c r="K117" i="4" s="1"/>
  <c r="O117" i="4" s="1"/>
  <c r="K177" i="4" s="1"/>
  <c r="N177" i="4" s="1"/>
  <c r="K237" i="4" s="1"/>
  <c r="N237" i="4" s="1"/>
  <c r="K297" i="4" s="1"/>
  <c r="N297" i="4" s="1"/>
  <c r="G57" i="4"/>
  <c r="D117" i="4" s="1"/>
  <c r="H117" i="4" s="1"/>
  <c r="N56" i="4"/>
  <c r="K116" i="4" s="1"/>
  <c r="O116" i="4" s="1"/>
  <c r="G56" i="4"/>
  <c r="O56" i="4" s="1"/>
  <c r="N55" i="4"/>
  <c r="O55" i="4" s="1"/>
  <c r="G55" i="4"/>
  <c r="O54" i="4"/>
  <c r="N54" i="4"/>
  <c r="G54" i="4"/>
  <c r="O53" i="4"/>
  <c r="N53" i="4"/>
  <c r="G53" i="4"/>
  <c r="N52" i="4"/>
  <c r="K112" i="4" s="1"/>
  <c r="G52" i="4"/>
  <c r="D112" i="4" s="1"/>
  <c r="H112" i="4" s="1"/>
  <c r="D172" i="4" s="1"/>
  <c r="G172" i="4" s="1"/>
  <c r="D232" i="4" s="1"/>
  <c r="G232" i="4" s="1"/>
  <c r="N51" i="4"/>
  <c r="K111" i="4" s="1"/>
  <c r="O111" i="4" s="1"/>
  <c r="K171" i="4" s="1"/>
  <c r="N171" i="4" s="1"/>
  <c r="K231" i="4" s="1"/>
  <c r="N231" i="4" s="1"/>
  <c r="K291" i="4" s="1"/>
  <c r="N291" i="4" s="1"/>
  <c r="G51" i="4"/>
  <c r="N50" i="4"/>
  <c r="K110" i="4" s="1"/>
  <c r="O110" i="4" s="1"/>
  <c r="K170" i="4" s="1"/>
  <c r="N170" i="4" s="1"/>
  <c r="K230" i="4" s="1"/>
  <c r="N230" i="4" s="1"/>
  <c r="K290" i="4" s="1"/>
  <c r="N290" i="4" s="1"/>
  <c r="G50" i="4"/>
  <c r="D110" i="4" s="1"/>
  <c r="H110" i="4" s="1"/>
  <c r="O49" i="4"/>
  <c r="N49" i="4"/>
  <c r="G49" i="4"/>
  <c r="N48" i="4"/>
  <c r="G48" i="4"/>
  <c r="N47" i="4"/>
  <c r="O47" i="4" s="1"/>
  <c r="G47" i="4"/>
  <c r="N46" i="4"/>
  <c r="G46" i="4"/>
  <c r="O45" i="4"/>
  <c r="N45" i="4"/>
  <c r="G45" i="4"/>
  <c r="D105" i="4" s="1"/>
  <c r="N44" i="4"/>
  <c r="G44" i="4"/>
  <c r="O44" i="4" s="1"/>
  <c r="N43" i="4"/>
  <c r="K103" i="4" s="1"/>
  <c r="O103" i="4" s="1"/>
  <c r="G43" i="4"/>
  <c r="O43" i="4" s="1"/>
  <c r="N42" i="4"/>
  <c r="K102" i="4" s="1"/>
  <c r="O102" i="4" s="1"/>
  <c r="G42" i="4"/>
  <c r="D102" i="4" s="1"/>
  <c r="H102" i="4" s="1"/>
  <c r="D162" i="4" s="1"/>
  <c r="G162" i="4" s="1"/>
  <c r="O41" i="4"/>
  <c r="N41" i="4"/>
  <c r="G41" i="4"/>
  <c r="D101" i="4" s="1"/>
  <c r="H101" i="4" s="1"/>
  <c r="N40" i="4"/>
  <c r="O40" i="4" s="1"/>
  <c r="G40" i="4"/>
  <c r="N39" i="4"/>
  <c r="G39" i="4"/>
  <c r="N38" i="4"/>
  <c r="K98" i="4" s="1"/>
  <c r="O98" i="4" s="1"/>
  <c r="G38" i="4"/>
  <c r="D98" i="4" s="1"/>
  <c r="H98" i="4" s="1"/>
  <c r="D158" i="4" s="1"/>
  <c r="G158" i="4" s="1"/>
  <c r="N37" i="4"/>
  <c r="K97" i="4" s="1"/>
  <c r="O97" i="4" s="1"/>
  <c r="K157" i="4" s="1"/>
  <c r="N157" i="4" s="1"/>
  <c r="K217" i="4" s="1"/>
  <c r="N217" i="4" s="1"/>
  <c r="K277" i="4" s="1"/>
  <c r="N277" i="4" s="1"/>
  <c r="G37" i="4"/>
  <c r="N36" i="4"/>
  <c r="G36" i="4"/>
  <c r="O36" i="4" s="1"/>
  <c r="N35" i="4"/>
  <c r="K95" i="4" s="1"/>
  <c r="O95" i="4" s="1"/>
  <c r="G35" i="4"/>
  <c r="O35" i="4" s="1"/>
  <c r="N34" i="4"/>
  <c r="G34" i="4"/>
  <c r="O34" i="4" s="1"/>
  <c r="N33" i="4"/>
  <c r="G33" i="4"/>
  <c r="O33" i="4" s="1"/>
  <c r="O32" i="4"/>
  <c r="N32" i="4"/>
  <c r="G32" i="4"/>
  <c r="N31" i="4"/>
  <c r="K91" i="4" s="1"/>
  <c r="O91" i="4" s="1"/>
  <c r="K151" i="4" s="1"/>
  <c r="N151" i="4" s="1"/>
  <c r="K211" i="4" s="1"/>
  <c r="N211" i="4" s="1"/>
  <c r="K271" i="4" s="1"/>
  <c r="N271" i="4" s="1"/>
  <c r="G31" i="4"/>
  <c r="L30" i="4"/>
  <c r="N30" i="4" s="1"/>
  <c r="G30" i="4"/>
  <c r="D90" i="4" s="1"/>
  <c r="H90" i="4" s="1"/>
  <c r="E30" i="4"/>
  <c r="L29" i="4"/>
  <c r="N29" i="4" s="1"/>
  <c r="E29" i="4"/>
  <c r="G29" i="4" s="1"/>
  <c r="O29" i="4" s="1"/>
  <c r="N28" i="4"/>
  <c r="G28" i="4"/>
  <c r="O28" i="4" s="1"/>
  <c r="L27" i="4"/>
  <c r="N27" i="4" s="1"/>
  <c r="G27" i="4"/>
  <c r="O27" i="4" s="1"/>
  <c r="E27" i="4"/>
  <c r="L26" i="4"/>
  <c r="N26" i="4" s="1"/>
  <c r="K86" i="4" s="1"/>
  <c r="O86" i="4" s="1"/>
  <c r="K146" i="4" s="1"/>
  <c r="N146" i="4" s="1"/>
  <c r="K206" i="4" s="1"/>
  <c r="N206" i="4" s="1"/>
  <c r="K266" i="4" s="1"/>
  <c r="E26" i="4"/>
  <c r="G26" i="4" s="1"/>
  <c r="N25" i="4"/>
  <c r="K85" i="4" s="1"/>
  <c r="O85" i="4" s="1"/>
  <c r="K145" i="4" s="1"/>
  <c r="N145" i="4" s="1"/>
  <c r="G25" i="4"/>
  <c r="D85" i="4" s="1"/>
  <c r="H85" i="4" s="1"/>
  <c r="P85" i="4" s="1"/>
  <c r="N24" i="4"/>
  <c r="K84" i="4" s="1"/>
  <c r="O84" i="4" s="1"/>
  <c r="K144" i="4" s="1"/>
  <c r="N144" i="4" s="1"/>
  <c r="K204" i="4" s="1"/>
  <c r="N204" i="4" s="1"/>
  <c r="K264" i="4" s="1"/>
  <c r="N264" i="4" s="1"/>
  <c r="G24" i="4"/>
  <c r="N23" i="4"/>
  <c r="L23" i="4"/>
  <c r="E23" i="4"/>
  <c r="N22" i="4"/>
  <c r="G22" i="4"/>
  <c r="N21" i="4"/>
  <c r="O21" i="4" s="1"/>
  <c r="G21" i="4"/>
  <c r="N20" i="4"/>
  <c r="G20" i="4"/>
  <c r="N19" i="4"/>
  <c r="K79" i="4" s="1"/>
  <c r="O79" i="4" s="1"/>
  <c r="G19" i="4"/>
  <c r="D79" i="4" s="1"/>
  <c r="H79" i="4" s="1"/>
  <c r="P79" i="4" s="1"/>
  <c r="N18" i="4"/>
  <c r="K78" i="4" s="1"/>
  <c r="O78" i="4" s="1"/>
  <c r="K138" i="4" s="1"/>
  <c r="N138" i="4" s="1"/>
  <c r="K198" i="4" s="1"/>
  <c r="N198" i="4" s="1"/>
  <c r="K258" i="4" s="1"/>
  <c r="N258" i="4" s="1"/>
  <c r="G18" i="4"/>
  <c r="O18" i="4" s="1"/>
  <c r="N17" i="4"/>
  <c r="K77" i="4" s="1"/>
  <c r="O77" i="4" s="1"/>
  <c r="K137" i="4" s="1"/>
  <c r="N137" i="4" s="1"/>
  <c r="K197" i="4" s="1"/>
  <c r="N197" i="4" s="1"/>
  <c r="K257" i="4" s="1"/>
  <c r="N257" i="4" s="1"/>
  <c r="G17" i="4"/>
  <c r="D77" i="4" s="1"/>
  <c r="H77" i="4" s="1"/>
  <c r="D137" i="4" s="1"/>
  <c r="G137" i="4" s="1"/>
  <c r="N16" i="4"/>
  <c r="G16" i="4"/>
  <c r="I12" i="4"/>
  <c r="M844" i="3"/>
  <c r="M842" i="3"/>
  <c r="J836" i="3"/>
  <c r="I836" i="3"/>
  <c r="F836" i="3"/>
  <c r="E836" i="3"/>
  <c r="N835" i="3"/>
  <c r="E835" i="3"/>
  <c r="M834" i="3"/>
  <c r="M836" i="3" s="1"/>
  <c r="E834" i="3"/>
  <c r="M833" i="3"/>
  <c r="L833" i="3"/>
  <c r="F833" i="3"/>
  <c r="F834" i="3" s="1"/>
  <c r="E833" i="3"/>
  <c r="M831" i="3"/>
  <c r="L831" i="3"/>
  <c r="L834" i="3" s="1"/>
  <c r="L836" i="3" s="1"/>
  <c r="L838" i="3" s="1"/>
  <c r="M845" i="3" s="1"/>
  <c r="F831" i="3"/>
  <c r="M843" i="3" s="1"/>
  <c r="E831" i="3"/>
  <c r="I783" i="3"/>
  <c r="M777" i="3"/>
  <c r="M775" i="3"/>
  <c r="J769" i="3"/>
  <c r="N768" i="3"/>
  <c r="I769" i="3"/>
  <c r="E768" i="3"/>
  <c r="M767" i="3"/>
  <c r="M769" i="3" s="1"/>
  <c r="L767" i="3"/>
  <c r="L769" i="3" s="1"/>
  <c r="L771" i="3" s="1"/>
  <c r="M778" i="3" s="1"/>
  <c r="M766" i="3"/>
  <c r="L766" i="3"/>
  <c r="F766" i="3"/>
  <c r="F767" i="3" s="1"/>
  <c r="F769" i="3" s="1"/>
  <c r="E766" i="3"/>
  <c r="M764" i="3"/>
  <c r="M776" i="3" s="1"/>
  <c r="L764" i="3"/>
  <c r="F764" i="3"/>
  <c r="E764" i="3"/>
  <c r="E767" i="3" s="1"/>
  <c r="I716" i="3"/>
  <c r="M710" i="3"/>
  <c r="M708" i="3"/>
  <c r="J702" i="3"/>
  <c r="I702" i="3"/>
  <c r="N701" i="3"/>
  <c r="E701" i="3"/>
  <c r="M700" i="3"/>
  <c r="M702" i="3" s="1"/>
  <c r="F700" i="3"/>
  <c r="F702" i="3" s="1"/>
  <c r="L699" i="3"/>
  <c r="M697" i="3"/>
  <c r="L697" i="3"/>
  <c r="F697" i="3"/>
  <c r="M709" i="3" s="1"/>
  <c r="E697" i="3"/>
  <c r="E700" i="3" s="1"/>
  <c r="I649" i="3"/>
  <c r="M643" i="3"/>
  <c r="M641" i="3"/>
  <c r="J635" i="3"/>
  <c r="I635" i="3"/>
  <c r="F635" i="3"/>
  <c r="N634" i="3"/>
  <c r="E634" i="3"/>
  <c r="E635" i="3" s="1"/>
  <c r="F633" i="3"/>
  <c r="M632" i="3"/>
  <c r="M633" i="3" s="1"/>
  <c r="M635" i="3" s="1"/>
  <c r="L632" i="3"/>
  <c r="M630" i="3"/>
  <c r="M642" i="3" s="1"/>
  <c r="L630" i="3"/>
  <c r="L633" i="3" s="1"/>
  <c r="L635" i="3" s="1"/>
  <c r="L637" i="3" s="1"/>
  <c r="M644" i="3" s="1"/>
  <c r="F630" i="3"/>
  <c r="E630" i="3"/>
  <c r="E633" i="3" s="1"/>
  <c r="I582" i="3"/>
  <c r="M576" i="3"/>
  <c r="M574" i="3"/>
  <c r="J568" i="3"/>
  <c r="I568" i="3"/>
  <c r="G568" i="3"/>
  <c r="O567" i="3"/>
  <c r="F567" i="3"/>
  <c r="F568" i="3" s="1"/>
  <c r="G566" i="3"/>
  <c r="M565" i="3"/>
  <c r="N563" i="3"/>
  <c r="N566" i="3" s="1"/>
  <c r="N568" i="3" s="1"/>
  <c r="M563" i="3"/>
  <c r="M566" i="3" s="1"/>
  <c r="M568" i="3" s="1"/>
  <c r="M570" i="3" s="1"/>
  <c r="L563" i="3"/>
  <c r="L566" i="3" s="1"/>
  <c r="L568" i="3" s="1"/>
  <c r="G563" i="3"/>
  <c r="F563" i="3"/>
  <c r="F566" i="3" s="1"/>
  <c r="E563" i="3"/>
  <c r="E566" i="3" s="1"/>
  <c r="E568" i="3" s="1"/>
  <c r="I515" i="3"/>
  <c r="M509" i="3"/>
  <c r="C509" i="3"/>
  <c r="C508" i="3"/>
  <c r="M507" i="3"/>
  <c r="C507" i="3"/>
  <c r="J501" i="3"/>
  <c r="N500" i="3"/>
  <c r="I501" i="3"/>
  <c r="E500" i="3"/>
  <c r="L498" i="3"/>
  <c r="M496" i="3"/>
  <c r="M499" i="3" s="1"/>
  <c r="M501" i="3" s="1"/>
  <c r="L496" i="3"/>
  <c r="L499" i="3" s="1"/>
  <c r="L501" i="3" s="1"/>
  <c r="L503" i="3" s="1"/>
  <c r="F496" i="3"/>
  <c r="E496" i="3"/>
  <c r="E499" i="3" s="1"/>
  <c r="E501" i="3" s="1"/>
  <c r="I448" i="3"/>
  <c r="C442" i="3"/>
  <c r="C441" i="3"/>
  <c r="C440" i="3"/>
  <c r="J434" i="3"/>
  <c r="N433" i="3"/>
  <c r="I434" i="3"/>
  <c r="E433" i="3"/>
  <c r="M432" i="3"/>
  <c r="M434" i="3" s="1"/>
  <c r="F432" i="3"/>
  <c r="F434" i="3" s="1"/>
  <c r="E432" i="3"/>
  <c r="E434" i="3" s="1"/>
  <c r="M431" i="3"/>
  <c r="L431" i="3"/>
  <c r="F431" i="3"/>
  <c r="E431" i="3"/>
  <c r="M429" i="3"/>
  <c r="L429" i="3"/>
  <c r="L432" i="3" s="1"/>
  <c r="L434" i="3" s="1"/>
  <c r="L436" i="3" s="1"/>
  <c r="M443" i="3" s="1"/>
  <c r="F429" i="3"/>
  <c r="E429" i="3"/>
  <c r="I381" i="3"/>
  <c r="C375" i="3"/>
  <c r="C374" i="3"/>
  <c r="C373" i="3"/>
  <c r="C372" i="3"/>
  <c r="M371" i="3"/>
  <c r="C371" i="3"/>
  <c r="J365" i="3"/>
  <c r="N364" i="3"/>
  <c r="I365" i="3"/>
  <c r="E364" i="3"/>
  <c r="F363" i="3"/>
  <c r="F365" i="3" s="1"/>
  <c r="E363" i="3"/>
  <c r="M362" i="3"/>
  <c r="L362" i="3"/>
  <c r="F362" i="3"/>
  <c r="E362" i="3"/>
  <c r="M360" i="3"/>
  <c r="L360" i="3"/>
  <c r="F360" i="3"/>
  <c r="E360" i="3"/>
  <c r="L358" i="3"/>
  <c r="K349" i="3"/>
  <c r="N349" i="3" s="1"/>
  <c r="K418" i="3" s="1"/>
  <c r="N418" i="3" s="1"/>
  <c r="K485" i="3" s="1"/>
  <c r="N485" i="3" s="1"/>
  <c r="K552" i="3" s="1"/>
  <c r="O552" i="3" s="1"/>
  <c r="K619" i="3" s="1"/>
  <c r="N619" i="3" s="1"/>
  <c r="K686" i="3" s="1"/>
  <c r="N686" i="3" s="1"/>
  <c r="K753" i="3" s="1"/>
  <c r="N753" i="3" s="1"/>
  <c r="K820" i="3" s="1"/>
  <c r="N820" i="3" s="1"/>
  <c r="N322" i="3"/>
  <c r="K391" i="3" s="1"/>
  <c r="N391" i="3" s="1"/>
  <c r="K458" i="3" s="1"/>
  <c r="N458" i="3" s="1"/>
  <c r="K525" i="3" s="1"/>
  <c r="O525" i="3" s="1"/>
  <c r="K592" i="3" s="1"/>
  <c r="N592" i="3" s="1"/>
  <c r="K659" i="3" s="1"/>
  <c r="N659" i="3" s="1"/>
  <c r="K726" i="3" s="1"/>
  <c r="N726" i="3" s="1"/>
  <c r="K793" i="3" s="1"/>
  <c r="N793" i="3" s="1"/>
  <c r="I312" i="3"/>
  <c r="C306" i="3"/>
  <c r="C305" i="3"/>
  <c r="C304" i="3"/>
  <c r="C303" i="3"/>
  <c r="M302" i="3"/>
  <c r="C302" i="3"/>
  <c r="J296" i="3"/>
  <c r="O295" i="3"/>
  <c r="I296" i="3"/>
  <c r="F295" i="3"/>
  <c r="N294" i="3"/>
  <c r="N296" i="3" s="1"/>
  <c r="L294" i="3"/>
  <c r="L296" i="3" s="1"/>
  <c r="N293" i="3"/>
  <c r="M293" i="3"/>
  <c r="G293" i="3"/>
  <c r="F293" i="3"/>
  <c r="N291" i="3"/>
  <c r="L291" i="3"/>
  <c r="G291" i="3"/>
  <c r="G294" i="3" s="1"/>
  <c r="G296" i="3" s="1"/>
  <c r="E291" i="3"/>
  <c r="E294" i="3" s="1"/>
  <c r="E296" i="3" s="1"/>
  <c r="M284" i="3"/>
  <c r="F284" i="3"/>
  <c r="K283" i="3"/>
  <c r="O283" i="3" s="1"/>
  <c r="K352" i="3" s="1"/>
  <c r="N352" i="3" s="1"/>
  <c r="K421" i="3" s="1"/>
  <c r="N421" i="3" s="1"/>
  <c r="K488" i="3" s="1"/>
  <c r="N488" i="3" s="1"/>
  <c r="K555" i="3" s="1"/>
  <c r="O555" i="3" s="1"/>
  <c r="K622" i="3" s="1"/>
  <c r="N622" i="3" s="1"/>
  <c r="K689" i="3" s="1"/>
  <c r="N689" i="3" s="1"/>
  <c r="K756" i="3" s="1"/>
  <c r="N756" i="3" s="1"/>
  <c r="K823" i="3" s="1"/>
  <c r="N823" i="3" s="1"/>
  <c r="D280" i="3"/>
  <c r="H280" i="3" s="1"/>
  <c r="M279" i="3"/>
  <c r="F279" i="3"/>
  <c r="D273" i="3"/>
  <c r="H273" i="3" s="1"/>
  <c r="K272" i="3"/>
  <c r="O272" i="3" s="1"/>
  <c r="K341" i="3" s="1"/>
  <c r="N341" i="3" s="1"/>
  <c r="K410" i="3" s="1"/>
  <c r="N410" i="3" s="1"/>
  <c r="K477" i="3" s="1"/>
  <c r="N477" i="3" s="1"/>
  <c r="K544" i="3" s="1"/>
  <c r="O544" i="3" s="1"/>
  <c r="K611" i="3" s="1"/>
  <c r="N611" i="3" s="1"/>
  <c r="K678" i="3" s="1"/>
  <c r="N678" i="3" s="1"/>
  <c r="K745" i="3" s="1"/>
  <c r="N745" i="3" s="1"/>
  <c r="K812" i="3" s="1"/>
  <c r="N812" i="3" s="1"/>
  <c r="K264" i="3"/>
  <c r="O264" i="3" s="1"/>
  <c r="K333" i="3" s="1"/>
  <c r="N333" i="3" s="1"/>
  <c r="K402" i="3" s="1"/>
  <c r="N402" i="3" s="1"/>
  <c r="K469" i="3" s="1"/>
  <c r="N469" i="3" s="1"/>
  <c r="K536" i="3" s="1"/>
  <c r="O536" i="3" s="1"/>
  <c r="K603" i="3" s="1"/>
  <c r="N603" i="3" s="1"/>
  <c r="K670" i="3" s="1"/>
  <c r="N670" i="3" s="1"/>
  <c r="K737" i="3" s="1"/>
  <c r="N737" i="3" s="1"/>
  <c r="K804" i="3" s="1"/>
  <c r="N804" i="3" s="1"/>
  <c r="M262" i="3"/>
  <c r="F262" i="3"/>
  <c r="M261" i="3"/>
  <c r="K261" i="3"/>
  <c r="O261" i="3" s="1"/>
  <c r="K330" i="3" s="1"/>
  <c r="N330" i="3" s="1"/>
  <c r="K399" i="3" s="1"/>
  <c r="N399" i="3" s="1"/>
  <c r="K466" i="3" s="1"/>
  <c r="N466" i="3" s="1"/>
  <c r="K533" i="3" s="1"/>
  <c r="O533" i="3" s="1"/>
  <c r="K600" i="3" s="1"/>
  <c r="N600" i="3" s="1"/>
  <c r="K667" i="3" s="1"/>
  <c r="N667" i="3" s="1"/>
  <c r="K734" i="3" s="1"/>
  <c r="N734" i="3" s="1"/>
  <c r="K801" i="3" s="1"/>
  <c r="N801" i="3" s="1"/>
  <c r="F261" i="3"/>
  <c r="M260" i="3"/>
  <c r="F260" i="3"/>
  <c r="M258" i="3"/>
  <c r="F258" i="3"/>
  <c r="M257" i="3"/>
  <c r="F257" i="3"/>
  <c r="M255" i="3"/>
  <c r="F255" i="3"/>
  <c r="I291" i="3"/>
  <c r="I243" i="3"/>
  <c r="M237" i="3"/>
  <c r="C237" i="3"/>
  <c r="C236" i="3"/>
  <c r="M235" i="3"/>
  <c r="C235" i="3"/>
  <c r="M234" i="3"/>
  <c r="C234" i="3"/>
  <c r="M233" i="3"/>
  <c r="C233" i="3"/>
  <c r="M232" i="3"/>
  <c r="C232" i="3"/>
  <c r="M226" i="3"/>
  <c r="L226" i="3"/>
  <c r="L228" i="3" s="1"/>
  <c r="M238" i="3" s="1"/>
  <c r="J226" i="3"/>
  <c r="I226" i="3"/>
  <c r="N225" i="3"/>
  <c r="E225" i="3"/>
  <c r="M224" i="3"/>
  <c r="L223" i="3"/>
  <c r="L224" i="3" s="1"/>
  <c r="F223" i="3"/>
  <c r="F224" i="3" s="1"/>
  <c r="F226" i="3" s="1"/>
  <c r="E223" i="3"/>
  <c r="K222" i="3"/>
  <c r="N222" i="3" s="1"/>
  <c r="K292" i="3" s="1"/>
  <c r="O292" i="3" s="1"/>
  <c r="K361" i="3" s="1"/>
  <c r="N361" i="3" s="1"/>
  <c r="K430" i="3" s="1"/>
  <c r="N430" i="3" s="1"/>
  <c r="K497" i="3" s="1"/>
  <c r="N497" i="3" s="1"/>
  <c r="K564" i="3" s="1"/>
  <c r="O564" i="3" s="1"/>
  <c r="K631" i="3" s="1"/>
  <c r="N631" i="3" s="1"/>
  <c r="K698" i="3" s="1"/>
  <c r="N698" i="3" s="1"/>
  <c r="K765" i="3" s="1"/>
  <c r="N765" i="3" s="1"/>
  <c r="K832" i="3" s="1"/>
  <c r="N832" i="3" s="1"/>
  <c r="M221" i="3"/>
  <c r="L221" i="3"/>
  <c r="F221" i="3"/>
  <c r="D216" i="3"/>
  <c r="G216" i="3" s="1"/>
  <c r="E214" i="3"/>
  <c r="K212" i="3"/>
  <c r="N212" i="3" s="1"/>
  <c r="K282" i="3" s="1"/>
  <c r="O282" i="3" s="1"/>
  <c r="K351" i="3" s="1"/>
  <c r="N351" i="3" s="1"/>
  <c r="K420" i="3" s="1"/>
  <c r="N420" i="3" s="1"/>
  <c r="K487" i="3" s="1"/>
  <c r="N487" i="3" s="1"/>
  <c r="K554" i="3" s="1"/>
  <c r="O554" i="3" s="1"/>
  <c r="K621" i="3" s="1"/>
  <c r="N621" i="3" s="1"/>
  <c r="K688" i="3" s="1"/>
  <c r="N688" i="3" s="1"/>
  <c r="K755" i="3" s="1"/>
  <c r="N755" i="3" s="1"/>
  <c r="K822" i="3" s="1"/>
  <c r="N822" i="3" s="1"/>
  <c r="D210" i="3"/>
  <c r="G210" i="3" s="1"/>
  <c r="O210" i="3" s="1"/>
  <c r="K209" i="3"/>
  <c r="N209" i="3" s="1"/>
  <c r="K279" i="3" s="1"/>
  <c r="O279" i="3" s="1"/>
  <c r="K348" i="3" s="1"/>
  <c r="N348" i="3" s="1"/>
  <c r="K417" i="3" s="1"/>
  <c r="N417" i="3" s="1"/>
  <c r="K484" i="3" s="1"/>
  <c r="N484" i="3" s="1"/>
  <c r="K551" i="3" s="1"/>
  <c r="O551" i="3" s="1"/>
  <c r="K618" i="3" s="1"/>
  <c r="N618" i="3" s="1"/>
  <c r="K685" i="3" s="1"/>
  <c r="N685" i="3" s="1"/>
  <c r="K752" i="3" s="1"/>
  <c r="N752" i="3" s="1"/>
  <c r="K819" i="3" s="1"/>
  <c r="N819" i="3" s="1"/>
  <c r="E209" i="3"/>
  <c r="D209" i="3"/>
  <c r="G209" i="3" s="1"/>
  <c r="K205" i="3"/>
  <c r="N205" i="3" s="1"/>
  <c r="K275" i="3" s="1"/>
  <c r="O275" i="3" s="1"/>
  <c r="K344" i="3" s="1"/>
  <c r="N344" i="3" s="1"/>
  <c r="K413" i="3" s="1"/>
  <c r="N413" i="3" s="1"/>
  <c r="K480" i="3" s="1"/>
  <c r="N480" i="3" s="1"/>
  <c r="K547" i="3" s="1"/>
  <c r="O547" i="3" s="1"/>
  <c r="K614" i="3" s="1"/>
  <c r="N614" i="3" s="1"/>
  <c r="K681" i="3" s="1"/>
  <c r="N681" i="3" s="1"/>
  <c r="K748" i="3" s="1"/>
  <c r="N748" i="3" s="1"/>
  <c r="K815" i="3" s="1"/>
  <c r="N815" i="3" s="1"/>
  <c r="K202" i="3"/>
  <c r="N202" i="3" s="1"/>
  <c r="D202" i="3"/>
  <c r="G202" i="3" s="1"/>
  <c r="D199" i="3"/>
  <c r="G199" i="3" s="1"/>
  <c r="N198" i="3"/>
  <c r="K268" i="3" s="1"/>
  <c r="O268" i="3" s="1"/>
  <c r="K337" i="3" s="1"/>
  <c r="N337" i="3" s="1"/>
  <c r="K406" i="3" s="1"/>
  <c r="N406" i="3" s="1"/>
  <c r="K473" i="3" s="1"/>
  <c r="N473" i="3" s="1"/>
  <c r="K540" i="3" s="1"/>
  <c r="O540" i="3" s="1"/>
  <c r="K607" i="3" s="1"/>
  <c r="N607" i="3" s="1"/>
  <c r="K674" i="3" s="1"/>
  <c r="N674" i="3" s="1"/>
  <c r="K741" i="3" s="1"/>
  <c r="N741" i="3" s="1"/>
  <c r="K808" i="3" s="1"/>
  <c r="N808" i="3" s="1"/>
  <c r="D198" i="3"/>
  <c r="G198" i="3" s="1"/>
  <c r="E192" i="3"/>
  <c r="G192" i="3" s="1"/>
  <c r="E191" i="3"/>
  <c r="E190" i="3"/>
  <c r="K189" i="3"/>
  <c r="N189" i="3" s="1"/>
  <c r="K259" i="3" s="1"/>
  <c r="O259" i="3" s="1"/>
  <c r="K328" i="3" s="1"/>
  <c r="N328" i="3" s="1"/>
  <c r="K397" i="3" s="1"/>
  <c r="N397" i="3" s="1"/>
  <c r="K464" i="3" s="1"/>
  <c r="N464" i="3" s="1"/>
  <c r="K531" i="3" s="1"/>
  <c r="O531" i="3" s="1"/>
  <c r="K598" i="3" s="1"/>
  <c r="N598" i="3" s="1"/>
  <c r="K665" i="3" s="1"/>
  <c r="N665" i="3" s="1"/>
  <c r="K732" i="3" s="1"/>
  <c r="N732" i="3" s="1"/>
  <c r="K799" i="3" s="1"/>
  <c r="N799" i="3" s="1"/>
  <c r="K188" i="3"/>
  <c r="N188" i="3" s="1"/>
  <c r="K258" i="3" s="1"/>
  <c r="O258" i="3" s="1"/>
  <c r="K327" i="3" s="1"/>
  <c r="N327" i="3" s="1"/>
  <c r="K396" i="3" s="1"/>
  <c r="N396" i="3" s="1"/>
  <c r="K463" i="3" s="1"/>
  <c r="N463" i="3" s="1"/>
  <c r="K530" i="3" s="1"/>
  <c r="O530" i="3" s="1"/>
  <c r="K597" i="3" s="1"/>
  <c r="N597" i="3" s="1"/>
  <c r="K664" i="3" s="1"/>
  <c r="N664" i="3" s="1"/>
  <c r="K731" i="3" s="1"/>
  <c r="N731" i="3" s="1"/>
  <c r="K798" i="3" s="1"/>
  <c r="N798" i="3" s="1"/>
  <c r="E188" i="3"/>
  <c r="E187" i="3"/>
  <c r="D187" i="3"/>
  <c r="G187" i="3" s="1"/>
  <c r="E185" i="3"/>
  <c r="D183" i="3"/>
  <c r="G183" i="3" s="1"/>
  <c r="K182" i="3"/>
  <c r="N182" i="3" s="1"/>
  <c r="K252" i="3" s="1"/>
  <c r="O252" i="3" s="1"/>
  <c r="K321" i="3" s="1"/>
  <c r="N321" i="3" s="1"/>
  <c r="K390" i="3" s="1"/>
  <c r="N390" i="3" s="1"/>
  <c r="K457" i="3" s="1"/>
  <c r="N457" i="3" s="1"/>
  <c r="K524" i="3" s="1"/>
  <c r="O524" i="3" s="1"/>
  <c r="K591" i="3" s="1"/>
  <c r="N591" i="3" s="1"/>
  <c r="K658" i="3" s="1"/>
  <c r="N658" i="3" s="1"/>
  <c r="K725" i="3" s="1"/>
  <c r="N725" i="3" s="1"/>
  <c r="K792" i="3" s="1"/>
  <c r="N792" i="3" s="1"/>
  <c r="D178" i="3"/>
  <c r="G178" i="3" s="1"/>
  <c r="I173" i="3"/>
  <c r="M167" i="3"/>
  <c r="C167" i="3"/>
  <c r="M166" i="3"/>
  <c r="M164" i="3"/>
  <c r="J158" i="3"/>
  <c r="I158" i="3"/>
  <c r="F158" i="3"/>
  <c r="N157" i="3"/>
  <c r="E157" i="3"/>
  <c r="D157" i="3"/>
  <c r="G157" i="3" s="1"/>
  <c r="F156" i="3"/>
  <c r="E156" i="3"/>
  <c r="L155" i="3"/>
  <c r="L156" i="3" s="1"/>
  <c r="L158" i="3" s="1"/>
  <c r="L160" i="3" s="1"/>
  <c r="K155" i="3"/>
  <c r="F155" i="3"/>
  <c r="E155" i="3"/>
  <c r="N154" i="3"/>
  <c r="M153" i="3"/>
  <c r="M156" i="3" s="1"/>
  <c r="M158" i="3" s="1"/>
  <c r="L153" i="3"/>
  <c r="F153" i="3"/>
  <c r="E153" i="3"/>
  <c r="K152" i="3"/>
  <c r="N152" i="3" s="1"/>
  <c r="K220" i="3" s="1"/>
  <c r="N220" i="3" s="1"/>
  <c r="K290" i="3" s="1"/>
  <c r="O290" i="3" s="1"/>
  <c r="K359" i="3" s="1"/>
  <c r="N359" i="3" s="1"/>
  <c r="K428" i="3" s="1"/>
  <c r="N428" i="3" s="1"/>
  <c r="K495" i="3" s="1"/>
  <c r="N495" i="3" s="1"/>
  <c r="K562" i="3" s="1"/>
  <c r="O562" i="3" s="1"/>
  <c r="K629" i="3" s="1"/>
  <c r="N629" i="3" s="1"/>
  <c r="K696" i="3" s="1"/>
  <c r="N696" i="3" s="1"/>
  <c r="K763" i="3" s="1"/>
  <c r="N763" i="3" s="1"/>
  <c r="K830" i="3" s="1"/>
  <c r="N830" i="3" s="1"/>
  <c r="G152" i="3"/>
  <c r="D220" i="3" s="1"/>
  <c r="G220" i="3" s="1"/>
  <c r="K151" i="3"/>
  <c r="N151" i="3" s="1"/>
  <c r="K219" i="3" s="1"/>
  <c r="N219" i="3" s="1"/>
  <c r="K289" i="3" s="1"/>
  <c r="O289" i="3" s="1"/>
  <c r="K358" i="3" s="1"/>
  <c r="N358" i="3" s="1"/>
  <c r="K427" i="3" s="1"/>
  <c r="N427" i="3" s="1"/>
  <c r="K494" i="3" s="1"/>
  <c r="N494" i="3" s="1"/>
  <c r="K561" i="3" s="1"/>
  <c r="O561" i="3" s="1"/>
  <c r="K628" i="3" s="1"/>
  <c r="N628" i="3" s="1"/>
  <c r="K695" i="3" s="1"/>
  <c r="N695" i="3" s="1"/>
  <c r="K762" i="3" s="1"/>
  <c r="N762" i="3" s="1"/>
  <c r="K829" i="3" s="1"/>
  <c r="N829" i="3" s="1"/>
  <c r="D151" i="3"/>
  <c r="G151" i="3" s="1"/>
  <c r="K150" i="3"/>
  <c r="N150" i="3" s="1"/>
  <c r="K218" i="3" s="1"/>
  <c r="N218" i="3" s="1"/>
  <c r="K288" i="3" s="1"/>
  <c r="O288" i="3" s="1"/>
  <c r="K357" i="3" s="1"/>
  <c r="N357" i="3" s="1"/>
  <c r="K426" i="3" s="1"/>
  <c r="N426" i="3" s="1"/>
  <c r="K493" i="3" s="1"/>
  <c r="N493" i="3" s="1"/>
  <c r="K560" i="3" s="1"/>
  <c r="O560" i="3" s="1"/>
  <c r="K627" i="3" s="1"/>
  <c r="N627" i="3" s="1"/>
  <c r="K694" i="3" s="1"/>
  <c r="N694" i="3" s="1"/>
  <c r="K761" i="3" s="1"/>
  <c r="N761" i="3" s="1"/>
  <c r="K828" i="3" s="1"/>
  <c r="N828" i="3" s="1"/>
  <c r="D149" i="3"/>
  <c r="G149" i="3" s="1"/>
  <c r="K147" i="3"/>
  <c r="N147" i="3" s="1"/>
  <c r="K215" i="3" s="1"/>
  <c r="N215" i="3" s="1"/>
  <c r="K285" i="3" s="1"/>
  <c r="O285" i="3" s="1"/>
  <c r="K354" i="3" s="1"/>
  <c r="N354" i="3" s="1"/>
  <c r="K423" i="3" s="1"/>
  <c r="N423" i="3" s="1"/>
  <c r="K490" i="3" s="1"/>
  <c r="N490" i="3" s="1"/>
  <c r="K557" i="3" s="1"/>
  <c r="O557" i="3" s="1"/>
  <c r="K624" i="3" s="1"/>
  <c r="N624" i="3" s="1"/>
  <c r="K691" i="3" s="1"/>
  <c r="N691" i="3" s="1"/>
  <c r="K758" i="3" s="1"/>
  <c r="N758" i="3" s="1"/>
  <c r="K825" i="3" s="1"/>
  <c r="N825" i="3" s="1"/>
  <c r="D147" i="3"/>
  <c r="G147" i="3" s="1"/>
  <c r="N146" i="3"/>
  <c r="K214" i="3" s="1"/>
  <c r="N214" i="3" s="1"/>
  <c r="K284" i="3" s="1"/>
  <c r="O284" i="3" s="1"/>
  <c r="K353" i="3" s="1"/>
  <c r="N353" i="3" s="1"/>
  <c r="K422" i="3" s="1"/>
  <c r="N422" i="3" s="1"/>
  <c r="K489" i="3" s="1"/>
  <c r="N489" i="3" s="1"/>
  <c r="K556" i="3" s="1"/>
  <c r="O556" i="3" s="1"/>
  <c r="K623" i="3" s="1"/>
  <c r="N623" i="3" s="1"/>
  <c r="K690" i="3" s="1"/>
  <c r="N690" i="3" s="1"/>
  <c r="K757" i="3" s="1"/>
  <c r="N757" i="3" s="1"/>
  <c r="K824" i="3" s="1"/>
  <c r="N824" i="3" s="1"/>
  <c r="K146" i="3"/>
  <c r="K144" i="3"/>
  <c r="N144" i="3" s="1"/>
  <c r="D142" i="3"/>
  <c r="G142" i="3" s="1"/>
  <c r="O142" i="3" s="1"/>
  <c r="N141" i="3"/>
  <c r="O141" i="3" s="1"/>
  <c r="N140" i="3"/>
  <c r="K208" i="3" s="1"/>
  <c r="N208" i="3" s="1"/>
  <c r="K278" i="3" s="1"/>
  <c r="O278" i="3" s="1"/>
  <c r="K347" i="3" s="1"/>
  <c r="N347" i="3" s="1"/>
  <c r="K416" i="3" s="1"/>
  <c r="N416" i="3" s="1"/>
  <c r="K483" i="3" s="1"/>
  <c r="N483" i="3" s="1"/>
  <c r="K550" i="3" s="1"/>
  <c r="O550" i="3" s="1"/>
  <c r="K617" i="3" s="1"/>
  <c r="N617" i="3" s="1"/>
  <c r="K684" i="3" s="1"/>
  <c r="N684" i="3" s="1"/>
  <c r="K751" i="3" s="1"/>
  <c r="N751" i="3" s="1"/>
  <c r="K818" i="3" s="1"/>
  <c r="N818" i="3" s="1"/>
  <c r="K140" i="3"/>
  <c r="K137" i="3"/>
  <c r="N137" i="3" s="1"/>
  <c r="D137" i="3"/>
  <c r="G137" i="3" s="1"/>
  <c r="K136" i="3"/>
  <c r="N136" i="3" s="1"/>
  <c r="K204" i="3" s="1"/>
  <c r="N204" i="3" s="1"/>
  <c r="K274" i="3" s="1"/>
  <c r="O274" i="3" s="1"/>
  <c r="K343" i="3" s="1"/>
  <c r="N343" i="3" s="1"/>
  <c r="K412" i="3" s="1"/>
  <c r="N412" i="3" s="1"/>
  <c r="K479" i="3" s="1"/>
  <c r="N479" i="3" s="1"/>
  <c r="K546" i="3" s="1"/>
  <c r="O546" i="3" s="1"/>
  <c r="K613" i="3" s="1"/>
  <c r="N613" i="3" s="1"/>
  <c r="K680" i="3" s="1"/>
  <c r="N680" i="3" s="1"/>
  <c r="K747" i="3" s="1"/>
  <c r="N747" i="3" s="1"/>
  <c r="K814" i="3" s="1"/>
  <c r="N814" i="3" s="1"/>
  <c r="G136" i="3"/>
  <c r="D204" i="3" s="1"/>
  <c r="G204" i="3" s="1"/>
  <c r="D136" i="3"/>
  <c r="K135" i="3"/>
  <c r="N135" i="3" s="1"/>
  <c r="K203" i="3" s="1"/>
  <c r="N203" i="3" s="1"/>
  <c r="K134" i="3"/>
  <c r="N134" i="3" s="1"/>
  <c r="K133" i="3"/>
  <c r="N133" i="3" s="1"/>
  <c r="K201" i="3" s="1"/>
  <c r="N201" i="3" s="1"/>
  <c r="K271" i="3" s="1"/>
  <c r="O271" i="3" s="1"/>
  <c r="K340" i="3" s="1"/>
  <c r="N340" i="3" s="1"/>
  <c r="K409" i="3" s="1"/>
  <c r="N409" i="3" s="1"/>
  <c r="K476" i="3" s="1"/>
  <c r="N476" i="3" s="1"/>
  <c r="K543" i="3" s="1"/>
  <c r="O543" i="3" s="1"/>
  <c r="K610" i="3" s="1"/>
  <c r="N610" i="3" s="1"/>
  <c r="K677" i="3" s="1"/>
  <c r="N677" i="3" s="1"/>
  <c r="K744" i="3" s="1"/>
  <c r="N744" i="3" s="1"/>
  <c r="K811" i="3" s="1"/>
  <c r="N811" i="3" s="1"/>
  <c r="D133" i="3"/>
  <c r="G133" i="3" s="1"/>
  <c r="K132" i="3"/>
  <c r="N132" i="3" s="1"/>
  <c r="K200" i="3" s="1"/>
  <c r="N200" i="3" s="1"/>
  <c r="K270" i="3" s="1"/>
  <c r="O270" i="3" s="1"/>
  <c r="K339" i="3" s="1"/>
  <c r="N339" i="3" s="1"/>
  <c r="K408" i="3" s="1"/>
  <c r="N408" i="3" s="1"/>
  <c r="K475" i="3" s="1"/>
  <c r="N475" i="3" s="1"/>
  <c r="K542" i="3" s="1"/>
  <c r="O542" i="3" s="1"/>
  <c r="K609" i="3" s="1"/>
  <c r="N609" i="3" s="1"/>
  <c r="K676" i="3" s="1"/>
  <c r="N676" i="3" s="1"/>
  <c r="K743" i="3" s="1"/>
  <c r="N743" i="3" s="1"/>
  <c r="K810" i="3" s="1"/>
  <c r="N810" i="3" s="1"/>
  <c r="D132" i="3"/>
  <c r="G132" i="3" s="1"/>
  <c r="N131" i="3"/>
  <c r="K199" i="3" s="1"/>
  <c r="N199" i="3" s="1"/>
  <c r="K269" i="3" s="1"/>
  <c r="O269" i="3" s="1"/>
  <c r="K338" i="3" s="1"/>
  <c r="N338" i="3" s="1"/>
  <c r="K407" i="3" s="1"/>
  <c r="N407" i="3" s="1"/>
  <c r="K474" i="3" s="1"/>
  <c r="N474" i="3" s="1"/>
  <c r="K541" i="3" s="1"/>
  <c r="O541" i="3" s="1"/>
  <c r="K608" i="3" s="1"/>
  <c r="N608" i="3" s="1"/>
  <c r="K675" i="3" s="1"/>
  <c r="N675" i="3" s="1"/>
  <c r="K742" i="3" s="1"/>
  <c r="N742" i="3" s="1"/>
  <c r="K809" i="3" s="1"/>
  <c r="N809" i="3" s="1"/>
  <c r="K131" i="3"/>
  <c r="D131" i="3"/>
  <c r="G131" i="3" s="1"/>
  <c r="D130" i="3"/>
  <c r="G130" i="3" s="1"/>
  <c r="D129" i="3"/>
  <c r="G129" i="3" s="1"/>
  <c r="D128" i="3"/>
  <c r="G128" i="3" s="1"/>
  <c r="N123" i="3"/>
  <c r="K191" i="3" s="1"/>
  <c r="N191" i="3" s="1"/>
  <c r="K123" i="3"/>
  <c r="K122" i="3"/>
  <c r="N122" i="3" s="1"/>
  <c r="K190" i="3" s="1"/>
  <c r="N190" i="3" s="1"/>
  <c r="K260" i="3" s="1"/>
  <c r="O260" i="3" s="1"/>
  <c r="K329" i="3" s="1"/>
  <c r="N329" i="3" s="1"/>
  <c r="K398" i="3" s="1"/>
  <c r="N398" i="3" s="1"/>
  <c r="K465" i="3" s="1"/>
  <c r="N465" i="3" s="1"/>
  <c r="K532" i="3" s="1"/>
  <c r="O532" i="3" s="1"/>
  <c r="K599" i="3" s="1"/>
  <c r="N599" i="3" s="1"/>
  <c r="K666" i="3" s="1"/>
  <c r="N666" i="3" s="1"/>
  <c r="K733" i="3" s="1"/>
  <c r="N733" i="3" s="1"/>
  <c r="K800" i="3" s="1"/>
  <c r="N800" i="3" s="1"/>
  <c r="D122" i="3"/>
  <c r="G122" i="3" s="1"/>
  <c r="K121" i="3"/>
  <c r="N121" i="3" s="1"/>
  <c r="D121" i="3"/>
  <c r="G121" i="3" s="1"/>
  <c r="D120" i="3"/>
  <c r="G120" i="3" s="1"/>
  <c r="D119" i="3"/>
  <c r="G119" i="3" s="1"/>
  <c r="O119" i="3" s="1"/>
  <c r="D118" i="3"/>
  <c r="G118" i="3" s="1"/>
  <c r="N117" i="3"/>
  <c r="K185" i="3" s="1"/>
  <c r="N185" i="3" s="1"/>
  <c r="K255" i="3" s="1"/>
  <c r="O255" i="3" s="1"/>
  <c r="K324" i="3" s="1"/>
  <c r="N324" i="3" s="1"/>
  <c r="K393" i="3" s="1"/>
  <c r="N393" i="3" s="1"/>
  <c r="K460" i="3" s="1"/>
  <c r="N460" i="3" s="1"/>
  <c r="K527" i="3" s="1"/>
  <c r="O527" i="3" s="1"/>
  <c r="K594" i="3" s="1"/>
  <c r="N594" i="3" s="1"/>
  <c r="K661" i="3" s="1"/>
  <c r="N661" i="3" s="1"/>
  <c r="K728" i="3" s="1"/>
  <c r="N728" i="3" s="1"/>
  <c r="K795" i="3" s="1"/>
  <c r="N795" i="3" s="1"/>
  <c r="D117" i="3"/>
  <c r="G117" i="3" s="1"/>
  <c r="D185" i="3" s="1"/>
  <c r="G185" i="3" s="1"/>
  <c r="N116" i="3"/>
  <c r="K184" i="3" s="1"/>
  <c r="N184" i="3" s="1"/>
  <c r="K254" i="3" s="1"/>
  <c r="O254" i="3" s="1"/>
  <c r="K323" i="3" s="1"/>
  <c r="N323" i="3" s="1"/>
  <c r="K392" i="3" s="1"/>
  <c r="N392" i="3" s="1"/>
  <c r="K459" i="3" s="1"/>
  <c r="N459" i="3" s="1"/>
  <c r="K526" i="3" s="1"/>
  <c r="O526" i="3" s="1"/>
  <c r="K593" i="3" s="1"/>
  <c r="N593" i="3" s="1"/>
  <c r="K660" i="3" s="1"/>
  <c r="N660" i="3" s="1"/>
  <c r="K727" i="3" s="1"/>
  <c r="N727" i="3" s="1"/>
  <c r="K794" i="3" s="1"/>
  <c r="N794" i="3" s="1"/>
  <c r="K116" i="3"/>
  <c r="K114" i="3"/>
  <c r="N114" i="3" s="1"/>
  <c r="K113" i="3"/>
  <c r="N113" i="3" s="1"/>
  <c r="K181" i="3" s="1"/>
  <c r="N181" i="3" s="1"/>
  <c r="K251" i="3" s="1"/>
  <c r="O251" i="3" s="1"/>
  <c r="K320" i="3" s="1"/>
  <c r="N320" i="3" s="1"/>
  <c r="K389" i="3" s="1"/>
  <c r="N389" i="3" s="1"/>
  <c r="K456" i="3" s="1"/>
  <c r="N456" i="3" s="1"/>
  <c r="K523" i="3" s="1"/>
  <c r="O523" i="3" s="1"/>
  <c r="K590" i="3" s="1"/>
  <c r="N590" i="3" s="1"/>
  <c r="K657" i="3" s="1"/>
  <c r="N657" i="3" s="1"/>
  <c r="K724" i="3" s="1"/>
  <c r="N724" i="3" s="1"/>
  <c r="K791" i="3" s="1"/>
  <c r="N791" i="3" s="1"/>
  <c r="D113" i="3"/>
  <c r="G113" i="3" s="1"/>
  <c r="K112" i="3"/>
  <c r="N112" i="3" s="1"/>
  <c r="K180" i="3" s="1"/>
  <c r="N180" i="3" s="1"/>
  <c r="K250" i="3" s="1"/>
  <c r="O250" i="3" s="1"/>
  <c r="K319" i="3" s="1"/>
  <c r="N319" i="3" s="1"/>
  <c r="K388" i="3" s="1"/>
  <c r="N388" i="3" s="1"/>
  <c r="K455" i="3" s="1"/>
  <c r="N455" i="3" s="1"/>
  <c r="K522" i="3" s="1"/>
  <c r="O522" i="3" s="1"/>
  <c r="K589" i="3" s="1"/>
  <c r="N589" i="3" s="1"/>
  <c r="K656" i="3" s="1"/>
  <c r="N656" i="3" s="1"/>
  <c r="K723" i="3" s="1"/>
  <c r="N723" i="3" s="1"/>
  <c r="K790" i="3" s="1"/>
  <c r="N790" i="3" s="1"/>
  <c r="G112" i="3"/>
  <c r="D180" i="3" s="1"/>
  <c r="G180" i="3" s="1"/>
  <c r="D112" i="3"/>
  <c r="K109" i="3"/>
  <c r="D109" i="3"/>
  <c r="I105" i="3"/>
  <c r="M99" i="3"/>
  <c r="C99" i="3"/>
  <c r="C98" i="3"/>
  <c r="M97" i="3"/>
  <c r="C97" i="3"/>
  <c r="J91" i="3"/>
  <c r="O90" i="3"/>
  <c r="N90" i="3"/>
  <c r="I91" i="3"/>
  <c r="G90" i="3"/>
  <c r="E90" i="3"/>
  <c r="L88" i="3"/>
  <c r="N88" i="3" s="1"/>
  <c r="E88" i="3"/>
  <c r="G88" i="3" s="1"/>
  <c r="N87" i="3"/>
  <c r="K154" i="3" s="1"/>
  <c r="G87" i="3"/>
  <c r="O87" i="3" s="1"/>
  <c r="M86" i="3"/>
  <c r="M89" i="3" s="1"/>
  <c r="M91" i="3" s="1"/>
  <c r="L86" i="3"/>
  <c r="L89" i="3" s="1"/>
  <c r="L91" i="3" s="1"/>
  <c r="L93" i="3" s="1"/>
  <c r="K86" i="3"/>
  <c r="K89" i="3" s="1"/>
  <c r="F86" i="3"/>
  <c r="F89" i="3" s="1"/>
  <c r="F91" i="3" s="1"/>
  <c r="M98" i="3" s="1"/>
  <c r="E86" i="3"/>
  <c r="E89" i="3" s="1"/>
  <c r="E91" i="3" s="1"/>
  <c r="D86" i="3"/>
  <c r="D89" i="3" s="1"/>
  <c r="O85" i="3"/>
  <c r="N85" i="3"/>
  <c r="G85" i="3"/>
  <c r="D152" i="3" s="1"/>
  <c r="N84" i="3"/>
  <c r="G84" i="3"/>
  <c r="O84" i="3" s="1"/>
  <c r="N83" i="3"/>
  <c r="G83" i="3"/>
  <c r="D150" i="3" s="1"/>
  <c r="G150" i="3" s="1"/>
  <c r="N82" i="3"/>
  <c r="K149" i="3" s="1"/>
  <c r="N149" i="3" s="1"/>
  <c r="K217" i="3" s="1"/>
  <c r="N217" i="3" s="1"/>
  <c r="K287" i="3" s="1"/>
  <c r="O287" i="3" s="1"/>
  <c r="K356" i="3" s="1"/>
  <c r="N356" i="3" s="1"/>
  <c r="K425" i="3" s="1"/>
  <c r="N425" i="3" s="1"/>
  <c r="K492" i="3" s="1"/>
  <c r="N492" i="3" s="1"/>
  <c r="K559" i="3" s="1"/>
  <c r="O559" i="3" s="1"/>
  <c r="K626" i="3" s="1"/>
  <c r="N626" i="3" s="1"/>
  <c r="K693" i="3" s="1"/>
  <c r="N693" i="3" s="1"/>
  <c r="K760" i="3" s="1"/>
  <c r="N760" i="3" s="1"/>
  <c r="K827" i="3" s="1"/>
  <c r="N827" i="3" s="1"/>
  <c r="G82" i="3"/>
  <c r="N81" i="3"/>
  <c r="K148" i="3" s="1"/>
  <c r="N148" i="3" s="1"/>
  <c r="K216" i="3" s="1"/>
  <c r="N216" i="3" s="1"/>
  <c r="K286" i="3" s="1"/>
  <c r="O286" i="3" s="1"/>
  <c r="K355" i="3" s="1"/>
  <c r="N355" i="3" s="1"/>
  <c r="K424" i="3" s="1"/>
  <c r="N424" i="3" s="1"/>
  <c r="K491" i="3" s="1"/>
  <c r="N491" i="3" s="1"/>
  <c r="K558" i="3" s="1"/>
  <c r="O558" i="3" s="1"/>
  <c r="K625" i="3" s="1"/>
  <c r="N625" i="3" s="1"/>
  <c r="K692" i="3" s="1"/>
  <c r="N692" i="3" s="1"/>
  <c r="K759" i="3" s="1"/>
  <c r="N759" i="3" s="1"/>
  <c r="K826" i="3" s="1"/>
  <c r="N826" i="3" s="1"/>
  <c r="G81" i="3"/>
  <c r="D148" i="3" s="1"/>
  <c r="G148" i="3" s="1"/>
  <c r="O148" i="3" s="1"/>
  <c r="N80" i="3"/>
  <c r="G80" i="3"/>
  <c r="O80" i="3" s="1"/>
  <c r="N79" i="3"/>
  <c r="G79" i="3"/>
  <c r="O79" i="3" s="1"/>
  <c r="N78" i="3"/>
  <c r="K145" i="3" s="1"/>
  <c r="N145" i="3" s="1"/>
  <c r="K213" i="3" s="1"/>
  <c r="N213" i="3" s="1"/>
  <c r="G78" i="3"/>
  <c r="O78" i="3" s="1"/>
  <c r="N77" i="3"/>
  <c r="G77" i="3"/>
  <c r="D144" i="3" s="1"/>
  <c r="G144" i="3" s="1"/>
  <c r="N76" i="3"/>
  <c r="K143" i="3" s="1"/>
  <c r="N143" i="3" s="1"/>
  <c r="K211" i="3" s="1"/>
  <c r="N211" i="3" s="1"/>
  <c r="K281" i="3" s="1"/>
  <c r="O281" i="3" s="1"/>
  <c r="K350" i="3" s="1"/>
  <c r="N350" i="3" s="1"/>
  <c r="K419" i="3" s="1"/>
  <c r="N419" i="3" s="1"/>
  <c r="K486" i="3" s="1"/>
  <c r="N486" i="3" s="1"/>
  <c r="K553" i="3" s="1"/>
  <c r="O553" i="3" s="1"/>
  <c r="K620" i="3" s="1"/>
  <c r="N620" i="3" s="1"/>
  <c r="K687" i="3" s="1"/>
  <c r="N687" i="3" s="1"/>
  <c r="K754" i="3" s="1"/>
  <c r="N754" i="3" s="1"/>
  <c r="K821" i="3" s="1"/>
  <c r="N821" i="3" s="1"/>
  <c r="G76" i="3"/>
  <c r="D143" i="3" s="1"/>
  <c r="G143" i="3" s="1"/>
  <c r="O75" i="3"/>
  <c r="N75" i="3"/>
  <c r="K142" i="3" s="1"/>
  <c r="N142" i="3" s="1"/>
  <c r="K210" i="3" s="1"/>
  <c r="N210" i="3" s="1"/>
  <c r="K280" i="3" s="1"/>
  <c r="O280" i="3" s="1"/>
  <c r="G75" i="3"/>
  <c r="N74" i="3"/>
  <c r="K141" i="3" s="1"/>
  <c r="G74" i="3"/>
  <c r="D141" i="3" s="1"/>
  <c r="G141" i="3" s="1"/>
  <c r="N73" i="3"/>
  <c r="G73" i="3"/>
  <c r="O73" i="3" s="1"/>
  <c r="N72" i="3"/>
  <c r="K139" i="3" s="1"/>
  <c r="N139" i="3" s="1"/>
  <c r="K207" i="3" s="1"/>
  <c r="N207" i="3" s="1"/>
  <c r="K277" i="3" s="1"/>
  <c r="O277" i="3" s="1"/>
  <c r="K346" i="3" s="1"/>
  <c r="N346" i="3" s="1"/>
  <c r="K415" i="3" s="1"/>
  <c r="N415" i="3" s="1"/>
  <c r="K482" i="3" s="1"/>
  <c r="N482" i="3" s="1"/>
  <c r="K549" i="3" s="1"/>
  <c r="O549" i="3" s="1"/>
  <c r="K616" i="3" s="1"/>
  <c r="N616" i="3" s="1"/>
  <c r="K683" i="3" s="1"/>
  <c r="N683" i="3" s="1"/>
  <c r="K750" i="3" s="1"/>
  <c r="N750" i="3" s="1"/>
  <c r="K817" i="3" s="1"/>
  <c r="N817" i="3" s="1"/>
  <c r="G72" i="3"/>
  <c r="D139" i="3" s="1"/>
  <c r="G139" i="3" s="1"/>
  <c r="N71" i="3"/>
  <c r="K138" i="3" s="1"/>
  <c r="N138" i="3" s="1"/>
  <c r="K206" i="3" s="1"/>
  <c r="N206" i="3" s="1"/>
  <c r="K276" i="3" s="1"/>
  <c r="O276" i="3" s="1"/>
  <c r="K345" i="3" s="1"/>
  <c r="N345" i="3" s="1"/>
  <c r="K414" i="3" s="1"/>
  <c r="N414" i="3" s="1"/>
  <c r="K481" i="3" s="1"/>
  <c r="N481" i="3" s="1"/>
  <c r="K548" i="3" s="1"/>
  <c r="O548" i="3" s="1"/>
  <c r="K615" i="3" s="1"/>
  <c r="N615" i="3" s="1"/>
  <c r="K682" i="3" s="1"/>
  <c r="N682" i="3" s="1"/>
  <c r="K749" i="3" s="1"/>
  <c r="N749" i="3" s="1"/>
  <c r="K816" i="3" s="1"/>
  <c r="N816" i="3" s="1"/>
  <c r="G71" i="3"/>
  <c r="D138" i="3" s="1"/>
  <c r="G138" i="3" s="1"/>
  <c r="N70" i="3"/>
  <c r="G70" i="3"/>
  <c r="O70" i="3" s="1"/>
  <c r="N69" i="3"/>
  <c r="G69" i="3"/>
  <c r="O69" i="3" s="1"/>
  <c r="N68" i="3"/>
  <c r="G68" i="3"/>
  <c r="D135" i="3" s="1"/>
  <c r="G135" i="3" s="1"/>
  <c r="D203" i="3" s="1"/>
  <c r="G203" i="3" s="1"/>
  <c r="N67" i="3"/>
  <c r="G67" i="3"/>
  <c r="D134" i="3" s="1"/>
  <c r="G134" i="3" s="1"/>
  <c r="O134" i="3" s="1"/>
  <c r="O66" i="3"/>
  <c r="N66" i="3"/>
  <c r="G66" i="3"/>
  <c r="N65" i="3"/>
  <c r="G65" i="3"/>
  <c r="O65" i="3" s="1"/>
  <c r="N64" i="3"/>
  <c r="O64" i="3" s="1"/>
  <c r="G64" i="3"/>
  <c r="N63" i="3"/>
  <c r="K130" i="3" s="1"/>
  <c r="N130" i="3" s="1"/>
  <c r="K198" i="3" s="1"/>
  <c r="G63" i="3"/>
  <c r="N62" i="3"/>
  <c r="K129" i="3" s="1"/>
  <c r="N129" i="3" s="1"/>
  <c r="K197" i="3" s="1"/>
  <c r="N197" i="3" s="1"/>
  <c r="K267" i="3" s="1"/>
  <c r="O267" i="3" s="1"/>
  <c r="K336" i="3" s="1"/>
  <c r="N336" i="3" s="1"/>
  <c r="K405" i="3" s="1"/>
  <c r="N405" i="3" s="1"/>
  <c r="K472" i="3" s="1"/>
  <c r="N472" i="3" s="1"/>
  <c r="K539" i="3" s="1"/>
  <c r="O539" i="3" s="1"/>
  <c r="K606" i="3" s="1"/>
  <c r="N606" i="3" s="1"/>
  <c r="K673" i="3" s="1"/>
  <c r="N673" i="3" s="1"/>
  <c r="K740" i="3" s="1"/>
  <c r="N740" i="3" s="1"/>
  <c r="K807" i="3" s="1"/>
  <c r="N807" i="3" s="1"/>
  <c r="G62" i="3"/>
  <c r="N61" i="3"/>
  <c r="K128" i="3" s="1"/>
  <c r="N128" i="3" s="1"/>
  <c r="K196" i="3" s="1"/>
  <c r="N196" i="3" s="1"/>
  <c r="K266" i="3" s="1"/>
  <c r="O266" i="3" s="1"/>
  <c r="K335" i="3" s="1"/>
  <c r="N335" i="3" s="1"/>
  <c r="K404" i="3" s="1"/>
  <c r="N404" i="3" s="1"/>
  <c r="K471" i="3" s="1"/>
  <c r="N471" i="3" s="1"/>
  <c r="K538" i="3" s="1"/>
  <c r="O538" i="3" s="1"/>
  <c r="K605" i="3" s="1"/>
  <c r="N605" i="3" s="1"/>
  <c r="K672" i="3" s="1"/>
  <c r="N672" i="3" s="1"/>
  <c r="K739" i="3" s="1"/>
  <c r="N739" i="3" s="1"/>
  <c r="K806" i="3" s="1"/>
  <c r="N806" i="3" s="1"/>
  <c r="G61" i="3"/>
  <c r="N60" i="3"/>
  <c r="K127" i="3" s="1"/>
  <c r="N127" i="3" s="1"/>
  <c r="K195" i="3" s="1"/>
  <c r="N195" i="3" s="1"/>
  <c r="K265" i="3" s="1"/>
  <c r="O265" i="3" s="1"/>
  <c r="K334" i="3" s="1"/>
  <c r="N334" i="3" s="1"/>
  <c r="K403" i="3" s="1"/>
  <c r="N403" i="3" s="1"/>
  <c r="K470" i="3" s="1"/>
  <c r="N470" i="3" s="1"/>
  <c r="K537" i="3" s="1"/>
  <c r="O537" i="3" s="1"/>
  <c r="K604" i="3" s="1"/>
  <c r="N604" i="3" s="1"/>
  <c r="K671" i="3" s="1"/>
  <c r="N671" i="3" s="1"/>
  <c r="K738" i="3" s="1"/>
  <c r="N738" i="3" s="1"/>
  <c r="K805" i="3" s="1"/>
  <c r="N805" i="3" s="1"/>
  <c r="G60" i="3"/>
  <c r="D127" i="3" s="1"/>
  <c r="G127" i="3" s="1"/>
  <c r="D195" i="3" s="1"/>
  <c r="G195" i="3" s="1"/>
  <c r="O195" i="3" s="1"/>
  <c r="N59" i="3"/>
  <c r="K126" i="3" s="1"/>
  <c r="N126" i="3" s="1"/>
  <c r="K194" i="3" s="1"/>
  <c r="N194" i="3" s="1"/>
  <c r="G59" i="3"/>
  <c r="O59" i="3" s="1"/>
  <c r="N58" i="3"/>
  <c r="K125" i="3" s="1"/>
  <c r="N125" i="3" s="1"/>
  <c r="K193" i="3" s="1"/>
  <c r="N193" i="3" s="1"/>
  <c r="K263" i="3" s="1"/>
  <c r="O263" i="3" s="1"/>
  <c r="K332" i="3" s="1"/>
  <c r="N332" i="3" s="1"/>
  <c r="K401" i="3" s="1"/>
  <c r="N401" i="3" s="1"/>
  <c r="K468" i="3" s="1"/>
  <c r="N468" i="3" s="1"/>
  <c r="K535" i="3" s="1"/>
  <c r="O535" i="3" s="1"/>
  <c r="K602" i="3" s="1"/>
  <c r="N602" i="3" s="1"/>
  <c r="K669" i="3" s="1"/>
  <c r="N669" i="3" s="1"/>
  <c r="K736" i="3" s="1"/>
  <c r="N736" i="3" s="1"/>
  <c r="K803" i="3" s="1"/>
  <c r="N803" i="3" s="1"/>
  <c r="G58" i="3"/>
  <c r="O58" i="3" s="1"/>
  <c r="N57" i="3"/>
  <c r="K124" i="3" s="1"/>
  <c r="N124" i="3" s="1"/>
  <c r="K192" i="3" s="1"/>
  <c r="N192" i="3" s="1"/>
  <c r="K262" i="3" s="1"/>
  <c r="O262" i="3" s="1"/>
  <c r="K331" i="3" s="1"/>
  <c r="N331" i="3" s="1"/>
  <c r="K400" i="3" s="1"/>
  <c r="N400" i="3" s="1"/>
  <c r="K467" i="3" s="1"/>
  <c r="N467" i="3" s="1"/>
  <c r="K534" i="3" s="1"/>
  <c r="O534" i="3" s="1"/>
  <c r="K601" i="3" s="1"/>
  <c r="N601" i="3" s="1"/>
  <c r="K668" i="3" s="1"/>
  <c r="N668" i="3" s="1"/>
  <c r="K735" i="3" s="1"/>
  <c r="N735" i="3" s="1"/>
  <c r="K802" i="3" s="1"/>
  <c r="N802" i="3" s="1"/>
  <c r="G57" i="3"/>
  <c r="D124" i="3" s="1"/>
  <c r="G124" i="3" s="1"/>
  <c r="D192" i="3" s="1"/>
  <c r="N56" i="3"/>
  <c r="G56" i="3"/>
  <c r="N55" i="3"/>
  <c r="G55" i="3"/>
  <c r="O55" i="3" s="1"/>
  <c r="N54" i="3"/>
  <c r="G54" i="3"/>
  <c r="O54" i="3" s="1"/>
  <c r="N53" i="3"/>
  <c r="K120" i="3" s="1"/>
  <c r="N120" i="3" s="1"/>
  <c r="G53" i="3"/>
  <c r="O53" i="3" s="1"/>
  <c r="N52" i="3"/>
  <c r="K119" i="3" s="1"/>
  <c r="N119" i="3" s="1"/>
  <c r="K187" i="3" s="1"/>
  <c r="N187" i="3" s="1"/>
  <c r="K257" i="3" s="1"/>
  <c r="O257" i="3" s="1"/>
  <c r="K326" i="3" s="1"/>
  <c r="N326" i="3" s="1"/>
  <c r="K395" i="3" s="1"/>
  <c r="N395" i="3" s="1"/>
  <c r="K462" i="3" s="1"/>
  <c r="N462" i="3" s="1"/>
  <c r="K529" i="3" s="1"/>
  <c r="O529" i="3" s="1"/>
  <c r="K596" i="3" s="1"/>
  <c r="N596" i="3" s="1"/>
  <c r="K663" i="3" s="1"/>
  <c r="N663" i="3" s="1"/>
  <c r="K730" i="3" s="1"/>
  <c r="N730" i="3" s="1"/>
  <c r="K797" i="3" s="1"/>
  <c r="N797" i="3" s="1"/>
  <c r="G52" i="3"/>
  <c r="N51" i="3"/>
  <c r="K118" i="3" s="1"/>
  <c r="N118" i="3" s="1"/>
  <c r="K186" i="3" s="1"/>
  <c r="N186" i="3" s="1"/>
  <c r="K256" i="3" s="1"/>
  <c r="O256" i="3" s="1"/>
  <c r="K325" i="3" s="1"/>
  <c r="N325" i="3" s="1"/>
  <c r="K394" i="3" s="1"/>
  <c r="N394" i="3" s="1"/>
  <c r="K461" i="3" s="1"/>
  <c r="N461" i="3" s="1"/>
  <c r="K528" i="3" s="1"/>
  <c r="O528" i="3" s="1"/>
  <c r="K595" i="3" s="1"/>
  <c r="N595" i="3" s="1"/>
  <c r="K662" i="3" s="1"/>
  <c r="N662" i="3" s="1"/>
  <c r="K729" i="3" s="1"/>
  <c r="N729" i="3" s="1"/>
  <c r="K796" i="3" s="1"/>
  <c r="N796" i="3" s="1"/>
  <c r="G51" i="3"/>
  <c r="O51" i="3" s="1"/>
  <c r="N50" i="3"/>
  <c r="K117" i="3" s="1"/>
  <c r="G50" i="3"/>
  <c r="O50" i="3" s="1"/>
  <c r="N49" i="3"/>
  <c r="G49" i="3"/>
  <c r="O49" i="3" s="1"/>
  <c r="N48" i="3"/>
  <c r="K115" i="3" s="1"/>
  <c r="N115" i="3" s="1"/>
  <c r="K183" i="3" s="1"/>
  <c r="N183" i="3" s="1"/>
  <c r="K253" i="3" s="1"/>
  <c r="O253" i="3" s="1"/>
  <c r="K322" i="3" s="1"/>
  <c r="G48" i="3"/>
  <c r="D115" i="3" s="1"/>
  <c r="G115" i="3" s="1"/>
  <c r="O115" i="3" s="1"/>
  <c r="N47" i="3"/>
  <c r="G47" i="3"/>
  <c r="N46" i="3"/>
  <c r="G46" i="3"/>
  <c r="O46" i="3" s="1"/>
  <c r="N45" i="3"/>
  <c r="O45" i="3" s="1"/>
  <c r="G45" i="3"/>
  <c r="N44" i="3"/>
  <c r="K111" i="3" s="1"/>
  <c r="N111" i="3" s="1"/>
  <c r="K179" i="3" s="1"/>
  <c r="N179" i="3" s="1"/>
  <c r="K249" i="3" s="1"/>
  <c r="O249" i="3" s="1"/>
  <c r="K318" i="3" s="1"/>
  <c r="N318" i="3" s="1"/>
  <c r="K387" i="3" s="1"/>
  <c r="N387" i="3" s="1"/>
  <c r="K454" i="3" s="1"/>
  <c r="N454" i="3" s="1"/>
  <c r="K521" i="3" s="1"/>
  <c r="O521" i="3" s="1"/>
  <c r="K588" i="3" s="1"/>
  <c r="N588" i="3" s="1"/>
  <c r="K655" i="3" s="1"/>
  <c r="N655" i="3" s="1"/>
  <c r="K722" i="3" s="1"/>
  <c r="N722" i="3" s="1"/>
  <c r="K789" i="3" s="1"/>
  <c r="N789" i="3" s="1"/>
  <c r="G44" i="3"/>
  <c r="N43" i="3"/>
  <c r="K110" i="3" s="1"/>
  <c r="N110" i="3" s="1"/>
  <c r="O110" i="3" s="1"/>
  <c r="G43" i="3"/>
  <c r="D110" i="3" s="1"/>
  <c r="G110" i="3" s="1"/>
  <c r="N42" i="3"/>
  <c r="G42" i="3"/>
  <c r="O42" i="3" s="1"/>
  <c r="I38" i="3"/>
  <c r="AU29" i="2"/>
  <c r="AV29" i="2" s="1"/>
  <c r="AW29" i="2" s="1"/>
  <c r="AX29" i="2" s="1"/>
  <c r="AY29" i="2" s="1"/>
  <c r="AB26" i="2"/>
  <c r="AF24" i="2"/>
  <c r="AC24" i="2"/>
  <c r="AB24" i="2"/>
  <c r="AT23" i="2"/>
  <c r="AQ23" i="2"/>
  <c r="AN23" i="2"/>
  <c r="AK23" i="2"/>
  <c r="AH23" i="2"/>
  <c r="AE23" i="2"/>
  <c r="AB23" i="2"/>
  <c r="V23" i="2"/>
  <c r="S23" i="2"/>
  <c r="P23" i="2"/>
  <c r="M23" i="2"/>
  <c r="J23" i="2"/>
  <c r="G23" i="2"/>
  <c r="D23" i="2"/>
  <c r="AS22" i="2"/>
  <c r="AT22" i="2" s="1"/>
  <c r="AP22" i="2"/>
  <c r="AQ22" i="2" s="1"/>
  <c r="AL22" i="2"/>
  <c r="AL24" i="2" s="1"/>
  <c r="AJ22" i="2"/>
  <c r="AJ24" i="2" s="1"/>
  <c r="AI22" i="2"/>
  <c r="AI24" i="2" s="1"/>
  <c r="AF22" i="2"/>
  <c r="AC22" i="2"/>
  <c r="Z22" i="2"/>
  <c r="Z24" i="2" s="1"/>
  <c r="T22" i="2"/>
  <c r="V22" i="2" s="1"/>
  <c r="Q22" i="2"/>
  <c r="S22" i="2" s="1"/>
  <c r="N22" i="2"/>
  <c r="P22" i="2" s="1"/>
  <c r="K22" i="2"/>
  <c r="M22" i="2" s="1"/>
  <c r="H22" i="2"/>
  <c r="J22" i="2" s="1"/>
  <c r="E22" i="2"/>
  <c r="E24" i="2" s="1"/>
  <c r="G24" i="2" s="1"/>
  <c r="B22" i="2"/>
  <c r="B24" i="2" s="1"/>
  <c r="D24" i="2" s="1"/>
  <c r="AT21" i="2"/>
  <c r="AQ21" i="2"/>
  <c r="AN21" i="2"/>
  <c r="AK21" i="2"/>
  <c r="AH21" i="2"/>
  <c r="AE21" i="2"/>
  <c r="AB21" i="2"/>
  <c r="V21" i="2"/>
  <c r="S21" i="2"/>
  <c r="P21" i="2"/>
  <c r="M21" i="2"/>
  <c r="J21" i="2"/>
  <c r="G21" i="2"/>
  <c r="D21" i="2"/>
  <c r="AY22" i="2"/>
  <c r="AY24" i="2" s="1"/>
  <c r="AT20" i="2"/>
  <c r="AQ20" i="2"/>
  <c r="AN20" i="2"/>
  <c r="AK20" i="2"/>
  <c r="AH20" i="2"/>
  <c r="AE20" i="2"/>
  <c r="AB20" i="2"/>
  <c r="V20" i="2"/>
  <c r="S20" i="2"/>
  <c r="P20" i="2"/>
  <c r="M20" i="2"/>
  <c r="J20" i="2"/>
  <c r="G20" i="2"/>
  <c r="D20" i="2"/>
  <c r="AT19" i="2"/>
  <c r="AQ19" i="2"/>
  <c r="AN19" i="2"/>
  <c r="AK19" i="2"/>
  <c r="AH19" i="2"/>
  <c r="AE19" i="2"/>
  <c r="AA22" i="2"/>
  <c r="AA24" i="2" s="1"/>
  <c r="V19" i="2"/>
  <c r="S19" i="2"/>
  <c r="P19" i="2"/>
  <c r="M19" i="2"/>
  <c r="J19" i="2"/>
  <c r="G19" i="2"/>
  <c r="D19" i="2"/>
  <c r="AT18" i="2"/>
  <c r="AQ18" i="2"/>
  <c r="AN18" i="2"/>
  <c r="AK18" i="2"/>
  <c r="AG22" i="2"/>
  <c r="AD22" i="2"/>
  <c r="AB18" i="2"/>
  <c r="V18" i="2"/>
  <c r="S18" i="2"/>
  <c r="P18" i="2"/>
  <c r="M18" i="2"/>
  <c r="J18" i="2"/>
  <c r="G18" i="2"/>
  <c r="D18" i="2"/>
  <c r="AX22" i="2"/>
  <c r="AX24" i="2" s="1"/>
  <c r="AR22" i="2"/>
  <c r="AR24" i="2" s="1"/>
  <c r="AO22" i="2"/>
  <c r="AO24" i="2" s="1"/>
  <c r="AM22" i="2"/>
  <c r="AK17" i="2"/>
  <c r="AH17" i="2"/>
  <c r="AE17" i="2"/>
  <c r="AB17" i="2"/>
  <c r="V17" i="2"/>
  <c r="S17" i="2"/>
  <c r="P17" i="2"/>
  <c r="M17" i="2"/>
  <c r="J17" i="2"/>
  <c r="G17" i="2"/>
  <c r="D17" i="2"/>
  <c r="AU14" i="2"/>
  <c r="AV14" i="2" s="1"/>
  <c r="AW14" i="2" s="1"/>
  <c r="AX14" i="2" s="1"/>
  <c r="AY14" i="2" s="1"/>
  <c r="AR14" i="2"/>
  <c r="AO14" i="2"/>
  <c r="AL14" i="2"/>
  <c r="AM28" i="2" s="1"/>
  <c r="AI14" i="2"/>
  <c r="AS8" i="2"/>
  <c r="D53" i="1"/>
  <c r="C53" i="1"/>
  <c r="B53" i="1"/>
  <c r="G52" i="1"/>
  <c r="G54" i="1" s="1"/>
  <c r="F52" i="1"/>
  <c r="F54" i="1" s="1"/>
  <c r="C52" i="1"/>
  <c r="C54" i="1" s="1"/>
  <c r="D51" i="1"/>
  <c r="C51" i="1"/>
  <c r="B51" i="1"/>
  <c r="B52" i="1" s="1"/>
  <c r="G50" i="1"/>
  <c r="F50" i="1"/>
  <c r="E50" i="1"/>
  <c r="D50" i="1"/>
  <c r="C50" i="1"/>
  <c r="B50" i="1"/>
  <c r="M48" i="1"/>
  <c r="M50" i="1" s="1"/>
  <c r="L48" i="1"/>
  <c r="L50" i="1" s="1"/>
  <c r="K48" i="1"/>
  <c r="K50" i="1" s="1"/>
  <c r="J48" i="1"/>
  <c r="J50" i="1" s="1"/>
  <c r="I48" i="1"/>
  <c r="I50" i="1" s="1"/>
  <c r="H48" i="1"/>
  <c r="H50" i="1" s="1"/>
  <c r="G48" i="1"/>
  <c r="F48" i="1"/>
  <c r="E48" i="1"/>
  <c r="D48" i="1"/>
  <c r="C48" i="1"/>
  <c r="B48" i="1"/>
  <c r="I41" i="1"/>
  <c r="H41" i="1"/>
  <c r="G41" i="1"/>
  <c r="F41" i="1"/>
  <c r="E41" i="1"/>
  <c r="D41" i="1"/>
  <c r="C41" i="1"/>
  <c r="B41" i="1"/>
  <c r="M39" i="1"/>
  <c r="M41" i="1" s="1"/>
  <c r="L39" i="1"/>
  <c r="L41" i="1" s="1"/>
  <c r="K39" i="1"/>
  <c r="K41" i="1" s="1"/>
  <c r="J39" i="1"/>
  <c r="J41" i="1" s="1"/>
  <c r="I39" i="1"/>
  <c r="H39" i="1"/>
  <c r="G39" i="1"/>
  <c r="F39" i="1"/>
  <c r="E39" i="1"/>
  <c r="D39" i="1"/>
  <c r="C39" i="1"/>
  <c r="B39" i="1"/>
  <c r="K32" i="1"/>
  <c r="J32" i="1"/>
  <c r="I32" i="1"/>
  <c r="H32" i="1"/>
  <c r="G32" i="1"/>
  <c r="F32" i="1"/>
  <c r="E32" i="1"/>
  <c r="D32" i="1"/>
  <c r="C32" i="1"/>
  <c r="B32" i="1"/>
  <c r="M30" i="1"/>
  <c r="M32" i="1" s="1"/>
  <c r="L30" i="1"/>
  <c r="L32" i="1" s="1"/>
  <c r="K30" i="1"/>
  <c r="J30" i="1"/>
  <c r="I30" i="1"/>
  <c r="H30" i="1"/>
  <c r="G30" i="1"/>
  <c r="F30" i="1"/>
  <c r="E30" i="1"/>
  <c r="D30" i="1"/>
  <c r="C30" i="1"/>
  <c r="B30" i="1"/>
  <c r="M23" i="1"/>
  <c r="L23" i="1"/>
  <c r="K23" i="1"/>
  <c r="J23" i="1"/>
  <c r="I23" i="1"/>
  <c r="H23" i="1"/>
  <c r="G23" i="1"/>
  <c r="F23" i="1"/>
  <c r="E23" i="1"/>
  <c r="E52" i="1" s="1"/>
  <c r="E54" i="1" s="1"/>
  <c r="D23" i="1"/>
  <c r="D52" i="1" s="1"/>
  <c r="D54" i="1" s="1"/>
  <c r="C23" i="1"/>
  <c r="M21" i="1"/>
  <c r="L21" i="1"/>
  <c r="K21" i="1"/>
  <c r="J21" i="1"/>
  <c r="I21" i="1"/>
  <c r="H21" i="1"/>
  <c r="G21" i="1"/>
  <c r="F21" i="1"/>
  <c r="E21" i="1"/>
  <c r="D21" i="1"/>
  <c r="C21" i="1"/>
  <c r="B21" i="1"/>
  <c r="L13" i="1"/>
  <c r="K13" i="1"/>
  <c r="J13" i="1"/>
  <c r="I13" i="1"/>
  <c r="H13" i="1"/>
  <c r="G13" i="1"/>
  <c r="F13" i="1"/>
  <c r="E13" i="1"/>
  <c r="D13" i="1" s="1"/>
  <c r="C13" i="1" s="1"/>
  <c r="B13" i="1" s="1"/>
  <c r="L463" i="6" l="1"/>
  <c r="M463" i="6" s="1"/>
  <c r="L83" i="6"/>
  <c r="M83" i="6" s="1"/>
  <c r="L356" i="6"/>
  <c r="M356" i="6" s="1"/>
  <c r="L459" i="6"/>
  <c r="M459" i="6" s="1"/>
  <c r="L33" i="6"/>
  <c r="M33" i="6" s="1"/>
  <c r="L264" i="6"/>
  <c r="M264" i="6" s="1"/>
  <c r="J31" i="6"/>
  <c r="L31" i="6" s="1"/>
  <c r="M31" i="6" s="1"/>
  <c r="L142" i="6"/>
  <c r="M142" i="6" s="1"/>
  <c r="E334" i="6"/>
  <c r="L350" i="6"/>
  <c r="M350" i="6" s="1"/>
  <c r="L164" i="6"/>
  <c r="M164" i="6" s="1"/>
  <c r="L363" i="6"/>
  <c r="M363" i="6" s="1"/>
  <c r="L215" i="6"/>
  <c r="M215" i="6" s="1"/>
  <c r="L166" i="6"/>
  <c r="M166" i="6" s="1"/>
  <c r="L415" i="6"/>
  <c r="M415" i="6" s="1"/>
  <c r="C334" i="6"/>
  <c r="J344" i="6"/>
  <c r="L344" i="6" s="1"/>
  <c r="M344" i="6" s="1"/>
  <c r="L86" i="6"/>
  <c r="M86" i="6" s="1"/>
  <c r="L36" i="6"/>
  <c r="M36" i="6" s="1"/>
  <c r="L95" i="6"/>
  <c r="M95" i="6" s="1"/>
  <c r="L123" i="6"/>
  <c r="M123" i="6" s="1"/>
  <c r="G136" i="6"/>
  <c r="J136" i="6" s="1"/>
  <c r="L136" i="6" s="1"/>
  <c r="M136" i="6" s="1"/>
  <c r="C178" i="6"/>
  <c r="L508" i="6"/>
  <c r="M508" i="6" s="1"/>
  <c r="E651" i="6"/>
  <c r="L58" i="6"/>
  <c r="M58" i="6" s="1"/>
  <c r="L82" i="6"/>
  <c r="M82" i="6" s="1"/>
  <c r="L120" i="6"/>
  <c r="M120" i="6" s="1"/>
  <c r="L163" i="6"/>
  <c r="M163" i="6" s="1"/>
  <c r="L354" i="6"/>
  <c r="M354" i="6" s="1"/>
  <c r="J449" i="6"/>
  <c r="L449" i="6" s="1"/>
  <c r="M449" i="6" s="1"/>
  <c r="K334" i="6"/>
  <c r="L117" i="6"/>
  <c r="M117" i="6" s="1"/>
  <c r="J188" i="6"/>
  <c r="L188" i="6" s="1"/>
  <c r="M188" i="6" s="1"/>
  <c r="L329" i="6"/>
  <c r="M329" i="6" s="1"/>
  <c r="L531" i="6"/>
  <c r="M531" i="6" s="1"/>
  <c r="L55" i="6"/>
  <c r="M55" i="6" s="1"/>
  <c r="C125" i="6"/>
  <c r="K282" i="6"/>
  <c r="L578" i="6"/>
  <c r="M578" i="6" s="1"/>
  <c r="L160" i="6"/>
  <c r="M160" i="6" s="1"/>
  <c r="L301" i="6"/>
  <c r="M301" i="6" s="1"/>
  <c r="L312" i="6"/>
  <c r="M312" i="6" s="1"/>
  <c r="L424" i="6"/>
  <c r="M424" i="6" s="1"/>
  <c r="L564" i="6"/>
  <c r="M564" i="6" s="1"/>
  <c r="G415" i="6"/>
  <c r="J415" i="6" s="1"/>
  <c r="K125" i="6"/>
  <c r="L379" i="6"/>
  <c r="M379" i="6" s="1"/>
  <c r="L69" i="6"/>
  <c r="M69" i="6" s="1"/>
  <c r="L421" i="6"/>
  <c r="M421" i="6" s="1"/>
  <c r="L115" i="6"/>
  <c r="M115" i="6" s="1"/>
  <c r="L243" i="6"/>
  <c r="M243" i="6" s="1"/>
  <c r="L46" i="6"/>
  <c r="M46" i="6" s="1"/>
  <c r="J240" i="6"/>
  <c r="L359" i="6"/>
  <c r="M359" i="6" s="1"/>
  <c r="L608" i="6"/>
  <c r="M608" i="6" s="1"/>
  <c r="L635" i="6"/>
  <c r="M635" i="6" s="1"/>
  <c r="L148" i="6"/>
  <c r="M148" i="6" s="1"/>
  <c r="G343" i="6"/>
  <c r="J343" i="6" s="1"/>
  <c r="L343" i="6" s="1"/>
  <c r="M343" i="6" s="1"/>
  <c r="G416" i="6"/>
  <c r="L515" i="6"/>
  <c r="M515" i="6" s="1"/>
  <c r="E598" i="6"/>
  <c r="L569" i="6"/>
  <c r="M569" i="6" s="1"/>
  <c r="L410" i="6"/>
  <c r="M410" i="6" s="1"/>
  <c r="C651" i="6"/>
  <c r="G606" i="6"/>
  <c r="L113" i="6"/>
  <c r="M113" i="6" s="1"/>
  <c r="L169" i="6"/>
  <c r="M169" i="6" s="1"/>
  <c r="E282" i="6"/>
  <c r="L374" i="6"/>
  <c r="M374" i="6" s="1"/>
  <c r="L407" i="6"/>
  <c r="M407" i="6" s="1"/>
  <c r="F651" i="6"/>
  <c r="F282" i="6"/>
  <c r="F545" i="6"/>
  <c r="C72" i="6"/>
  <c r="L290" i="6"/>
  <c r="L437" i="6"/>
  <c r="M437" i="6" s="1"/>
  <c r="E72" i="6"/>
  <c r="G28" i="6"/>
  <c r="J28" i="6" s="1"/>
  <c r="L28" i="6" s="1"/>
  <c r="L41" i="6"/>
  <c r="M41" i="6" s="1"/>
  <c r="L305" i="6"/>
  <c r="M305" i="6" s="1"/>
  <c r="L326" i="6"/>
  <c r="M326" i="6" s="1"/>
  <c r="G397" i="6"/>
  <c r="J397" i="6" s="1"/>
  <c r="L397" i="6" s="1"/>
  <c r="M397" i="6" s="1"/>
  <c r="E439" i="6"/>
  <c r="L206" i="6"/>
  <c r="M206" i="6" s="1"/>
  <c r="L220" i="6"/>
  <c r="M220" i="6" s="1"/>
  <c r="F334" i="6"/>
  <c r="F439" i="6"/>
  <c r="L93" i="6"/>
  <c r="M93" i="6" s="1"/>
  <c r="L213" i="6"/>
  <c r="M213" i="6" s="1"/>
  <c r="F178" i="6"/>
  <c r="L154" i="6"/>
  <c r="M154" i="6" s="1"/>
  <c r="L561" i="6"/>
  <c r="M561" i="6" s="1"/>
  <c r="L97" i="6"/>
  <c r="M97" i="6" s="1"/>
  <c r="L203" i="6"/>
  <c r="M203" i="6" s="1"/>
  <c r="F598" i="6"/>
  <c r="L649" i="6"/>
  <c r="M649" i="6" s="1"/>
  <c r="L80" i="6"/>
  <c r="G558" i="6"/>
  <c r="L161" i="6"/>
  <c r="M161" i="6" s="1"/>
  <c r="L376" i="6"/>
  <c r="M376" i="6" s="1"/>
  <c r="L425" i="6"/>
  <c r="M425" i="6" s="1"/>
  <c r="L631" i="6"/>
  <c r="M631" i="6" s="1"/>
  <c r="L196" i="6"/>
  <c r="M196" i="6" s="1"/>
  <c r="L50" i="6"/>
  <c r="M50" i="6" s="1"/>
  <c r="G222" i="6"/>
  <c r="L317" i="6"/>
  <c r="M317" i="6" s="1"/>
  <c r="L485" i="6"/>
  <c r="M485" i="6" s="1"/>
  <c r="G489" i="6"/>
  <c r="J489" i="6" s="1"/>
  <c r="L489" i="6" s="1"/>
  <c r="M489" i="6" s="1"/>
  <c r="L511" i="6"/>
  <c r="M511" i="6" s="1"/>
  <c r="L562" i="6"/>
  <c r="M562" i="6" s="1"/>
  <c r="L39" i="6"/>
  <c r="M39" i="6" s="1"/>
  <c r="J135" i="6"/>
  <c r="L135" i="6" s="1"/>
  <c r="M135" i="6" s="1"/>
  <c r="G187" i="6"/>
  <c r="J187" i="6" s="1"/>
  <c r="L187" i="6" s="1"/>
  <c r="M187" i="6" s="1"/>
  <c r="L193" i="6"/>
  <c r="M193" i="6" s="1"/>
  <c r="L310" i="6"/>
  <c r="M310" i="6" s="1"/>
  <c r="G332" i="6"/>
  <c r="J332" i="6" s="1"/>
  <c r="L332" i="6" s="1"/>
  <c r="M332" i="6" s="1"/>
  <c r="L366" i="6"/>
  <c r="M366" i="6" s="1"/>
  <c r="G486" i="6"/>
  <c r="L118" i="6"/>
  <c r="M118" i="6" s="1"/>
  <c r="L291" i="6"/>
  <c r="M291" i="6" s="1"/>
  <c r="L535" i="6"/>
  <c r="M535" i="6" s="1"/>
  <c r="L197" i="6"/>
  <c r="M197" i="6" s="1"/>
  <c r="L450" i="6"/>
  <c r="M450" i="6" s="1"/>
  <c r="L576" i="6"/>
  <c r="M576" i="6" s="1"/>
  <c r="J292" i="6"/>
  <c r="L327" i="6"/>
  <c r="M327" i="6" s="1"/>
  <c r="C492" i="6"/>
  <c r="G447" i="6"/>
  <c r="J447" i="6" s="1"/>
  <c r="L380" i="6"/>
  <c r="M380" i="6" s="1"/>
  <c r="L429" i="6"/>
  <c r="M429" i="6" s="1"/>
  <c r="L525" i="6"/>
  <c r="M525" i="6" s="1"/>
  <c r="K230" i="6"/>
  <c r="L377" i="6"/>
  <c r="M377" i="6" s="1"/>
  <c r="K545" i="6"/>
  <c r="L542" i="6"/>
  <c r="M542" i="6" s="1"/>
  <c r="L122" i="6"/>
  <c r="M122" i="6" s="1"/>
  <c r="L259" i="6"/>
  <c r="M259" i="6" s="1"/>
  <c r="L505" i="6"/>
  <c r="M505" i="6" s="1"/>
  <c r="L516" i="6"/>
  <c r="M516" i="6" s="1"/>
  <c r="L85" i="6"/>
  <c r="M85" i="6" s="1"/>
  <c r="L278" i="6"/>
  <c r="M278" i="6" s="1"/>
  <c r="L295" i="6"/>
  <c r="M295" i="6" s="1"/>
  <c r="L618" i="6"/>
  <c r="M618" i="6" s="1"/>
  <c r="L636" i="6"/>
  <c r="M636" i="6" s="1"/>
  <c r="G89" i="6"/>
  <c r="J89" i="6" s="1"/>
  <c r="L275" i="6"/>
  <c r="M275" i="6" s="1"/>
  <c r="G365" i="6"/>
  <c r="L584" i="6"/>
  <c r="M584" i="6" s="1"/>
  <c r="L61" i="6"/>
  <c r="M61" i="6" s="1"/>
  <c r="E178" i="6"/>
  <c r="L167" i="6"/>
  <c r="M167" i="6" s="1"/>
  <c r="L401" i="6"/>
  <c r="M401" i="6" s="1"/>
  <c r="K651" i="6"/>
  <c r="G133" i="6"/>
  <c r="J133" i="6" s="1"/>
  <c r="L222" i="6"/>
  <c r="M222" i="6" s="1"/>
  <c r="L246" i="6"/>
  <c r="M246" i="6" s="1"/>
  <c r="L614" i="6"/>
  <c r="M614" i="6" s="1"/>
  <c r="L298" i="6"/>
  <c r="M298" i="6" s="1"/>
  <c r="L394" i="6"/>
  <c r="L88" i="6"/>
  <c r="M88" i="6" s="1"/>
  <c r="K178" i="6"/>
  <c r="L133" i="6"/>
  <c r="L240" i="6"/>
  <c r="M240" i="6" s="1"/>
  <c r="L556" i="6"/>
  <c r="M556" i="6" s="1"/>
  <c r="L629" i="6"/>
  <c r="M629" i="6" s="1"/>
  <c r="L643" i="6"/>
  <c r="M643" i="6" s="1"/>
  <c r="L65" i="6"/>
  <c r="M65" i="6" s="1"/>
  <c r="L201" i="6"/>
  <c r="M201" i="6" s="1"/>
  <c r="C230" i="6"/>
  <c r="L292" i="6"/>
  <c r="M292" i="6" s="1"/>
  <c r="G51" i="6"/>
  <c r="G227" i="6"/>
  <c r="J227" i="6" s="1"/>
  <c r="L227" i="6" s="1"/>
  <c r="M227" i="6" s="1"/>
  <c r="G346" i="6"/>
  <c r="L594" i="6"/>
  <c r="M594" i="6" s="1"/>
  <c r="L44" i="6"/>
  <c r="M44" i="6" s="1"/>
  <c r="G48" i="6"/>
  <c r="J48" i="6" s="1"/>
  <c r="L48" i="6" s="1"/>
  <c r="M48" i="6" s="1"/>
  <c r="G111" i="6"/>
  <c r="J111" i="6" s="1"/>
  <c r="L208" i="6"/>
  <c r="M208" i="6" s="1"/>
  <c r="L214" i="6"/>
  <c r="M214" i="6" s="1"/>
  <c r="G251" i="6"/>
  <c r="J251" i="6" s="1"/>
  <c r="L251" i="6" s="1"/>
  <c r="M251" i="6" s="1"/>
  <c r="G276" i="6"/>
  <c r="G353" i="6"/>
  <c r="J353" i="6" s="1"/>
  <c r="L353" i="6" s="1"/>
  <c r="M353" i="6" s="1"/>
  <c r="G375" i="6"/>
  <c r="L402" i="6"/>
  <c r="M402" i="6" s="1"/>
  <c r="E492" i="6"/>
  <c r="L586" i="6"/>
  <c r="M586" i="6" s="1"/>
  <c r="L321" i="6"/>
  <c r="M321" i="6" s="1"/>
  <c r="J396" i="6"/>
  <c r="L396" i="6" s="1"/>
  <c r="M396" i="6" s="1"/>
  <c r="L399" i="6"/>
  <c r="M399" i="6" s="1"/>
  <c r="L570" i="6"/>
  <c r="M570" i="6" s="1"/>
  <c r="L277" i="6"/>
  <c r="M277" i="6" s="1"/>
  <c r="E386" i="6"/>
  <c r="L351" i="6"/>
  <c r="M351" i="6" s="1"/>
  <c r="L405" i="6"/>
  <c r="M405" i="6" s="1"/>
  <c r="L500" i="6"/>
  <c r="L395" i="6"/>
  <c r="M395" i="6" s="1"/>
  <c r="L514" i="6"/>
  <c r="M514" i="6" s="1"/>
  <c r="L533" i="6"/>
  <c r="M533" i="6" s="1"/>
  <c r="K72" i="6"/>
  <c r="L105" i="6"/>
  <c r="M105" i="6" s="1"/>
  <c r="L249" i="6"/>
  <c r="M249" i="6" s="1"/>
  <c r="C386" i="6"/>
  <c r="L381" i="6"/>
  <c r="M381" i="6" s="1"/>
  <c r="F492" i="6"/>
  <c r="L507" i="6"/>
  <c r="M507" i="6" s="1"/>
  <c r="L42" i="6"/>
  <c r="M42" i="6" s="1"/>
  <c r="G91" i="6"/>
  <c r="J91" i="6" s="1"/>
  <c r="L91" i="6" s="1"/>
  <c r="M91" i="6" s="1"/>
  <c r="L96" i="6"/>
  <c r="M96" i="6" s="1"/>
  <c r="G106" i="6"/>
  <c r="L162" i="6"/>
  <c r="M162" i="6" s="1"/>
  <c r="L268" i="6"/>
  <c r="M268" i="6" s="1"/>
  <c r="G376" i="6"/>
  <c r="J376" i="6" s="1"/>
  <c r="L467" i="6"/>
  <c r="M467" i="6" s="1"/>
  <c r="G487" i="6"/>
  <c r="G501" i="6"/>
  <c r="G617" i="6"/>
  <c r="J617" i="6" s="1"/>
  <c r="L617" i="6" s="1"/>
  <c r="M617" i="6" s="1"/>
  <c r="G641" i="6"/>
  <c r="J641" i="6" s="1"/>
  <c r="G124" i="6"/>
  <c r="J124" i="6" s="1"/>
  <c r="L124" i="6" s="1"/>
  <c r="M124" i="6" s="1"/>
  <c r="L134" i="6"/>
  <c r="M134" i="6" s="1"/>
  <c r="G238" i="6"/>
  <c r="J238" i="6" s="1"/>
  <c r="C282" i="6"/>
  <c r="L253" i="6"/>
  <c r="M253" i="6" s="1"/>
  <c r="L300" i="6"/>
  <c r="M300" i="6" s="1"/>
  <c r="G342" i="6"/>
  <c r="J342" i="6" s="1"/>
  <c r="G367" i="6"/>
  <c r="G448" i="6"/>
  <c r="J448" i="6" s="1"/>
  <c r="L448" i="6" s="1"/>
  <c r="M448" i="6" s="1"/>
  <c r="L460" i="6"/>
  <c r="M460" i="6" s="1"/>
  <c r="L482" i="6"/>
  <c r="M482" i="6" s="1"/>
  <c r="G612" i="6"/>
  <c r="J612" i="6" s="1"/>
  <c r="L612" i="6" s="1"/>
  <c r="M612" i="6" s="1"/>
  <c r="G634" i="6"/>
  <c r="J634" i="6" s="1"/>
  <c r="L634" i="6" s="1"/>
  <c r="M634" i="6" s="1"/>
  <c r="G34" i="6"/>
  <c r="G99" i="6"/>
  <c r="L211" i="6"/>
  <c r="M211" i="6" s="1"/>
  <c r="L324" i="6"/>
  <c r="M324" i="6" s="1"/>
  <c r="L364" i="6"/>
  <c r="M364" i="6" s="1"/>
  <c r="G411" i="6"/>
  <c r="J411" i="6" s="1"/>
  <c r="L422" i="6"/>
  <c r="M422" i="6" s="1"/>
  <c r="L512" i="6"/>
  <c r="M512" i="6" s="1"/>
  <c r="L592" i="6"/>
  <c r="M592" i="6" s="1"/>
  <c r="L102" i="6"/>
  <c r="M102" i="6" s="1"/>
  <c r="L370" i="6"/>
  <c r="M370" i="6" s="1"/>
  <c r="L537" i="6"/>
  <c r="M537" i="6" s="1"/>
  <c r="L543" i="6"/>
  <c r="M543" i="6" s="1"/>
  <c r="E125" i="6"/>
  <c r="L239" i="6"/>
  <c r="M239" i="6" s="1"/>
  <c r="L262" i="6"/>
  <c r="M262" i="6" s="1"/>
  <c r="L313" i="6"/>
  <c r="M313" i="6" s="1"/>
  <c r="G465" i="6"/>
  <c r="J465" i="6" s="1"/>
  <c r="L465" i="6" s="1"/>
  <c r="M465" i="6" s="1"/>
  <c r="L596" i="6"/>
  <c r="M596" i="6" s="1"/>
  <c r="L641" i="6"/>
  <c r="M641" i="6" s="1"/>
  <c r="L540" i="6"/>
  <c r="M540" i="6" s="1"/>
  <c r="L29" i="6"/>
  <c r="M29" i="6" s="1"/>
  <c r="F125" i="6"/>
  <c r="G100" i="6"/>
  <c r="L186" i="6"/>
  <c r="L189" i="6"/>
  <c r="M189" i="6" s="1"/>
  <c r="G218" i="6"/>
  <c r="J218" i="6" s="1"/>
  <c r="L218" i="6" s="1"/>
  <c r="M218" i="6" s="1"/>
  <c r="L242" i="6"/>
  <c r="M242" i="6" s="1"/>
  <c r="G260" i="6"/>
  <c r="J260" i="6" s="1"/>
  <c r="L260" i="6" s="1"/>
  <c r="M260" i="6" s="1"/>
  <c r="L265" i="6"/>
  <c r="M265" i="6" s="1"/>
  <c r="G296" i="6"/>
  <c r="G334" i="6" s="1"/>
  <c r="G311" i="6"/>
  <c r="L432" i="6"/>
  <c r="M432" i="6" s="1"/>
  <c r="L438" i="6"/>
  <c r="M438" i="6" s="1"/>
  <c r="G456" i="6"/>
  <c r="J456" i="6" s="1"/>
  <c r="L456" i="6" s="1"/>
  <c r="M456" i="6" s="1"/>
  <c r="L593" i="6"/>
  <c r="M593" i="6" s="1"/>
  <c r="L619" i="6"/>
  <c r="M619" i="6" s="1"/>
  <c r="L475" i="6"/>
  <c r="M475" i="6" s="1"/>
  <c r="L64" i="6"/>
  <c r="M64" i="6" s="1"/>
  <c r="L111" i="6"/>
  <c r="M111" i="6" s="1"/>
  <c r="L151" i="6"/>
  <c r="M151" i="6" s="1"/>
  <c r="E230" i="6"/>
  <c r="L252" i="6"/>
  <c r="M252" i="6" s="1"/>
  <c r="L357" i="6"/>
  <c r="M357" i="6" s="1"/>
  <c r="L416" i="6"/>
  <c r="M416" i="6" s="1"/>
  <c r="L452" i="6"/>
  <c r="M452" i="6" s="1"/>
  <c r="G467" i="6"/>
  <c r="L565" i="6"/>
  <c r="M565" i="6" s="1"/>
  <c r="L609" i="6"/>
  <c r="M609" i="6" s="1"/>
  <c r="L191" i="6"/>
  <c r="M191" i="6" s="1"/>
  <c r="L408" i="6"/>
  <c r="M408" i="6" s="1"/>
  <c r="K439" i="6"/>
  <c r="L621" i="6"/>
  <c r="M621" i="6" s="1"/>
  <c r="G112" i="6"/>
  <c r="L173" i="6"/>
  <c r="M173" i="6" s="1"/>
  <c r="G200" i="6"/>
  <c r="J200" i="6" s="1"/>
  <c r="L200" i="6" s="1"/>
  <c r="M200" i="6" s="1"/>
  <c r="L226" i="6"/>
  <c r="M226" i="6" s="1"/>
  <c r="L314" i="6"/>
  <c r="M314" i="6" s="1"/>
  <c r="L411" i="6"/>
  <c r="M411" i="6" s="1"/>
  <c r="L503" i="6"/>
  <c r="M503" i="6" s="1"/>
  <c r="L472" i="6"/>
  <c r="M472" i="6" s="1"/>
  <c r="L138" i="6"/>
  <c r="M138" i="6" s="1"/>
  <c r="G171" i="6"/>
  <c r="J171" i="6" s="1"/>
  <c r="L171" i="6" s="1"/>
  <c r="M171" i="6" s="1"/>
  <c r="G224" i="6"/>
  <c r="G230" i="6" s="1"/>
  <c r="G401" i="6"/>
  <c r="G439" i="6" s="1"/>
  <c r="L428" i="6"/>
  <c r="M428" i="6" s="1"/>
  <c r="L509" i="6"/>
  <c r="M509" i="6" s="1"/>
  <c r="L518" i="6"/>
  <c r="M518" i="6" s="1"/>
  <c r="L521" i="6"/>
  <c r="M521" i="6" s="1"/>
  <c r="L538" i="6"/>
  <c r="M538" i="6" s="1"/>
  <c r="C598" i="6"/>
  <c r="G553" i="6"/>
  <c r="L572" i="6"/>
  <c r="M572" i="6" s="1"/>
  <c r="G202" i="6"/>
  <c r="J202" i="6" s="1"/>
  <c r="L202" i="6" s="1"/>
  <c r="M202" i="6" s="1"/>
  <c r="L204" i="6"/>
  <c r="M204" i="6" s="1"/>
  <c r="G253" i="6"/>
  <c r="J253" i="6" s="1"/>
  <c r="L255" i="6"/>
  <c r="M255" i="6" s="1"/>
  <c r="K492" i="6"/>
  <c r="G102" i="6"/>
  <c r="L104" i="6"/>
  <c r="M104" i="6" s="1"/>
  <c r="G151" i="6"/>
  <c r="J151" i="6" s="1"/>
  <c r="L153" i="6"/>
  <c r="M153" i="6" s="1"/>
  <c r="L447" i="6"/>
  <c r="P94" i="4"/>
  <c r="D154" i="4"/>
  <c r="G154" i="4" s="1"/>
  <c r="D173" i="4"/>
  <c r="G173" i="4" s="1"/>
  <c r="P113" i="4"/>
  <c r="D138" i="4"/>
  <c r="G138" i="4" s="1"/>
  <c r="P78" i="4"/>
  <c r="K90" i="4"/>
  <c r="O90" i="4" s="1"/>
  <c r="K150" i="4" s="1"/>
  <c r="N150" i="4" s="1"/>
  <c r="K210" i="4" s="1"/>
  <c r="N210" i="4" s="1"/>
  <c r="K270" i="4" s="1"/>
  <c r="N270" i="4" s="1"/>
  <c r="O30" i="4"/>
  <c r="D223" i="4"/>
  <c r="G223" i="4" s="1"/>
  <c r="O163" i="4"/>
  <c r="P87" i="4"/>
  <c r="D147" i="4"/>
  <c r="G147" i="4" s="1"/>
  <c r="K162" i="4"/>
  <c r="N162" i="4" s="1"/>
  <c r="K222" i="4" s="1"/>
  <c r="N222" i="4" s="1"/>
  <c r="K282" i="4" s="1"/>
  <c r="N282" i="4" s="1"/>
  <c r="P102" i="4"/>
  <c r="O155" i="4"/>
  <c r="D215" i="4"/>
  <c r="G215" i="4" s="1"/>
  <c r="D148" i="4"/>
  <c r="G148" i="4" s="1"/>
  <c r="P88" i="4"/>
  <c r="P103" i="4"/>
  <c r="O179" i="4"/>
  <c r="D239" i="4"/>
  <c r="G239" i="4" s="1"/>
  <c r="P89" i="4"/>
  <c r="D149" i="4"/>
  <c r="G149" i="4" s="1"/>
  <c r="D177" i="4"/>
  <c r="G177" i="4" s="1"/>
  <c r="P117" i="4"/>
  <c r="K158" i="4"/>
  <c r="N158" i="4" s="1"/>
  <c r="K218" i="4" s="1"/>
  <c r="N218" i="4" s="1"/>
  <c r="K278" i="4" s="1"/>
  <c r="N278" i="4" s="1"/>
  <c r="P98" i="4"/>
  <c r="D108" i="4"/>
  <c r="H108" i="4" s="1"/>
  <c r="O48" i="4"/>
  <c r="P119" i="4"/>
  <c r="O38" i="4"/>
  <c r="O57" i="4"/>
  <c r="O39" i="4"/>
  <c r="D99" i="4"/>
  <c r="H99" i="4" s="1"/>
  <c r="D118" i="4"/>
  <c r="H118" i="4" s="1"/>
  <c r="O58" i="4"/>
  <c r="D136" i="4"/>
  <c r="D213" i="4"/>
  <c r="G213" i="4" s="1"/>
  <c r="O153" i="4"/>
  <c r="P93" i="4"/>
  <c r="O167" i="4"/>
  <c r="D227" i="4"/>
  <c r="G227" i="4" s="1"/>
  <c r="D91" i="4"/>
  <c r="H91" i="4" s="1"/>
  <c r="O31" i="4"/>
  <c r="P101" i="4"/>
  <c r="D161" i="4"/>
  <c r="G161" i="4" s="1"/>
  <c r="D302" i="4"/>
  <c r="G302" i="4" s="1"/>
  <c r="O302" i="4" s="1"/>
  <c r="O242" i="4"/>
  <c r="D169" i="4"/>
  <c r="G169" i="4" s="1"/>
  <c r="P109" i="4"/>
  <c r="P121" i="4"/>
  <c r="D181" i="4"/>
  <c r="G181" i="4" s="1"/>
  <c r="O172" i="4"/>
  <c r="P81" i="4"/>
  <c r="D141" i="4"/>
  <c r="G141" i="4" s="1"/>
  <c r="O162" i="4"/>
  <c r="D222" i="4"/>
  <c r="G222" i="4" s="1"/>
  <c r="D292" i="4"/>
  <c r="G292" i="4" s="1"/>
  <c r="O292" i="4" s="1"/>
  <c r="O232" i="4"/>
  <c r="D156" i="4"/>
  <c r="G156" i="4" s="1"/>
  <c r="P96" i="4"/>
  <c r="D84" i="4"/>
  <c r="H84" i="4" s="1"/>
  <c r="O24" i="4"/>
  <c r="P112" i="4"/>
  <c r="D160" i="4"/>
  <c r="G160" i="4" s="1"/>
  <c r="P100" i="4"/>
  <c r="D86" i="4"/>
  <c r="H86" i="4" s="1"/>
  <c r="O26" i="4"/>
  <c r="O244" i="4"/>
  <c r="D304" i="4"/>
  <c r="G304" i="4" s="1"/>
  <c r="O304" i="4" s="1"/>
  <c r="N60" i="4"/>
  <c r="N63" i="4" s="1"/>
  <c r="N65" i="4" s="1"/>
  <c r="O16" i="4"/>
  <c r="K76" i="4"/>
  <c r="P114" i="4"/>
  <c r="D174" i="4"/>
  <c r="G174" i="4" s="1"/>
  <c r="D197" i="4"/>
  <c r="G197" i="4" s="1"/>
  <c r="O137" i="4"/>
  <c r="N147" i="4"/>
  <c r="K207" i="4" s="1"/>
  <c r="N207" i="4" s="1"/>
  <c r="K267" i="4" s="1"/>
  <c r="N267" i="4" s="1"/>
  <c r="P115" i="4"/>
  <c r="D175" i="4"/>
  <c r="G175" i="4" s="1"/>
  <c r="P92" i="4"/>
  <c r="P104" i="4"/>
  <c r="D164" i="4"/>
  <c r="G164" i="4" s="1"/>
  <c r="D170" i="4"/>
  <c r="G170" i="4" s="1"/>
  <c r="P110" i="4"/>
  <c r="D165" i="4"/>
  <c r="G165" i="4" s="1"/>
  <c r="P105" i="4"/>
  <c r="O17" i="4"/>
  <c r="O25" i="4"/>
  <c r="O50" i="4"/>
  <c r="D278" i="4"/>
  <c r="G278" i="4" s="1"/>
  <c r="D111" i="4"/>
  <c r="H111" i="4" s="1"/>
  <c r="O51" i="4"/>
  <c r="L180" i="4"/>
  <c r="L183" i="4" s="1"/>
  <c r="L185" i="4" s="1"/>
  <c r="L187" i="4" s="1"/>
  <c r="D157" i="4"/>
  <c r="G157" i="4" s="1"/>
  <c r="P97" i="4"/>
  <c r="O42" i="4"/>
  <c r="I132" i="4"/>
  <c r="F192" i="4"/>
  <c r="P107" i="4"/>
  <c r="O19" i="4"/>
  <c r="P122" i="4"/>
  <c r="O20" i="4"/>
  <c r="D80" i="4"/>
  <c r="D145" i="4"/>
  <c r="G145" i="4" s="1"/>
  <c r="D212" i="4"/>
  <c r="G212" i="4" s="1"/>
  <c r="D82" i="4"/>
  <c r="H82" i="4" s="1"/>
  <c r="O22" i="4"/>
  <c r="O46" i="4"/>
  <c r="D106" i="4"/>
  <c r="H106" i="4" s="1"/>
  <c r="O37" i="4"/>
  <c r="E60" i="4"/>
  <c r="E63" i="4" s="1"/>
  <c r="E65" i="4" s="1"/>
  <c r="D150" i="4"/>
  <c r="G150" i="4" s="1"/>
  <c r="P90" i="4"/>
  <c r="O62" i="4"/>
  <c r="D139" i="4"/>
  <c r="G139" i="4" s="1"/>
  <c r="G23" i="4"/>
  <c r="O52" i="4"/>
  <c r="L60" i="4"/>
  <c r="L63" i="4" s="1"/>
  <c r="L65" i="4" s="1"/>
  <c r="L67" i="4" s="1"/>
  <c r="G60" i="4"/>
  <c r="G63" i="4" s="1"/>
  <c r="G65" i="4" s="1"/>
  <c r="K100" i="4"/>
  <c r="O100" i="4" s="1"/>
  <c r="K160" i="4" s="1"/>
  <c r="N160" i="4" s="1"/>
  <c r="K220" i="4" s="1"/>
  <c r="N220" i="4" s="1"/>
  <c r="K280" i="4" s="1"/>
  <c r="N280" i="4" s="1"/>
  <c r="D116" i="4"/>
  <c r="H116" i="4" s="1"/>
  <c r="P124" i="4"/>
  <c r="D286" i="3"/>
  <c r="H286" i="3" s="1"/>
  <c r="O216" i="3"/>
  <c r="O132" i="3"/>
  <c r="D200" i="3"/>
  <c r="G200" i="3" s="1"/>
  <c r="D255" i="3"/>
  <c r="H255" i="3" s="1"/>
  <c r="O185" i="3"/>
  <c r="O129" i="3"/>
  <c r="D197" i="3"/>
  <c r="G197" i="3" s="1"/>
  <c r="D207" i="3"/>
  <c r="G207" i="3" s="1"/>
  <c r="O139" i="3"/>
  <c r="D201" i="3"/>
  <c r="G201" i="3" s="1"/>
  <c r="O133" i="3"/>
  <c r="K273" i="3"/>
  <c r="O273" i="3" s="1"/>
  <c r="K342" i="3" s="1"/>
  <c r="N342" i="3" s="1"/>
  <c r="K411" i="3" s="1"/>
  <c r="N411" i="3" s="1"/>
  <c r="K478" i="3" s="1"/>
  <c r="N478" i="3" s="1"/>
  <c r="K545" i="3" s="1"/>
  <c r="O545" i="3" s="1"/>
  <c r="K612" i="3" s="1"/>
  <c r="N612" i="3" s="1"/>
  <c r="K679" i="3" s="1"/>
  <c r="N679" i="3" s="1"/>
  <c r="K746" i="3" s="1"/>
  <c r="N746" i="3" s="1"/>
  <c r="K813" i="3" s="1"/>
  <c r="N813" i="3" s="1"/>
  <c r="O203" i="3"/>
  <c r="D181" i="3"/>
  <c r="G181" i="3" s="1"/>
  <c r="O113" i="3"/>
  <c r="M168" i="3"/>
  <c r="K91" i="3"/>
  <c r="O118" i="3"/>
  <c r="D186" i="3"/>
  <c r="G186" i="3" s="1"/>
  <c r="M100" i="3"/>
  <c r="M510" i="3"/>
  <c r="D211" i="3"/>
  <c r="G211" i="3" s="1"/>
  <c r="O143" i="3"/>
  <c r="D196" i="3"/>
  <c r="G196" i="3" s="1"/>
  <c r="O128" i="3"/>
  <c r="D290" i="3"/>
  <c r="H290" i="3" s="1"/>
  <c r="O220" i="3"/>
  <c r="O120" i="3"/>
  <c r="D188" i="3"/>
  <c r="G188" i="3" s="1"/>
  <c r="O144" i="3"/>
  <c r="D212" i="3"/>
  <c r="G212" i="3" s="1"/>
  <c r="O198" i="3"/>
  <c r="D268" i="3"/>
  <c r="H268" i="3" s="1"/>
  <c r="D218" i="3"/>
  <c r="G218" i="3" s="1"/>
  <c r="O150" i="3"/>
  <c r="D189" i="3"/>
  <c r="G189" i="3" s="1"/>
  <c r="O121" i="3"/>
  <c r="O204" i="3"/>
  <c r="D274" i="3"/>
  <c r="H274" i="3" s="1"/>
  <c r="P273" i="3"/>
  <c r="D342" i="3"/>
  <c r="G342" i="3" s="1"/>
  <c r="O209" i="3"/>
  <c r="D279" i="3"/>
  <c r="H279" i="3" s="1"/>
  <c r="I563" i="3"/>
  <c r="D248" i="3"/>
  <c r="H248" i="3" s="1"/>
  <c r="O122" i="3"/>
  <c r="D190" i="3"/>
  <c r="G190" i="3" s="1"/>
  <c r="O137" i="3"/>
  <c r="D205" i="3"/>
  <c r="G205" i="3" s="1"/>
  <c r="O147" i="3"/>
  <c r="D215" i="3"/>
  <c r="G215" i="3" s="1"/>
  <c r="O202" i="3"/>
  <c r="D272" i="3"/>
  <c r="H272" i="3" s="1"/>
  <c r="O192" i="3"/>
  <c r="D262" i="3"/>
  <c r="H262" i="3" s="1"/>
  <c r="O157" i="3"/>
  <c r="D225" i="3"/>
  <c r="G225" i="3" s="1"/>
  <c r="I360" i="3"/>
  <c r="I429" i="3"/>
  <c r="O151" i="3"/>
  <c r="D219" i="3"/>
  <c r="G219" i="3" s="1"/>
  <c r="P280" i="3"/>
  <c r="D349" i="3"/>
  <c r="G349" i="3" s="1"/>
  <c r="M577" i="3"/>
  <c r="D111" i="3"/>
  <c r="G111" i="3" s="1"/>
  <c r="O44" i="3"/>
  <c r="O180" i="3"/>
  <c r="D250" i="3"/>
  <c r="H250" i="3" s="1"/>
  <c r="D257" i="3"/>
  <c r="H257" i="3" s="1"/>
  <c r="O187" i="3"/>
  <c r="O76" i="3"/>
  <c r="O71" i="3"/>
  <c r="I221" i="3"/>
  <c r="O152" i="3"/>
  <c r="D253" i="3"/>
  <c r="H253" i="3" s="1"/>
  <c r="O183" i="3"/>
  <c r="K178" i="3"/>
  <c r="N178" i="3" s="1"/>
  <c r="K248" i="3" s="1"/>
  <c r="O248" i="3" s="1"/>
  <c r="K317" i="3" s="1"/>
  <c r="N317" i="3" s="1"/>
  <c r="K386" i="3" s="1"/>
  <c r="N386" i="3" s="1"/>
  <c r="K453" i="3" s="1"/>
  <c r="N453" i="3" s="1"/>
  <c r="K520" i="3" s="1"/>
  <c r="O520" i="3" s="1"/>
  <c r="K587" i="3" s="1"/>
  <c r="N587" i="3" s="1"/>
  <c r="K654" i="3" s="1"/>
  <c r="N654" i="3" s="1"/>
  <c r="K721" i="3" s="1"/>
  <c r="N721" i="3" s="1"/>
  <c r="K788" i="3" s="1"/>
  <c r="N788" i="3" s="1"/>
  <c r="O62" i="3"/>
  <c r="M291" i="3"/>
  <c r="M294" i="3" s="1"/>
  <c r="M296" i="3" s="1"/>
  <c r="M298" i="3" s="1"/>
  <c r="M307" i="3" s="1"/>
  <c r="L363" i="3"/>
  <c r="L365" i="3" s="1"/>
  <c r="L367" i="3" s="1"/>
  <c r="M376" i="3" s="1"/>
  <c r="O52" i="3"/>
  <c r="O63" i="3"/>
  <c r="I153" i="3"/>
  <c r="O124" i="3"/>
  <c r="D154" i="3"/>
  <c r="G154" i="3" s="1"/>
  <c r="M363" i="3"/>
  <c r="M365" i="3" s="1"/>
  <c r="K153" i="3"/>
  <c r="K156" i="3" s="1"/>
  <c r="N109" i="3"/>
  <c r="D125" i="3"/>
  <c r="G125" i="3" s="1"/>
  <c r="I764" i="3"/>
  <c r="D140" i="3"/>
  <c r="G140" i="3" s="1"/>
  <c r="I697" i="3"/>
  <c r="O43" i="3"/>
  <c r="D91" i="3"/>
  <c r="N155" i="3"/>
  <c r="K223" i="3" s="1"/>
  <c r="N223" i="3" s="1"/>
  <c r="K293" i="3" s="1"/>
  <c r="O293" i="3" s="1"/>
  <c r="K362" i="3" s="1"/>
  <c r="N362" i="3" s="1"/>
  <c r="K431" i="3" s="1"/>
  <c r="N431" i="3" s="1"/>
  <c r="K498" i="3" s="1"/>
  <c r="N498" i="3" s="1"/>
  <c r="K565" i="3" s="1"/>
  <c r="O565" i="3" s="1"/>
  <c r="K632" i="3" s="1"/>
  <c r="N632" i="3" s="1"/>
  <c r="K699" i="3" s="1"/>
  <c r="N699" i="3" s="1"/>
  <c r="K766" i="3" s="1"/>
  <c r="N766" i="3" s="1"/>
  <c r="K833" i="3" s="1"/>
  <c r="N833" i="3" s="1"/>
  <c r="D206" i="3"/>
  <c r="G206" i="3" s="1"/>
  <c r="O138" i="3"/>
  <c r="G86" i="3"/>
  <c r="G89" i="3" s="1"/>
  <c r="G91" i="3" s="1"/>
  <c r="O81" i="3"/>
  <c r="O117" i="3"/>
  <c r="O127" i="3"/>
  <c r="O136" i="3"/>
  <c r="O112" i="3"/>
  <c r="D123" i="3"/>
  <c r="G123" i="3" s="1"/>
  <c r="O56" i="3"/>
  <c r="N86" i="3"/>
  <c r="N89" i="3" s="1"/>
  <c r="N91" i="3" s="1"/>
  <c r="I630" i="3"/>
  <c r="O67" i="3"/>
  <c r="O77" i="3"/>
  <c r="O82" i="3"/>
  <c r="O199" i="3"/>
  <c r="O72" i="3"/>
  <c r="O88" i="3"/>
  <c r="D155" i="3"/>
  <c r="G155" i="3" s="1"/>
  <c r="M165" i="3"/>
  <c r="E221" i="3"/>
  <c r="E224" i="3" s="1"/>
  <c r="E226" i="3" s="1"/>
  <c r="D217" i="3"/>
  <c r="G217" i="3" s="1"/>
  <c r="O149" i="3"/>
  <c r="D269" i="3"/>
  <c r="H269" i="3" s="1"/>
  <c r="O57" i="3"/>
  <c r="O68" i="3"/>
  <c r="G109" i="3"/>
  <c r="D114" i="3"/>
  <c r="G114" i="3" s="1"/>
  <c r="O47" i="3"/>
  <c r="O130" i="3"/>
  <c r="I86" i="3"/>
  <c r="D116" i="3"/>
  <c r="G116" i="3" s="1"/>
  <c r="O135" i="3"/>
  <c r="D145" i="3"/>
  <c r="G145" i="3" s="1"/>
  <c r="O48" i="3"/>
  <c r="D265" i="3"/>
  <c r="H265" i="3" s="1"/>
  <c r="F499" i="3"/>
  <c r="F501" i="3" s="1"/>
  <c r="M508" i="3"/>
  <c r="E158" i="3"/>
  <c r="D126" i="3"/>
  <c r="G126" i="3" s="1"/>
  <c r="O83" i="3"/>
  <c r="E365" i="3"/>
  <c r="F291" i="3"/>
  <c r="F294" i="3" s="1"/>
  <c r="F296" i="3" s="1"/>
  <c r="O60" i="3"/>
  <c r="O74" i="3"/>
  <c r="O131" i="3"/>
  <c r="M575" i="3"/>
  <c r="D146" i="3"/>
  <c r="G146" i="3" s="1"/>
  <c r="O61" i="3"/>
  <c r="E769" i="3"/>
  <c r="I831" i="3"/>
  <c r="E702" i="3"/>
  <c r="L700" i="3"/>
  <c r="L702" i="3" s="1"/>
  <c r="L704" i="3" s="1"/>
  <c r="M711" i="3" s="1"/>
  <c r="I496" i="3"/>
  <c r="AH22" i="2"/>
  <c r="AG24" i="2"/>
  <c r="AH24" i="2" s="1"/>
  <c r="AK24" i="2"/>
  <c r="AE22" i="2"/>
  <c r="AD24" i="2"/>
  <c r="AE24" i="2" s="1"/>
  <c r="AK22" i="2"/>
  <c r="D22" i="2"/>
  <c r="G22" i="2"/>
  <c r="AE18" i="2"/>
  <c r="AN22" i="2"/>
  <c r="AM24" i="2"/>
  <c r="AN24" i="2" s="1"/>
  <c r="AH18" i="2"/>
  <c r="AB19" i="2"/>
  <c r="AF14" i="2"/>
  <c r="AJ28" i="2"/>
  <c r="AN17" i="2"/>
  <c r="AB22" i="2"/>
  <c r="AQ17" i="2"/>
  <c r="AT17" i="2"/>
  <c r="AU22" i="2"/>
  <c r="AU24" i="2" s="1"/>
  <c r="AV22" i="2"/>
  <c r="AV24" i="2" s="1"/>
  <c r="AW22" i="2"/>
  <c r="AW24" i="2" s="1"/>
  <c r="H24" i="2"/>
  <c r="J24" i="2" s="1"/>
  <c r="K24" i="2"/>
  <c r="M24" i="2" s="1"/>
  <c r="N24" i="2"/>
  <c r="P24" i="2" s="1"/>
  <c r="AP24" i="2"/>
  <c r="AQ24" i="2" s="1"/>
  <c r="Q24" i="2"/>
  <c r="S24" i="2" s="1"/>
  <c r="AS24" i="2"/>
  <c r="AT24" i="2" s="1"/>
  <c r="T24" i="2"/>
  <c r="V24" i="2" s="1"/>
  <c r="L52" i="1"/>
  <c r="L54" i="1" s="1"/>
  <c r="M52" i="1"/>
  <c r="M54" i="1" s="1"/>
  <c r="I52" i="1"/>
  <c r="I54" i="1" s="1"/>
  <c r="J52" i="1"/>
  <c r="J54" i="1" s="1"/>
  <c r="H52" i="1"/>
  <c r="H54" i="1" s="1"/>
  <c r="K52" i="1"/>
  <c r="K54" i="1" s="1"/>
  <c r="J386" i="6" l="1"/>
  <c r="G492" i="6"/>
  <c r="G386" i="6"/>
  <c r="G282" i="6"/>
  <c r="G178" i="6"/>
  <c r="G125" i="6"/>
  <c r="G72" i="6"/>
  <c r="J125" i="6"/>
  <c r="J334" i="6"/>
  <c r="M447" i="6"/>
  <c r="L492" i="6"/>
  <c r="M492" i="6" s="1"/>
  <c r="L178" i="6"/>
  <c r="M178" i="6" s="1"/>
  <c r="M133" i="6"/>
  <c r="L342" i="6"/>
  <c r="M394" i="6"/>
  <c r="L439" i="6"/>
  <c r="M439" i="6" s="1"/>
  <c r="J178" i="6"/>
  <c r="J492" i="6"/>
  <c r="G651" i="6"/>
  <c r="J606" i="6"/>
  <c r="L89" i="6"/>
  <c r="M89" i="6" s="1"/>
  <c r="J282" i="6"/>
  <c r="L238" i="6"/>
  <c r="L72" i="6"/>
  <c r="M72" i="6" s="1"/>
  <c r="M28" i="6"/>
  <c r="J439" i="6"/>
  <c r="J72" i="6"/>
  <c r="J553" i="6"/>
  <c r="G598" i="6"/>
  <c r="J230" i="6"/>
  <c r="J501" i="6"/>
  <c r="G545" i="6"/>
  <c r="M500" i="6"/>
  <c r="M80" i="6"/>
  <c r="L334" i="6"/>
  <c r="M334" i="6" s="1"/>
  <c r="M290" i="6"/>
  <c r="L230" i="6"/>
  <c r="M230" i="6" s="1"/>
  <c r="M186" i="6"/>
  <c r="O161" i="4"/>
  <c r="D221" i="4"/>
  <c r="G221" i="4" s="1"/>
  <c r="P106" i="4"/>
  <c r="D166" i="4"/>
  <c r="G166" i="4" s="1"/>
  <c r="D146" i="4"/>
  <c r="G146" i="4" s="1"/>
  <c r="P86" i="4"/>
  <c r="D233" i="4"/>
  <c r="G233" i="4" s="1"/>
  <c r="O173" i="4"/>
  <c r="D237" i="4"/>
  <c r="G237" i="4" s="1"/>
  <c r="O177" i="4"/>
  <c r="O154" i="4"/>
  <c r="D214" i="4"/>
  <c r="G214" i="4" s="1"/>
  <c r="O160" i="4"/>
  <c r="D220" i="4"/>
  <c r="G220" i="4" s="1"/>
  <c r="D151" i="4"/>
  <c r="G151" i="4" s="1"/>
  <c r="P91" i="4"/>
  <c r="O149" i="4"/>
  <c r="D209" i="4"/>
  <c r="G209" i="4" s="1"/>
  <c r="P82" i="4"/>
  <c r="D142" i="4"/>
  <c r="G142" i="4" s="1"/>
  <c r="O165" i="4"/>
  <c r="D225" i="4"/>
  <c r="G225" i="4" s="1"/>
  <c r="D287" i="4"/>
  <c r="G287" i="4" s="1"/>
  <c r="O287" i="4" s="1"/>
  <c r="O227" i="4"/>
  <c r="O212" i="4"/>
  <c r="D272" i="4"/>
  <c r="G272" i="4" s="1"/>
  <c r="O272" i="4" s="1"/>
  <c r="O239" i="4"/>
  <c r="D299" i="4"/>
  <c r="G299" i="4" s="1"/>
  <c r="O299" i="4" s="1"/>
  <c r="O145" i="4"/>
  <c r="D205" i="4"/>
  <c r="G205" i="4" s="1"/>
  <c r="D230" i="4"/>
  <c r="G230" i="4" s="1"/>
  <c r="O170" i="4"/>
  <c r="P84" i="4"/>
  <c r="D144" i="4"/>
  <c r="G144" i="4" s="1"/>
  <c r="H80" i="4"/>
  <c r="D120" i="4"/>
  <c r="D123" i="4" s="1"/>
  <c r="D125" i="4" s="1"/>
  <c r="D224" i="4"/>
  <c r="G224" i="4" s="1"/>
  <c r="O164" i="4"/>
  <c r="O156" i="4"/>
  <c r="D216" i="4"/>
  <c r="G216" i="4" s="1"/>
  <c r="D273" i="4"/>
  <c r="G273" i="4" s="1"/>
  <c r="O273" i="4" s="1"/>
  <c r="O213" i="4"/>
  <c r="D208" i="4"/>
  <c r="G208" i="4" s="1"/>
  <c r="O148" i="4"/>
  <c r="P116" i="4"/>
  <c r="D176" i="4"/>
  <c r="G176" i="4" s="1"/>
  <c r="D235" i="4"/>
  <c r="G235" i="4" s="1"/>
  <c r="O175" i="4"/>
  <c r="D275" i="4"/>
  <c r="G275" i="4" s="1"/>
  <c r="O275" i="4" s="1"/>
  <c r="O215" i="4"/>
  <c r="D282" i="4"/>
  <c r="G282" i="4" s="1"/>
  <c r="O282" i="4" s="1"/>
  <c r="O222" i="4"/>
  <c r="G136" i="4"/>
  <c r="I192" i="4"/>
  <c r="F252" i="4"/>
  <c r="I252" i="4" s="1"/>
  <c r="O141" i="4"/>
  <c r="D201" i="4"/>
  <c r="G201" i="4" s="1"/>
  <c r="P118" i="4"/>
  <c r="D178" i="4"/>
  <c r="G178" i="4" s="1"/>
  <c r="D257" i="4"/>
  <c r="G257" i="4" s="1"/>
  <c r="O257" i="4" s="1"/>
  <c r="O197" i="4"/>
  <c r="P99" i="4"/>
  <c r="D159" i="4"/>
  <c r="G159" i="4" s="1"/>
  <c r="O147" i="4"/>
  <c r="D207" i="4"/>
  <c r="G207" i="4" s="1"/>
  <c r="D83" i="4"/>
  <c r="H83" i="4" s="1"/>
  <c r="O23" i="4"/>
  <c r="O174" i="4"/>
  <c r="D234" i="4"/>
  <c r="G234" i="4" s="1"/>
  <c r="O139" i="4"/>
  <c r="D199" i="4"/>
  <c r="G199" i="4" s="1"/>
  <c r="D217" i="4"/>
  <c r="G217" i="4" s="1"/>
  <c r="O157" i="4"/>
  <c r="D241" i="4"/>
  <c r="G241" i="4" s="1"/>
  <c r="O181" i="4"/>
  <c r="K120" i="4"/>
  <c r="K123" i="4" s="1"/>
  <c r="K125" i="4" s="1"/>
  <c r="O76" i="4"/>
  <c r="O223" i="4"/>
  <c r="D283" i="4"/>
  <c r="G283" i="4" s="1"/>
  <c r="O283" i="4" s="1"/>
  <c r="O158" i="4"/>
  <c r="O60" i="4"/>
  <c r="O63" i="4" s="1"/>
  <c r="O65" i="4" s="1"/>
  <c r="P111" i="4"/>
  <c r="D171" i="4"/>
  <c r="G171" i="4" s="1"/>
  <c r="O169" i="4"/>
  <c r="D229" i="4"/>
  <c r="G229" i="4" s="1"/>
  <c r="D210" i="4"/>
  <c r="G210" i="4" s="1"/>
  <c r="O150" i="4"/>
  <c r="O218" i="4"/>
  <c r="D168" i="4"/>
  <c r="G168" i="4" s="1"/>
  <c r="P108" i="4"/>
  <c r="O278" i="4"/>
  <c r="D198" i="4"/>
  <c r="G198" i="4" s="1"/>
  <c r="O138" i="4"/>
  <c r="O186" i="3"/>
  <c r="D256" i="3"/>
  <c r="H256" i="3" s="1"/>
  <c r="D191" i="3"/>
  <c r="G191" i="3" s="1"/>
  <c r="O123" i="3"/>
  <c r="N94" i="3"/>
  <c r="O114" i="3"/>
  <c r="D182" i="3"/>
  <c r="G182" i="3" s="1"/>
  <c r="D177" i="3"/>
  <c r="G153" i="3"/>
  <c r="G156" i="3" s="1"/>
  <c r="G158" i="3" s="1"/>
  <c r="O109" i="3"/>
  <c r="D214" i="3"/>
  <c r="G214" i="3" s="1"/>
  <c r="O146" i="3"/>
  <c r="O225" i="3"/>
  <c r="D295" i="3"/>
  <c r="H295" i="3" s="1"/>
  <c r="O189" i="3"/>
  <c r="D259" i="3"/>
  <c r="H259" i="3" s="1"/>
  <c r="O181" i="3"/>
  <c r="D251" i="3"/>
  <c r="H251" i="3" s="1"/>
  <c r="D338" i="3"/>
  <c r="G338" i="3" s="1"/>
  <c r="P269" i="3"/>
  <c r="P262" i="3"/>
  <c r="D331" i="3"/>
  <c r="G331" i="3" s="1"/>
  <c r="O218" i="3"/>
  <c r="D288" i="3"/>
  <c r="H288" i="3" s="1"/>
  <c r="D337" i="3"/>
  <c r="G337" i="3" s="1"/>
  <c r="P268" i="3"/>
  <c r="D287" i="3"/>
  <c r="H287" i="3" s="1"/>
  <c r="O217" i="3"/>
  <c r="O206" i="3"/>
  <c r="D276" i="3"/>
  <c r="H276" i="3" s="1"/>
  <c r="P253" i="3"/>
  <c r="D322" i="3"/>
  <c r="G322" i="3" s="1"/>
  <c r="D341" i="3"/>
  <c r="G341" i="3" s="1"/>
  <c r="P272" i="3"/>
  <c r="D153" i="3"/>
  <c r="D156" i="3" s="1"/>
  <c r="D282" i="3"/>
  <c r="H282" i="3" s="1"/>
  <c r="O212" i="3"/>
  <c r="D271" i="3"/>
  <c r="H271" i="3" s="1"/>
  <c r="O201" i="3"/>
  <c r="D285" i="3"/>
  <c r="H285" i="3" s="1"/>
  <c r="O215" i="3"/>
  <c r="O86" i="3"/>
  <c r="O89" i="3" s="1"/>
  <c r="O91" i="3" s="1"/>
  <c r="O188" i="3"/>
  <c r="D258" i="3"/>
  <c r="H258" i="3" s="1"/>
  <c r="O207" i="3"/>
  <c r="D277" i="3"/>
  <c r="H277" i="3" s="1"/>
  <c r="O126" i="3"/>
  <c r="D194" i="3"/>
  <c r="G194" i="3" s="1"/>
  <c r="D223" i="3"/>
  <c r="G223" i="3" s="1"/>
  <c r="O155" i="3"/>
  <c r="G94" i="3"/>
  <c r="N95" i="3" s="1"/>
  <c r="D275" i="3"/>
  <c r="H275" i="3" s="1"/>
  <c r="O205" i="3"/>
  <c r="D267" i="3"/>
  <c r="H267" i="3" s="1"/>
  <c r="O197" i="3"/>
  <c r="D208" i="3"/>
  <c r="G208" i="3" s="1"/>
  <c r="O140" i="3"/>
  <c r="P257" i="3"/>
  <c r="D326" i="3"/>
  <c r="G326" i="3" s="1"/>
  <c r="O190" i="3"/>
  <c r="D260" i="3"/>
  <c r="H260" i="3" s="1"/>
  <c r="P290" i="3"/>
  <c r="D359" i="3"/>
  <c r="G359" i="3" s="1"/>
  <c r="P250" i="3"/>
  <c r="D319" i="3"/>
  <c r="G319" i="3" s="1"/>
  <c r="P255" i="3"/>
  <c r="D324" i="3"/>
  <c r="G324" i="3" s="1"/>
  <c r="D334" i="3"/>
  <c r="G334" i="3" s="1"/>
  <c r="P265" i="3"/>
  <c r="O125" i="3"/>
  <c r="D193" i="3"/>
  <c r="G193" i="3" s="1"/>
  <c r="O178" i="3"/>
  <c r="D266" i="3"/>
  <c r="H266" i="3" s="1"/>
  <c r="O196" i="3"/>
  <c r="O200" i="3"/>
  <c r="D270" i="3"/>
  <c r="H270" i="3" s="1"/>
  <c r="N153" i="3"/>
  <c r="N156" i="3" s="1"/>
  <c r="N158" i="3" s="1"/>
  <c r="K177" i="3"/>
  <c r="D317" i="3"/>
  <c r="G317" i="3" s="1"/>
  <c r="P248" i="3"/>
  <c r="O116" i="3"/>
  <c r="D184" i="3"/>
  <c r="G184" i="3" s="1"/>
  <c r="D418" i="3"/>
  <c r="G418" i="3" s="1"/>
  <c r="O349" i="3"/>
  <c r="O342" i="3"/>
  <c r="D411" i="3"/>
  <c r="G411" i="3" s="1"/>
  <c r="D289" i="3"/>
  <c r="H289" i="3" s="1"/>
  <c r="O219" i="3"/>
  <c r="D343" i="3"/>
  <c r="G343" i="3" s="1"/>
  <c r="P274" i="3"/>
  <c r="O145" i="3"/>
  <c r="D213" i="3"/>
  <c r="G213" i="3" s="1"/>
  <c r="K158" i="3"/>
  <c r="O111" i="3"/>
  <c r="D179" i="3"/>
  <c r="G179" i="3" s="1"/>
  <c r="D281" i="3"/>
  <c r="H281" i="3" s="1"/>
  <c r="O211" i="3"/>
  <c r="O154" i="3"/>
  <c r="D222" i="3"/>
  <c r="G222" i="3" s="1"/>
  <c r="P279" i="3"/>
  <c r="D348" i="3"/>
  <c r="G348" i="3" s="1"/>
  <c r="D355" i="3"/>
  <c r="G355" i="3" s="1"/>
  <c r="P286" i="3"/>
  <c r="AC14" i="2"/>
  <c r="Z14" i="2" s="1"/>
  <c r="W14" i="2" s="1"/>
  <c r="AG28" i="2"/>
  <c r="J598" i="6" l="1"/>
  <c r="L553" i="6"/>
  <c r="J651" i="6"/>
  <c r="L606" i="6"/>
  <c r="L282" i="6"/>
  <c r="M282" i="6" s="1"/>
  <c r="M238" i="6"/>
  <c r="J545" i="6"/>
  <c r="L501" i="6"/>
  <c r="L386" i="6"/>
  <c r="M386" i="6" s="1"/>
  <c r="M342" i="6"/>
  <c r="L125" i="6"/>
  <c r="M125" i="6" s="1"/>
  <c r="O207" i="4"/>
  <c r="D267" i="4"/>
  <c r="G267" i="4" s="1"/>
  <c r="O267" i="4" s="1"/>
  <c r="D270" i="4"/>
  <c r="G270" i="4" s="1"/>
  <c r="O270" i="4" s="1"/>
  <c r="O210" i="4"/>
  <c r="O229" i="4"/>
  <c r="D289" i="4"/>
  <c r="G289" i="4" s="1"/>
  <c r="O289" i="4" s="1"/>
  <c r="O142" i="4"/>
  <c r="D202" i="4"/>
  <c r="G202" i="4" s="1"/>
  <c r="O171" i="4"/>
  <c r="D231" i="4"/>
  <c r="G231" i="4" s="1"/>
  <c r="O216" i="4"/>
  <c r="D276" i="4"/>
  <c r="G276" i="4" s="1"/>
  <c r="O276" i="4" s="1"/>
  <c r="D269" i="4"/>
  <c r="G269" i="4" s="1"/>
  <c r="O269" i="4" s="1"/>
  <c r="O209" i="4"/>
  <c r="D238" i="4"/>
  <c r="G238" i="4" s="1"/>
  <c r="O178" i="4"/>
  <c r="O151" i="4"/>
  <c r="D211" i="4"/>
  <c r="G211" i="4" s="1"/>
  <c r="O201" i="4"/>
  <c r="D261" i="4"/>
  <c r="G261" i="4" s="1"/>
  <c r="O261" i="4" s="1"/>
  <c r="D280" i="4"/>
  <c r="G280" i="4" s="1"/>
  <c r="O280" i="4" s="1"/>
  <c r="O220" i="4"/>
  <c r="D140" i="4"/>
  <c r="P80" i="4"/>
  <c r="H120" i="4"/>
  <c r="H123" i="4" s="1"/>
  <c r="H125" i="4" s="1"/>
  <c r="O120" i="4"/>
  <c r="O123" i="4" s="1"/>
  <c r="O125" i="4" s="1"/>
  <c r="K136" i="4"/>
  <c r="P76" i="4"/>
  <c r="D204" i="4"/>
  <c r="G204" i="4" s="1"/>
  <c r="O144" i="4"/>
  <c r="O214" i="4"/>
  <c r="D274" i="4"/>
  <c r="G274" i="4" s="1"/>
  <c r="O274" i="4" s="1"/>
  <c r="D301" i="4"/>
  <c r="G301" i="4" s="1"/>
  <c r="O301" i="4" s="1"/>
  <c r="O241" i="4"/>
  <c r="D196" i="4"/>
  <c r="O230" i="4"/>
  <c r="D290" i="4"/>
  <c r="G290" i="4" s="1"/>
  <c r="O290" i="4" s="1"/>
  <c r="D297" i="4"/>
  <c r="G297" i="4" s="1"/>
  <c r="O297" i="4" s="1"/>
  <c r="O237" i="4"/>
  <c r="D265" i="4"/>
  <c r="G265" i="4" s="1"/>
  <c r="O265" i="4" s="1"/>
  <c r="O205" i="4"/>
  <c r="O217" i="4"/>
  <c r="D277" i="4"/>
  <c r="G277" i="4" s="1"/>
  <c r="O277" i="4" s="1"/>
  <c r="D293" i="4"/>
  <c r="G293" i="4" s="1"/>
  <c r="O293" i="4" s="1"/>
  <c r="O233" i="4"/>
  <c r="O199" i="4"/>
  <c r="D259" i="4"/>
  <c r="G259" i="4" s="1"/>
  <c r="O259" i="4" s="1"/>
  <c r="D258" i="4"/>
  <c r="G258" i="4" s="1"/>
  <c r="O258" i="4" s="1"/>
  <c r="O198" i="4"/>
  <c r="D206" i="4"/>
  <c r="G206" i="4" s="1"/>
  <c r="O146" i="4"/>
  <c r="D285" i="4"/>
  <c r="G285" i="4" s="1"/>
  <c r="O285" i="4" s="1"/>
  <c r="O225" i="4"/>
  <c r="D268" i="4"/>
  <c r="G268" i="4" s="1"/>
  <c r="O268" i="4" s="1"/>
  <c r="O208" i="4"/>
  <c r="D219" i="4"/>
  <c r="G219" i="4" s="1"/>
  <c r="O159" i="4"/>
  <c r="O224" i="4"/>
  <c r="D284" i="4"/>
  <c r="G284" i="4" s="1"/>
  <c r="O284" i="4" s="1"/>
  <c r="D294" i="4"/>
  <c r="G294" i="4" s="1"/>
  <c r="O294" i="4" s="1"/>
  <c r="O234" i="4"/>
  <c r="O166" i="4"/>
  <c r="D226" i="4"/>
  <c r="G226" i="4" s="1"/>
  <c r="D295" i="4"/>
  <c r="G295" i="4" s="1"/>
  <c r="O295" i="4" s="1"/>
  <c r="O235" i="4"/>
  <c r="D228" i="4"/>
  <c r="G228" i="4" s="1"/>
  <c r="O168" i="4"/>
  <c r="O176" i="4"/>
  <c r="D236" i="4"/>
  <c r="G236" i="4" s="1"/>
  <c r="O221" i="4"/>
  <c r="D281" i="4"/>
  <c r="G281" i="4" s="1"/>
  <c r="O281" i="4" s="1"/>
  <c r="D143" i="4"/>
  <c r="G143" i="4" s="1"/>
  <c r="P83" i="4"/>
  <c r="D403" i="3"/>
  <c r="G403" i="3" s="1"/>
  <c r="O334" i="3"/>
  <c r="D346" i="3"/>
  <c r="G346" i="3" s="1"/>
  <c r="P277" i="3"/>
  <c r="P288" i="3"/>
  <c r="D357" i="3"/>
  <c r="G357" i="3" s="1"/>
  <c r="P256" i="3"/>
  <c r="D325" i="3"/>
  <c r="G325" i="3" s="1"/>
  <c r="O343" i="3"/>
  <c r="D412" i="3"/>
  <c r="G412" i="3" s="1"/>
  <c r="O324" i="3"/>
  <c r="D393" i="3"/>
  <c r="G393" i="3" s="1"/>
  <c r="D327" i="3"/>
  <c r="G327" i="3" s="1"/>
  <c r="P258" i="3"/>
  <c r="O331" i="3"/>
  <c r="D400" i="3"/>
  <c r="G400" i="3" s="1"/>
  <c r="P289" i="3"/>
  <c r="D358" i="3"/>
  <c r="G358" i="3" s="1"/>
  <c r="D388" i="3"/>
  <c r="G388" i="3" s="1"/>
  <c r="O319" i="3"/>
  <c r="D478" i="3"/>
  <c r="G478" i="3" s="1"/>
  <c r="O411" i="3"/>
  <c r="D428" i="3"/>
  <c r="G428" i="3" s="1"/>
  <c r="O359" i="3"/>
  <c r="O338" i="3"/>
  <c r="D407" i="3"/>
  <c r="G407" i="3" s="1"/>
  <c r="P285" i="3"/>
  <c r="D354" i="3"/>
  <c r="G354" i="3" s="1"/>
  <c r="D320" i="3"/>
  <c r="G320" i="3" s="1"/>
  <c r="P251" i="3"/>
  <c r="O418" i="3"/>
  <c r="D485" i="3"/>
  <c r="G485" i="3" s="1"/>
  <c r="P260" i="3"/>
  <c r="D329" i="3"/>
  <c r="G329" i="3" s="1"/>
  <c r="D254" i="3"/>
  <c r="H254" i="3" s="1"/>
  <c r="O184" i="3"/>
  <c r="P271" i="3"/>
  <c r="D340" i="3"/>
  <c r="G340" i="3" s="1"/>
  <c r="D328" i="3"/>
  <c r="G328" i="3" s="1"/>
  <c r="P259" i="3"/>
  <c r="O355" i="3"/>
  <c r="D424" i="3"/>
  <c r="G424" i="3" s="1"/>
  <c r="O326" i="3"/>
  <c r="D395" i="3"/>
  <c r="G395" i="3" s="1"/>
  <c r="D417" i="3"/>
  <c r="G417" i="3" s="1"/>
  <c r="O348" i="3"/>
  <c r="P282" i="3"/>
  <c r="D351" i="3"/>
  <c r="G351" i="3" s="1"/>
  <c r="P295" i="3"/>
  <c r="D364" i="3"/>
  <c r="G364" i="3" s="1"/>
  <c r="O317" i="3"/>
  <c r="D386" i="3"/>
  <c r="G386" i="3" s="1"/>
  <c r="D158" i="3"/>
  <c r="G161" i="3"/>
  <c r="O222" i="3"/>
  <c r="D292" i="3"/>
  <c r="H292" i="3" s="1"/>
  <c r="K221" i="3"/>
  <c r="K224" i="3" s="1"/>
  <c r="N177" i="3"/>
  <c r="D278" i="3"/>
  <c r="H278" i="3" s="1"/>
  <c r="O208" i="3"/>
  <c r="D410" i="3"/>
  <c r="G410" i="3" s="1"/>
  <c r="O341" i="3"/>
  <c r="D284" i="3"/>
  <c r="H284" i="3" s="1"/>
  <c r="O214" i="3"/>
  <c r="P270" i="3"/>
  <c r="D339" i="3"/>
  <c r="G339" i="3" s="1"/>
  <c r="D336" i="3"/>
  <c r="G336" i="3" s="1"/>
  <c r="P267" i="3"/>
  <c r="D391" i="3"/>
  <c r="G391" i="3" s="1"/>
  <c r="O322" i="3"/>
  <c r="O153" i="3"/>
  <c r="O156" i="3" s="1"/>
  <c r="O158" i="3" s="1"/>
  <c r="P281" i="3"/>
  <c r="D350" i="3"/>
  <c r="G350" i="3" s="1"/>
  <c r="D249" i="3"/>
  <c r="H249" i="3" s="1"/>
  <c r="O179" i="3"/>
  <c r="D344" i="3"/>
  <c r="G344" i="3" s="1"/>
  <c r="P275" i="3"/>
  <c r="P276" i="3"/>
  <c r="D345" i="3"/>
  <c r="G345" i="3" s="1"/>
  <c r="G177" i="3"/>
  <c r="D221" i="3"/>
  <c r="D224" i="3" s="1"/>
  <c r="P266" i="3"/>
  <c r="D335" i="3"/>
  <c r="G335" i="3" s="1"/>
  <c r="D252" i="3"/>
  <c r="H252" i="3" s="1"/>
  <c r="O182" i="3"/>
  <c r="N161" i="3"/>
  <c r="D263" i="3"/>
  <c r="H263" i="3" s="1"/>
  <c r="O193" i="3"/>
  <c r="D293" i="3"/>
  <c r="H293" i="3" s="1"/>
  <c r="O223" i="3"/>
  <c r="D356" i="3"/>
  <c r="G356" i="3" s="1"/>
  <c r="P287" i="3"/>
  <c r="D283" i="3"/>
  <c r="H283" i="3" s="1"/>
  <c r="O213" i="3"/>
  <c r="O194" i="3"/>
  <c r="D264" i="3"/>
  <c r="H264" i="3" s="1"/>
  <c r="D406" i="3"/>
  <c r="G406" i="3" s="1"/>
  <c r="O337" i="3"/>
  <c r="O191" i="3"/>
  <c r="D261" i="3"/>
  <c r="H261" i="3" s="1"/>
  <c r="T14" i="2"/>
  <c r="X28" i="2"/>
  <c r="L651" i="6" l="1"/>
  <c r="M651" i="6" s="1"/>
  <c r="M606" i="6"/>
  <c r="M553" i="6"/>
  <c r="L598" i="6"/>
  <c r="M598" i="6" s="1"/>
  <c r="M501" i="6"/>
  <c r="L545" i="6"/>
  <c r="M545" i="6" s="1"/>
  <c r="D286" i="4"/>
  <c r="G286" i="4" s="1"/>
  <c r="O286" i="4" s="1"/>
  <c r="O226" i="4"/>
  <c r="D271" i="4"/>
  <c r="G271" i="4" s="1"/>
  <c r="O271" i="4" s="1"/>
  <c r="O211" i="4"/>
  <c r="O238" i="4"/>
  <c r="D298" i="4"/>
  <c r="G298" i="4" s="1"/>
  <c r="O298" i="4" s="1"/>
  <c r="D203" i="4"/>
  <c r="G203" i="4" s="1"/>
  <c r="O143" i="4"/>
  <c r="D266" i="4"/>
  <c r="G266" i="4" s="1"/>
  <c r="O266" i="4" s="1"/>
  <c r="O206" i="4"/>
  <c r="O236" i="4"/>
  <c r="D296" i="4"/>
  <c r="G296" i="4" s="1"/>
  <c r="O296" i="4" s="1"/>
  <c r="N136" i="4"/>
  <c r="K180" i="4"/>
  <c r="K183" i="4" s="1"/>
  <c r="K185" i="4" s="1"/>
  <c r="D279" i="4"/>
  <c r="G279" i="4" s="1"/>
  <c r="O279" i="4" s="1"/>
  <c r="O219" i="4"/>
  <c r="G196" i="4"/>
  <c r="D291" i="4"/>
  <c r="G291" i="4" s="1"/>
  <c r="O291" i="4" s="1"/>
  <c r="O231" i="4"/>
  <c r="O202" i="4"/>
  <c r="D262" i="4"/>
  <c r="G262" i="4" s="1"/>
  <c r="O262" i="4" s="1"/>
  <c r="D264" i="4"/>
  <c r="G264" i="4" s="1"/>
  <c r="O264" i="4" s="1"/>
  <c r="O204" i="4"/>
  <c r="P120" i="4"/>
  <c r="P123" i="4" s="1"/>
  <c r="P125" i="4" s="1"/>
  <c r="D288" i="4"/>
  <c r="G288" i="4" s="1"/>
  <c r="O288" i="4" s="1"/>
  <c r="O228" i="4"/>
  <c r="G140" i="4"/>
  <c r="D180" i="4"/>
  <c r="D183" i="4" s="1"/>
  <c r="D185" i="4" s="1"/>
  <c r="D362" i="3"/>
  <c r="G362" i="3" s="1"/>
  <c r="P293" i="3"/>
  <c r="D405" i="3"/>
  <c r="G405" i="3" s="1"/>
  <c r="O336" i="3"/>
  <c r="D484" i="3"/>
  <c r="G484" i="3" s="1"/>
  <c r="O417" i="3"/>
  <c r="D495" i="3"/>
  <c r="G495" i="3" s="1"/>
  <c r="O428" i="3"/>
  <c r="D470" i="3"/>
  <c r="G470" i="3" s="1"/>
  <c r="O403" i="3"/>
  <c r="O339" i="3"/>
  <c r="D408" i="3"/>
  <c r="G408" i="3" s="1"/>
  <c r="O395" i="3"/>
  <c r="D462" i="3"/>
  <c r="G462" i="3" s="1"/>
  <c r="P263" i="3"/>
  <c r="D332" i="3"/>
  <c r="G332" i="3" s="1"/>
  <c r="O478" i="3"/>
  <c r="D545" i="3"/>
  <c r="H545" i="3" s="1"/>
  <c r="D491" i="3"/>
  <c r="G491" i="3" s="1"/>
  <c r="O424" i="3"/>
  <c r="D353" i="3"/>
  <c r="G353" i="3" s="1"/>
  <c r="P284" i="3"/>
  <c r="O388" i="3"/>
  <c r="D455" i="3"/>
  <c r="G455" i="3" s="1"/>
  <c r="D321" i="3"/>
  <c r="G321" i="3" s="1"/>
  <c r="P252" i="3"/>
  <c r="D427" i="3"/>
  <c r="G427" i="3" s="1"/>
  <c r="O358" i="3"/>
  <c r="O335" i="3"/>
  <c r="D404" i="3"/>
  <c r="G404" i="3" s="1"/>
  <c r="D477" i="3"/>
  <c r="G477" i="3" s="1"/>
  <c r="O410" i="3"/>
  <c r="D397" i="3"/>
  <c r="G397" i="3" s="1"/>
  <c r="O328" i="3"/>
  <c r="D409" i="3"/>
  <c r="G409" i="3" s="1"/>
  <c r="O340" i="3"/>
  <c r="O400" i="3"/>
  <c r="D467" i="3"/>
  <c r="G467" i="3" s="1"/>
  <c r="D226" i="3"/>
  <c r="D347" i="3"/>
  <c r="G347" i="3" s="1"/>
  <c r="P278" i="3"/>
  <c r="G221" i="3"/>
  <c r="G224" i="3" s="1"/>
  <c r="G226" i="3" s="1"/>
  <c r="D247" i="3"/>
  <c r="O177" i="3"/>
  <c r="O221" i="3" s="1"/>
  <c r="O224" i="3" s="1"/>
  <c r="O226" i="3" s="1"/>
  <c r="N221" i="3"/>
  <c r="N224" i="3" s="1"/>
  <c r="N226" i="3" s="1"/>
  <c r="K247" i="3"/>
  <c r="D414" i="3"/>
  <c r="G414" i="3" s="1"/>
  <c r="O345" i="3"/>
  <c r="K226" i="3"/>
  <c r="P254" i="3"/>
  <c r="D323" i="3"/>
  <c r="G323" i="3" s="1"/>
  <c r="D396" i="3"/>
  <c r="G396" i="3" s="1"/>
  <c r="O327" i="3"/>
  <c r="D330" i="3"/>
  <c r="G330" i="3" s="1"/>
  <c r="P261" i="3"/>
  <c r="P292" i="3"/>
  <c r="D361" i="3"/>
  <c r="G361" i="3" s="1"/>
  <c r="D398" i="3"/>
  <c r="G398" i="3" s="1"/>
  <c r="O329" i="3"/>
  <c r="O393" i="3"/>
  <c r="D460" i="3"/>
  <c r="G460" i="3" s="1"/>
  <c r="O344" i="3"/>
  <c r="D413" i="3"/>
  <c r="G413" i="3" s="1"/>
  <c r="N162" i="3"/>
  <c r="O485" i="3"/>
  <c r="D552" i="3"/>
  <c r="H552" i="3" s="1"/>
  <c r="D479" i="3"/>
  <c r="G479" i="3" s="1"/>
  <c r="O412" i="3"/>
  <c r="O406" i="3"/>
  <c r="D473" i="3"/>
  <c r="G473" i="3" s="1"/>
  <c r="D333" i="3"/>
  <c r="G333" i="3" s="1"/>
  <c r="P264" i="3"/>
  <c r="D318" i="3"/>
  <c r="G318" i="3" s="1"/>
  <c r="P249" i="3"/>
  <c r="O386" i="3"/>
  <c r="D453" i="3"/>
  <c r="G453" i="3" s="1"/>
  <c r="D394" i="3"/>
  <c r="G394" i="3" s="1"/>
  <c r="O325" i="3"/>
  <c r="O350" i="3"/>
  <c r="D419" i="3"/>
  <c r="G419" i="3" s="1"/>
  <c r="D389" i="3"/>
  <c r="G389" i="3" s="1"/>
  <c r="O320" i="3"/>
  <c r="D433" i="3"/>
  <c r="G433" i="3" s="1"/>
  <c r="O364" i="3"/>
  <c r="D423" i="3"/>
  <c r="G423" i="3" s="1"/>
  <c r="O354" i="3"/>
  <c r="O357" i="3"/>
  <c r="D426" i="3"/>
  <c r="G426" i="3" s="1"/>
  <c r="D352" i="3"/>
  <c r="G352" i="3" s="1"/>
  <c r="P283" i="3"/>
  <c r="O351" i="3"/>
  <c r="D420" i="3"/>
  <c r="G420" i="3" s="1"/>
  <c r="D474" i="3"/>
  <c r="G474" i="3" s="1"/>
  <c r="O407" i="3"/>
  <c r="D425" i="3"/>
  <c r="G425" i="3" s="1"/>
  <c r="O356" i="3"/>
  <c r="O391" i="3"/>
  <c r="D458" i="3"/>
  <c r="G458" i="3" s="1"/>
  <c r="O346" i="3"/>
  <c r="D415" i="3"/>
  <c r="G415" i="3" s="1"/>
  <c r="Q14" i="2"/>
  <c r="U28" i="2"/>
  <c r="V26" i="2"/>
  <c r="D256" i="4" l="1"/>
  <c r="N180" i="4"/>
  <c r="N183" i="4" s="1"/>
  <c r="N185" i="4" s="1"/>
  <c r="K196" i="4"/>
  <c r="O136" i="4"/>
  <c r="D263" i="4"/>
  <c r="G263" i="4" s="1"/>
  <c r="O263" i="4" s="1"/>
  <c r="O203" i="4"/>
  <c r="O140" i="4"/>
  <c r="D200" i="4"/>
  <c r="G180" i="4"/>
  <c r="G183" i="4" s="1"/>
  <c r="G185" i="4" s="1"/>
  <c r="O389" i="3"/>
  <c r="D456" i="3"/>
  <c r="G456" i="3" s="1"/>
  <c r="O419" i="3"/>
  <c r="D486" i="3"/>
  <c r="G486" i="3" s="1"/>
  <c r="D465" i="3"/>
  <c r="G465" i="3" s="1"/>
  <c r="O398" i="3"/>
  <c r="D401" i="3"/>
  <c r="G401" i="3" s="1"/>
  <c r="O332" i="3"/>
  <c r="O361" i="3"/>
  <c r="D430" i="3"/>
  <c r="G430" i="3" s="1"/>
  <c r="D529" i="3"/>
  <c r="H529" i="3" s="1"/>
  <c r="O462" i="3"/>
  <c r="D461" i="3"/>
  <c r="G461" i="3" s="1"/>
  <c r="O394" i="3"/>
  <c r="O458" i="3"/>
  <c r="D525" i="3"/>
  <c r="H525" i="3" s="1"/>
  <c r="O330" i="3"/>
  <c r="D399" i="3"/>
  <c r="G399" i="3" s="1"/>
  <c r="D475" i="3"/>
  <c r="G475" i="3" s="1"/>
  <c r="O408" i="3"/>
  <c r="O397" i="3"/>
  <c r="D464" i="3"/>
  <c r="G464" i="3" s="1"/>
  <c r="D463" i="3"/>
  <c r="G463" i="3" s="1"/>
  <c r="O396" i="3"/>
  <c r="O318" i="3"/>
  <c r="D387" i="3"/>
  <c r="G387" i="3" s="1"/>
  <c r="D392" i="3"/>
  <c r="G392" i="3" s="1"/>
  <c r="O323" i="3"/>
  <c r="O477" i="3"/>
  <c r="D544" i="3"/>
  <c r="H544" i="3" s="1"/>
  <c r="D537" i="3"/>
  <c r="H537" i="3" s="1"/>
  <c r="O470" i="3"/>
  <c r="D471" i="3"/>
  <c r="G471" i="3" s="1"/>
  <c r="O404" i="3"/>
  <c r="D541" i="3"/>
  <c r="H541" i="3" s="1"/>
  <c r="O474" i="3"/>
  <c r="D402" i="3"/>
  <c r="G402" i="3" s="1"/>
  <c r="O333" i="3"/>
  <c r="D562" i="3"/>
  <c r="H562" i="3" s="1"/>
  <c r="O495" i="3"/>
  <c r="O420" i="3"/>
  <c r="D487" i="3"/>
  <c r="G487" i="3" s="1"/>
  <c r="O473" i="3"/>
  <c r="D540" i="3"/>
  <c r="H540" i="3" s="1"/>
  <c r="N229" i="3"/>
  <c r="D494" i="3"/>
  <c r="G494" i="3" s="1"/>
  <c r="O427" i="3"/>
  <c r="D551" i="3"/>
  <c r="H551" i="3" s="1"/>
  <c r="O484" i="3"/>
  <c r="O414" i="3"/>
  <c r="D481" i="3"/>
  <c r="G481" i="3" s="1"/>
  <c r="O352" i="3"/>
  <c r="D421" i="3"/>
  <c r="G421" i="3" s="1"/>
  <c r="D546" i="3"/>
  <c r="H546" i="3" s="1"/>
  <c r="O479" i="3"/>
  <c r="K291" i="3"/>
  <c r="K294" i="3" s="1"/>
  <c r="O247" i="3"/>
  <c r="O321" i="3"/>
  <c r="D390" i="3"/>
  <c r="G390" i="3" s="1"/>
  <c r="O405" i="3"/>
  <c r="D472" i="3"/>
  <c r="G472" i="3" s="1"/>
  <c r="D431" i="3"/>
  <c r="G431" i="3" s="1"/>
  <c r="O362" i="3"/>
  <c r="D291" i="3"/>
  <c r="D294" i="3" s="1"/>
  <c r="H247" i="3"/>
  <c r="O423" i="3"/>
  <c r="D490" i="3"/>
  <c r="G490" i="3" s="1"/>
  <c r="D480" i="3"/>
  <c r="G480" i="3" s="1"/>
  <c r="O413" i="3"/>
  <c r="O353" i="3"/>
  <c r="D422" i="3"/>
  <c r="G422" i="3" s="1"/>
  <c r="O433" i="3"/>
  <c r="D500" i="3"/>
  <c r="G500" i="3" s="1"/>
  <c r="D527" i="3"/>
  <c r="H527" i="3" s="1"/>
  <c r="O460" i="3"/>
  <c r="O347" i="3"/>
  <c r="D416" i="3"/>
  <c r="G416" i="3" s="1"/>
  <c r="D558" i="3"/>
  <c r="H558" i="3" s="1"/>
  <c r="O491" i="3"/>
  <c r="P545" i="3"/>
  <c r="D612" i="3"/>
  <c r="G612" i="3" s="1"/>
  <c r="G229" i="3"/>
  <c r="O467" i="3"/>
  <c r="D534" i="3"/>
  <c r="H534" i="3" s="1"/>
  <c r="D482" i="3"/>
  <c r="G482" i="3" s="1"/>
  <c r="O415" i="3"/>
  <c r="O409" i="3"/>
  <c r="D476" i="3"/>
  <c r="G476" i="3" s="1"/>
  <c r="O453" i="3"/>
  <c r="D520" i="3"/>
  <c r="H520" i="3" s="1"/>
  <c r="O425" i="3"/>
  <c r="D492" i="3"/>
  <c r="G492" i="3" s="1"/>
  <c r="D493" i="3"/>
  <c r="G493" i="3" s="1"/>
  <c r="O426" i="3"/>
  <c r="D619" i="3"/>
  <c r="G619" i="3" s="1"/>
  <c r="P552" i="3"/>
  <c r="D522" i="3"/>
  <c r="H522" i="3" s="1"/>
  <c r="O455" i="3"/>
  <c r="N14" i="2"/>
  <c r="S26" i="2"/>
  <c r="G200" i="4" l="1"/>
  <c r="D240" i="4"/>
  <c r="D243" i="4" s="1"/>
  <c r="D245" i="4" s="1"/>
  <c r="O180" i="4"/>
  <c r="O183" i="4" s="1"/>
  <c r="O185" i="4" s="1"/>
  <c r="K240" i="4"/>
  <c r="K243" i="4" s="1"/>
  <c r="K245" i="4" s="1"/>
  <c r="N196" i="4"/>
  <c r="G256" i="4"/>
  <c r="O490" i="3"/>
  <c r="D557" i="3"/>
  <c r="H557" i="3" s="1"/>
  <c r="O463" i="3"/>
  <c r="D530" i="3"/>
  <c r="H530" i="3" s="1"/>
  <c r="D543" i="3"/>
  <c r="H543" i="3" s="1"/>
  <c r="O476" i="3"/>
  <c r="P540" i="3"/>
  <c r="D607" i="3"/>
  <c r="G607" i="3" s="1"/>
  <c r="O464" i="3"/>
  <c r="D531" i="3"/>
  <c r="H531" i="3" s="1"/>
  <c r="P247" i="3"/>
  <c r="P291" i="3" s="1"/>
  <c r="P294" i="3" s="1"/>
  <c r="P296" i="3" s="1"/>
  <c r="H291" i="3"/>
  <c r="H294" i="3" s="1"/>
  <c r="H296" i="3" s="1"/>
  <c r="D316" i="3"/>
  <c r="H299" i="3"/>
  <c r="D296" i="3"/>
  <c r="D554" i="3"/>
  <c r="H554" i="3" s="1"/>
  <c r="O487" i="3"/>
  <c r="O482" i="3"/>
  <c r="D549" i="3"/>
  <c r="H549" i="3" s="1"/>
  <c r="D542" i="3"/>
  <c r="H542" i="3" s="1"/>
  <c r="O475" i="3"/>
  <c r="P534" i="3"/>
  <c r="D601" i="3"/>
  <c r="G601" i="3" s="1"/>
  <c r="D498" i="3"/>
  <c r="G498" i="3" s="1"/>
  <c r="O431" i="3"/>
  <c r="O399" i="3"/>
  <c r="D466" i="3"/>
  <c r="G466" i="3" s="1"/>
  <c r="D539" i="3"/>
  <c r="H539" i="3" s="1"/>
  <c r="O472" i="3"/>
  <c r="P562" i="3"/>
  <c r="D629" i="3"/>
  <c r="G629" i="3" s="1"/>
  <c r="N230" i="3"/>
  <c r="D592" i="3"/>
  <c r="G592" i="3" s="1"/>
  <c r="P525" i="3"/>
  <c r="D679" i="3"/>
  <c r="G679" i="3" s="1"/>
  <c r="O612" i="3"/>
  <c r="O390" i="3"/>
  <c r="D457" i="3"/>
  <c r="G457" i="3" s="1"/>
  <c r="O402" i="3"/>
  <c r="D469" i="3"/>
  <c r="G469" i="3" s="1"/>
  <c r="K316" i="3"/>
  <c r="O291" i="3"/>
  <c r="O294" i="3" s="1"/>
  <c r="O296" i="3" s="1"/>
  <c r="P541" i="3"/>
  <c r="D608" i="3"/>
  <c r="G608" i="3" s="1"/>
  <c r="O461" i="3"/>
  <c r="D528" i="3"/>
  <c r="H528" i="3" s="1"/>
  <c r="P558" i="3"/>
  <c r="D625" i="3"/>
  <c r="G625" i="3" s="1"/>
  <c r="K296" i="3"/>
  <c r="D483" i="3"/>
  <c r="G483" i="3" s="1"/>
  <c r="O416" i="3"/>
  <c r="D538" i="3"/>
  <c r="H538" i="3" s="1"/>
  <c r="O471" i="3"/>
  <c r="D596" i="3"/>
  <c r="G596" i="3" s="1"/>
  <c r="P529" i="3"/>
  <c r="D613" i="3"/>
  <c r="G613" i="3" s="1"/>
  <c r="P546" i="3"/>
  <c r="O430" i="3"/>
  <c r="D497" i="3"/>
  <c r="G497" i="3" s="1"/>
  <c r="P522" i="3"/>
  <c r="D589" i="3"/>
  <c r="G589" i="3" s="1"/>
  <c r="O421" i="3"/>
  <c r="D488" i="3"/>
  <c r="G488" i="3" s="1"/>
  <c r="D604" i="3"/>
  <c r="G604" i="3" s="1"/>
  <c r="P537" i="3"/>
  <c r="D594" i="3"/>
  <c r="G594" i="3" s="1"/>
  <c r="P527" i="3"/>
  <c r="D611" i="3"/>
  <c r="G611" i="3" s="1"/>
  <c r="P544" i="3"/>
  <c r="D686" i="3"/>
  <c r="G686" i="3" s="1"/>
  <c r="O619" i="3"/>
  <c r="D567" i="3"/>
  <c r="H567" i="3" s="1"/>
  <c r="O500" i="3"/>
  <c r="D548" i="3"/>
  <c r="H548" i="3" s="1"/>
  <c r="O481" i="3"/>
  <c r="O401" i="3"/>
  <c r="D468" i="3"/>
  <c r="G468" i="3" s="1"/>
  <c r="O493" i="3"/>
  <c r="D560" i="3"/>
  <c r="H560" i="3" s="1"/>
  <c r="O422" i="3"/>
  <c r="D489" i="3"/>
  <c r="G489" i="3" s="1"/>
  <c r="D459" i="3"/>
  <c r="G459" i="3" s="1"/>
  <c r="O392" i="3"/>
  <c r="O465" i="3"/>
  <c r="D532" i="3"/>
  <c r="H532" i="3" s="1"/>
  <c r="D559" i="3"/>
  <c r="H559" i="3" s="1"/>
  <c r="O492" i="3"/>
  <c r="D618" i="3"/>
  <c r="G618" i="3" s="1"/>
  <c r="P551" i="3"/>
  <c r="D454" i="3"/>
  <c r="G454" i="3" s="1"/>
  <c r="O387" i="3"/>
  <c r="O486" i="3"/>
  <c r="D553" i="3"/>
  <c r="H553" i="3" s="1"/>
  <c r="P520" i="3"/>
  <c r="D587" i="3"/>
  <c r="G587" i="3" s="1"/>
  <c r="D547" i="3"/>
  <c r="H547" i="3" s="1"/>
  <c r="O480" i="3"/>
  <c r="D561" i="3"/>
  <c r="H561" i="3" s="1"/>
  <c r="O494" i="3"/>
  <c r="D523" i="3"/>
  <c r="H523" i="3" s="1"/>
  <c r="O456" i="3"/>
  <c r="K14" i="2"/>
  <c r="P26" i="2"/>
  <c r="K256" i="4" l="1"/>
  <c r="N240" i="4"/>
  <c r="N243" i="4" s="1"/>
  <c r="N245" i="4" s="1"/>
  <c r="O196" i="4"/>
  <c r="O200" i="4"/>
  <c r="D260" i="4"/>
  <c r="G240" i="4"/>
  <c r="G243" i="4" s="1"/>
  <c r="G245" i="4" s="1"/>
  <c r="O497" i="3"/>
  <c r="D564" i="3"/>
  <c r="H564" i="3" s="1"/>
  <c r="D524" i="3"/>
  <c r="H524" i="3" s="1"/>
  <c r="O457" i="3"/>
  <c r="D627" i="3"/>
  <c r="G627" i="3" s="1"/>
  <c r="P560" i="3"/>
  <c r="P523" i="3"/>
  <c r="D590" i="3"/>
  <c r="G590" i="3" s="1"/>
  <c r="D680" i="3"/>
  <c r="G680" i="3" s="1"/>
  <c r="O613" i="3"/>
  <c r="O679" i="3"/>
  <c r="D746" i="3"/>
  <c r="G746" i="3" s="1"/>
  <c r="G316" i="3"/>
  <c r="D360" i="3"/>
  <c r="D363" i="3" s="1"/>
  <c r="O468" i="3"/>
  <c r="D535" i="3"/>
  <c r="H535" i="3" s="1"/>
  <c r="D598" i="3"/>
  <c r="G598" i="3" s="1"/>
  <c r="P531" i="3"/>
  <c r="D615" i="3"/>
  <c r="G615" i="3" s="1"/>
  <c r="P548" i="3"/>
  <c r="O629" i="3"/>
  <c r="D696" i="3"/>
  <c r="G696" i="3" s="1"/>
  <c r="D654" i="3"/>
  <c r="G654" i="3" s="1"/>
  <c r="O587" i="3"/>
  <c r="O607" i="3"/>
  <c r="D674" i="3"/>
  <c r="G674" i="3" s="1"/>
  <c r="D550" i="3"/>
  <c r="H550" i="3" s="1"/>
  <c r="O483" i="3"/>
  <c r="D620" i="3"/>
  <c r="G620" i="3" s="1"/>
  <c r="P553" i="3"/>
  <c r="D685" i="3"/>
  <c r="G685" i="3" s="1"/>
  <c r="O618" i="3"/>
  <c r="O594" i="3"/>
  <c r="D661" i="3"/>
  <c r="G661" i="3" s="1"/>
  <c r="D668" i="3"/>
  <c r="G668" i="3" s="1"/>
  <c r="O601" i="3"/>
  <c r="D675" i="3"/>
  <c r="G675" i="3" s="1"/>
  <c r="O608" i="3"/>
  <c r="D626" i="3"/>
  <c r="G626" i="3" s="1"/>
  <c r="P559" i="3"/>
  <c r="D671" i="3"/>
  <c r="G671" i="3" s="1"/>
  <c r="O604" i="3"/>
  <c r="D599" i="3"/>
  <c r="G599" i="3" s="1"/>
  <c r="P532" i="3"/>
  <c r="D555" i="3"/>
  <c r="H555" i="3" s="1"/>
  <c r="O488" i="3"/>
  <c r="P542" i="3"/>
  <c r="D609" i="3"/>
  <c r="G609" i="3" s="1"/>
  <c r="N316" i="3"/>
  <c r="K360" i="3"/>
  <c r="K363" i="3" s="1"/>
  <c r="P549" i="3"/>
  <c r="D616" i="3"/>
  <c r="G616" i="3" s="1"/>
  <c r="O589" i="3"/>
  <c r="D656" i="3"/>
  <c r="G656" i="3" s="1"/>
  <c r="O469" i="3"/>
  <c r="D536" i="3"/>
  <c r="H536" i="3" s="1"/>
  <c r="O459" i="3"/>
  <c r="D526" i="3"/>
  <c r="H526" i="3" s="1"/>
  <c r="O489" i="3"/>
  <c r="D556" i="3"/>
  <c r="H556" i="3" s="1"/>
  <c r="P554" i="3"/>
  <c r="D621" i="3"/>
  <c r="G621" i="3" s="1"/>
  <c r="O300" i="3"/>
  <c r="P561" i="3"/>
  <c r="D628" i="3"/>
  <c r="G628" i="3" s="1"/>
  <c r="D663" i="3"/>
  <c r="G663" i="3" s="1"/>
  <c r="O596" i="3"/>
  <c r="D659" i="3"/>
  <c r="G659" i="3" s="1"/>
  <c r="O592" i="3"/>
  <c r="D614" i="3"/>
  <c r="G614" i="3" s="1"/>
  <c r="P547" i="3"/>
  <c r="P538" i="3"/>
  <c r="D605" i="3"/>
  <c r="G605" i="3" s="1"/>
  <c r="P567" i="3"/>
  <c r="D634" i="3"/>
  <c r="G634" i="3" s="1"/>
  <c r="O299" i="3"/>
  <c r="P539" i="3"/>
  <c r="D606" i="3"/>
  <c r="G606" i="3" s="1"/>
  <c r="O686" i="3"/>
  <c r="D753" i="3"/>
  <c r="G753" i="3" s="1"/>
  <c r="D533" i="3"/>
  <c r="H533" i="3" s="1"/>
  <c r="O466" i="3"/>
  <c r="P543" i="3"/>
  <c r="D610" i="3"/>
  <c r="G610" i="3" s="1"/>
  <c r="D692" i="3"/>
  <c r="G692" i="3" s="1"/>
  <c r="O625" i="3"/>
  <c r="P530" i="3"/>
  <c r="D597" i="3"/>
  <c r="G597" i="3" s="1"/>
  <c r="O454" i="3"/>
  <c r="D521" i="3"/>
  <c r="H521" i="3" s="1"/>
  <c r="D678" i="3"/>
  <c r="G678" i="3" s="1"/>
  <c r="O611" i="3"/>
  <c r="D595" i="3"/>
  <c r="G595" i="3" s="1"/>
  <c r="P528" i="3"/>
  <c r="D565" i="3"/>
  <c r="H565" i="3" s="1"/>
  <c r="O498" i="3"/>
  <c r="D624" i="3"/>
  <c r="G624" i="3" s="1"/>
  <c r="P557" i="3"/>
  <c r="M26" i="2"/>
  <c r="H14" i="2"/>
  <c r="G260" i="4" l="1"/>
  <c r="D300" i="4"/>
  <c r="D303" i="4" s="1"/>
  <c r="D305" i="4" s="1"/>
  <c r="O240" i="4"/>
  <c r="O243" i="4" s="1"/>
  <c r="O245" i="4" s="1"/>
  <c r="K300" i="4"/>
  <c r="K303" i="4" s="1"/>
  <c r="K305" i="4" s="1"/>
  <c r="N256" i="4"/>
  <c r="O597" i="3"/>
  <c r="D664" i="3"/>
  <c r="G664" i="3" s="1"/>
  <c r="O628" i="3"/>
  <c r="D695" i="3"/>
  <c r="G695" i="3" s="1"/>
  <c r="O692" i="3"/>
  <c r="D759" i="3"/>
  <c r="G759" i="3" s="1"/>
  <c r="D738" i="3"/>
  <c r="G738" i="3" s="1"/>
  <c r="O671" i="3"/>
  <c r="O610" i="3"/>
  <c r="D677" i="3"/>
  <c r="G677" i="3" s="1"/>
  <c r="D665" i="3"/>
  <c r="G665" i="3" s="1"/>
  <c r="O598" i="3"/>
  <c r="P535" i="3"/>
  <c r="D602" i="3"/>
  <c r="G602" i="3" s="1"/>
  <c r="D742" i="3"/>
  <c r="G742" i="3" s="1"/>
  <c r="O675" i="3"/>
  <c r="D365" i="3"/>
  <c r="G360" i="3"/>
  <c r="G363" i="3" s="1"/>
  <c r="G365" i="3" s="1"/>
  <c r="D385" i="3"/>
  <c r="O316" i="3"/>
  <c r="O360" i="3" s="1"/>
  <c r="O363" i="3" s="1"/>
  <c r="O365" i="3" s="1"/>
  <c r="D603" i="3"/>
  <c r="G603" i="3" s="1"/>
  <c r="P536" i="3"/>
  <c r="D813" i="3"/>
  <c r="G813" i="3" s="1"/>
  <c r="O813" i="3" s="1"/>
  <c r="O746" i="3"/>
  <c r="O656" i="3"/>
  <c r="D723" i="3"/>
  <c r="G723" i="3" s="1"/>
  <c r="O605" i="3"/>
  <c r="D672" i="3"/>
  <c r="G672" i="3" s="1"/>
  <c r="D763" i="3"/>
  <c r="G763" i="3" s="1"/>
  <c r="O696" i="3"/>
  <c r="D691" i="3"/>
  <c r="G691" i="3" s="1"/>
  <c r="O624" i="3"/>
  <c r="D747" i="3"/>
  <c r="G747" i="3" s="1"/>
  <c r="O680" i="3"/>
  <c r="D683" i="3"/>
  <c r="G683" i="3" s="1"/>
  <c r="O616" i="3"/>
  <c r="D632" i="3"/>
  <c r="G632" i="3" s="1"/>
  <c r="P565" i="3"/>
  <c r="O620" i="3"/>
  <c r="D687" i="3"/>
  <c r="G687" i="3" s="1"/>
  <c r="N368" i="3"/>
  <c r="K365" i="3"/>
  <c r="D662" i="3"/>
  <c r="G662" i="3" s="1"/>
  <c r="O595" i="3"/>
  <c r="K385" i="3"/>
  <c r="N360" i="3"/>
  <c r="N363" i="3" s="1"/>
  <c r="N365" i="3" s="1"/>
  <c r="P550" i="3"/>
  <c r="D617" i="3"/>
  <c r="G617" i="3" s="1"/>
  <c r="D694" i="3"/>
  <c r="G694" i="3" s="1"/>
  <c r="O627" i="3"/>
  <c r="D681" i="3"/>
  <c r="G681" i="3" s="1"/>
  <c r="O614" i="3"/>
  <c r="D676" i="3"/>
  <c r="G676" i="3" s="1"/>
  <c r="O609" i="3"/>
  <c r="O674" i="3"/>
  <c r="D741" i="3"/>
  <c r="G741" i="3" s="1"/>
  <c r="D745" i="3"/>
  <c r="G745" i="3" s="1"/>
  <c r="O678" i="3"/>
  <c r="P524" i="3"/>
  <c r="D591" i="3"/>
  <c r="G591" i="3" s="1"/>
  <c r="P521" i="3"/>
  <c r="D588" i="3"/>
  <c r="G588" i="3" s="1"/>
  <c r="D726" i="3"/>
  <c r="G726" i="3" s="1"/>
  <c r="O659" i="3"/>
  <c r="D631" i="3"/>
  <c r="G631" i="3" s="1"/>
  <c r="P564" i="3"/>
  <c r="O663" i="3"/>
  <c r="D730" i="3"/>
  <c r="G730" i="3" s="1"/>
  <c r="D666" i="3"/>
  <c r="G666" i="3" s="1"/>
  <c r="O599" i="3"/>
  <c r="O615" i="3"/>
  <c r="D682" i="3"/>
  <c r="G682" i="3" s="1"/>
  <c r="D688" i="3"/>
  <c r="G688" i="3" s="1"/>
  <c r="O621" i="3"/>
  <c r="O626" i="3"/>
  <c r="D693" i="3"/>
  <c r="G693" i="3" s="1"/>
  <c r="P556" i="3"/>
  <c r="D623" i="3"/>
  <c r="G623" i="3" s="1"/>
  <c r="P533" i="3"/>
  <c r="D600" i="3"/>
  <c r="G600" i="3" s="1"/>
  <c r="D820" i="3"/>
  <c r="G820" i="3" s="1"/>
  <c r="O820" i="3" s="1"/>
  <c r="O753" i="3"/>
  <c r="P526" i="3"/>
  <c r="D593" i="3"/>
  <c r="G593" i="3" s="1"/>
  <c r="D735" i="3"/>
  <c r="G735" i="3" s="1"/>
  <c r="O668" i="3"/>
  <c r="D673" i="3"/>
  <c r="G673" i="3" s="1"/>
  <c r="O606" i="3"/>
  <c r="D728" i="3"/>
  <c r="G728" i="3" s="1"/>
  <c r="O661" i="3"/>
  <c r="O634" i="3"/>
  <c r="D701" i="3"/>
  <c r="G701" i="3" s="1"/>
  <c r="O685" i="3"/>
  <c r="D752" i="3"/>
  <c r="G752" i="3" s="1"/>
  <c r="D657" i="3"/>
  <c r="G657" i="3" s="1"/>
  <c r="O590" i="3"/>
  <c r="D622" i="3"/>
  <c r="G622" i="3" s="1"/>
  <c r="P555" i="3"/>
  <c r="O654" i="3"/>
  <c r="D721" i="3"/>
  <c r="G721" i="3" s="1"/>
  <c r="J26" i="2"/>
  <c r="E14" i="2"/>
  <c r="N300" i="4" l="1"/>
  <c r="N303" i="4" s="1"/>
  <c r="N305" i="4" s="1"/>
  <c r="O256" i="4"/>
  <c r="O300" i="4" s="1"/>
  <c r="O303" i="4" s="1"/>
  <c r="O305" i="4" s="1"/>
  <c r="O260" i="4"/>
  <c r="G300" i="4"/>
  <c r="G303" i="4" s="1"/>
  <c r="G305" i="4" s="1"/>
  <c r="D698" i="3"/>
  <c r="G698" i="3" s="1"/>
  <c r="O631" i="3"/>
  <c r="O662" i="3"/>
  <c r="D729" i="3"/>
  <c r="G729" i="3" s="1"/>
  <c r="O735" i="3"/>
  <c r="D802" i="3"/>
  <c r="G802" i="3" s="1"/>
  <c r="O802" i="3" s="1"/>
  <c r="D793" i="3"/>
  <c r="G793" i="3" s="1"/>
  <c r="O793" i="3" s="1"/>
  <c r="O726" i="3"/>
  <c r="G385" i="3"/>
  <c r="D429" i="3"/>
  <c r="D432" i="3" s="1"/>
  <c r="O588" i="3"/>
  <c r="D655" i="3"/>
  <c r="G655" i="3" s="1"/>
  <c r="G368" i="3"/>
  <c r="N369" i="3" s="1"/>
  <c r="D658" i="3"/>
  <c r="G658" i="3" s="1"/>
  <c r="O591" i="3"/>
  <c r="O632" i="3"/>
  <c r="D699" i="3"/>
  <c r="G699" i="3" s="1"/>
  <c r="O742" i="3"/>
  <c r="D809" i="3"/>
  <c r="G809" i="3" s="1"/>
  <c r="O809" i="3" s="1"/>
  <c r="D669" i="3"/>
  <c r="G669" i="3" s="1"/>
  <c r="O602" i="3"/>
  <c r="D690" i="3"/>
  <c r="G690" i="3" s="1"/>
  <c r="O623" i="3"/>
  <c r="D732" i="3"/>
  <c r="G732" i="3" s="1"/>
  <c r="O665" i="3"/>
  <c r="D758" i="3"/>
  <c r="G758" i="3" s="1"/>
  <c r="O691" i="3"/>
  <c r="O657" i="3"/>
  <c r="D724" i="3"/>
  <c r="G724" i="3" s="1"/>
  <c r="O763" i="3"/>
  <c r="D830" i="3"/>
  <c r="G830" i="3" s="1"/>
  <c r="O830" i="3" s="1"/>
  <c r="D739" i="3"/>
  <c r="G739" i="3" s="1"/>
  <c r="O672" i="3"/>
  <c r="O673" i="3"/>
  <c r="D740" i="3"/>
  <c r="G740" i="3" s="1"/>
  <c r="D670" i="3"/>
  <c r="G670" i="3" s="1"/>
  <c r="O603" i="3"/>
  <c r="O593" i="3"/>
  <c r="D660" i="3"/>
  <c r="G660" i="3" s="1"/>
  <c r="O687" i="3"/>
  <c r="D754" i="3"/>
  <c r="G754" i="3" s="1"/>
  <c r="D667" i="3"/>
  <c r="G667" i="3" s="1"/>
  <c r="O600" i="3"/>
  <c r="D812" i="3"/>
  <c r="G812" i="3" s="1"/>
  <c r="O812" i="3" s="1"/>
  <c r="O745" i="3"/>
  <c r="D788" i="3"/>
  <c r="G788" i="3" s="1"/>
  <c r="O788" i="3" s="1"/>
  <c r="O721" i="3"/>
  <c r="D760" i="3"/>
  <c r="G760" i="3" s="1"/>
  <c r="O693" i="3"/>
  <c r="D744" i="3"/>
  <c r="G744" i="3" s="1"/>
  <c r="O677" i="3"/>
  <c r="O688" i="3"/>
  <c r="D755" i="3"/>
  <c r="G755" i="3" s="1"/>
  <c r="O682" i="3"/>
  <c r="D749" i="3"/>
  <c r="G749" i="3" s="1"/>
  <c r="D761" i="3"/>
  <c r="G761" i="3" s="1"/>
  <c r="O694" i="3"/>
  <c r="D768" i="3"/>
  <c r="G768" i="3" s="1"/>
  <c r="O701" i="3"/>
  <c r="D790" i="3"/>
  <c r="G790" i="3" s="1"/>
  <c r="O790" i="3" s="1"/>
  <c r="O723" i="3"/>
  <c r="O666" i="3"/>
  <c r="D733" i="3"/>
  <c r="G733" i="3" s="1"/>
  <c r="D797" i="3"/>
  <c r="G797" i="3" s="1"/>
  <c r="O797" i="3" s="1"/>
  <c r="O730" i="3"/>
  <c r="N385" i="3"/>
  <c r="K429" i="3"/>
  <c r="K432" i="3" s="1"/>
  <c r="O664" i="3"/>
  <c r="D731" i="3"/>
  <c r="G731" i="3" s="1"/>
  <c r="O683" i="3"/>
  <c r="D750" i="3"/>
  <c r="G750" i="3" s="1"/>
  <c r="D808" i="3"/>
  <c r="G808" i="3" s="1"/>
  <c r="O808" i="3" s="1"/>
  <c r="O741" i="3"/>
  <c r="D814" i="3"/>
  <c r="G814" i="3" s="1"/>
  <c r="O814" i="3" s="1"/>
  <c r="O747" i="3"/>
  <c r="D689" i="3"/>
  <c r="G689" i="3" s="1"/>
  <c r="O622" i="3"/>
  <c r="O676" i="3"/>
  <c r="D743" i="3"/>
  <c r="G743" i="3" s="1"/>
  <c r="O681" i="3"/>
  <c r="D748" i="3"/>
  <c r="G748" i="3" s="1"/>
  <c r="O752" i="3"/>
  <c r="D819" i="3"/>
  <c r="G819" i="3" s="1"/>
  <c r="O819" i="3" s="1"/>
  <c r="O738" i="3"/>
  <c r="D805" i="3"/>
  <c r="G805" i="3" s="1"/>
  <c r="O805" i="3" s="1"/>
  <c r="O759" i="3"/>
  <c r="D826" i="3"/>
  <c r="G826" i="3" s="1"/>
  <c r="O826" i="3" s="1"/>
  <c r="O617" i="3"/>
  <c r="D684" i="3"/>
  <c r="G684" i="3" s="1"/>
  <c r="D762" i="3"/>
  <c r="G762" i="3" s="1"/>
  <c r="O695" i="3"/>
  <c r="D795" i="3"/>
  <c r="G795" i="3" s="1"/>
  <c r="O795" i="3" s="1"/>
  <c r="O728" i="3"/>
  <c r="G26" i="2"/>
  <c r="B14" i="2"/>
  <c r="D734" i="3" l="1"/>
  <c r="G734" i="3" s="1"/>
  <c r="O667" i="3"/>
  <c r="O660" i="3"/>
  <c r="D727" i="3"/>
  <c r="G727" i="3" s="1"/>
  <c r="D737" i="3"/>
  <c r="G737" i="3" s="1"/>
  <c r="O670" i="3"/>
  <c r="D828" i="3"/>
  <c r="G828" i="3" s="1"/>
  <c r="O828" i="3" s="1"/>
  <c r="O761" i="3"/>
  <c r="O749" i="3"/>
  <c r="D816" i="3"/>
  <c r="G816" i="3" s="1"/>
  <c r="O816" i="3" s="1"/>
  <c r="D434" i="3"/>
  <c r="O755" i="3"/>
  <c r="D822" i="3"/>
  <c r="G822" i="3" s="1"/>
  <c r="O822" i="3" s="1"/>
  <c r="D452" i="3"/>
  <c r="O385" i="3"/>
  <c r="O429" i="3" s="1"/>
  <c r="O432" i="3" s="1"/>
  <c r="O434" i="3" s="1"/>
  <c r="G429" i="3"/>
  <c r="G432" i="3" s="1"/>
  <c r="G434" i="3" s="1"/>
  <c r="D791" i="3"/>
  <c r="G791" i="3" s="1"/>
  <c r="O791" i="3" s="1"/>
  <c r="O724" i="3"/>
  <c r="O744" i="3"/>
  <c r="D811" i="3"/>
  <c r="G811" i="3" s="1"/>
  <c r="O811" i="3" s="1"/>
  <c r="K452" i="3"/>
  <c r="N429" i="3"/>
  <c r="N432" i="3" s="1"/>
  <c r="N434" i="3" s="1"/>
  <c r="O754" i="3"/>
  <c r="D821" i="3"/>
  <c r="G821" i="3" s="1"/>
  <c r="O821" i="3" s="1"/>
  <c r="D766" i="3"/>
  <c r="G766" i="3" s="1"/>
  <c r="O699" i="3"/>
  <c r="D725" i="3"/>
  <c r="G725" i="3" s="1"/>
  <c r="O658" i="3"/>
  <c r="O743" i="3"/>
  <c r="D810" i="3"/>
  <c r="G810" i="3" s="1"/>
  <c r="O810" i="3" s="1"/>
  <c r="D722" i="3"/>
  <c r="G722" i="3" s="1"/>
  <c r="O655" i="3"/>
  <c r="O689" i="3"/>
  <c r="D756" i="3"/>
  <c r="G756" i="3" s="1"/>
  <c r="O739" i="3"/>
  <c r="D806" i="3"/>
  <c r="G806" i="3" s="1"/>
  <c r="O806" i="3" s="1"/>
  <c r="D817" i="3"/>
  <c r="G817" i="3" s="1"/>
  <c r="O817" i="3" s="1"/>
  <c r="O750" i="3"/>
  <c r="O729" i="3"/>
  <c r="D796" i="3"/>
  <c r="G796" i="3" s="1"/>
  <c r="O796" i="3" s="1"/>
  <c r="D798" i="3"/>
  <c r="G798" i="3" s="1"/>
  <c r="O798" i="3" s="1"/>
  <c r="O731" i="3"/>
  <c r="O762" i="3"/>
  <c r="D829" i="3"/>
  <c r="G829" i="3" s="1"/>
  <c r="O829" i="3" s="1"/>
  <c r="O732" i="3"/>
  <c r="D799" i="3"/>
  <c r="G799" i="3" s="1"/>
  <c r="O799" i="3" s="1"/>
  <c r="D757" i="3"/>
  <c r="G757" i="3" s="1"/>
  <c r="O690" i="3"/>
  <c r="D736" i="3"/>
  <c r="G736" i="3" s="1"/>
  <c r="O669" i="3"/>
  <c r="D800" i="3"/>
  <c r="G800" i="3" s="1"/>
  <c r="O800" i="3" s="1"/>
  <c r="O733" i="3"/>
  <c r="D815" i="3"/>
  <c r="G815" i="3" s="1"/>
  <c r="O815" i="3" s="1"/>
  <c r="O748" i="3"/>
  <c r="D835" i="3"/>
  <c r="G835" i="3" s="1"/>
  <c r="O835" i="3" s="1"/>
  <c r="O768" i="3"/>
  <c r="D807" i="3"/>
  <c r="G807" i="3" s="1"/>
  <c r="O807" i="3" s="1"/>
  <c r="O740" i="3"/>
  <c r="D827" i="3"/>
  <c r="G827" i="3" s="1"/>
  <c r="O827" i="3" s="1"/>
  <c r="O760" i="3"/>
  <c r="D825" i="3"/>
  <c r="G825" i="3" s="1"/>
  <c r="O825" i="3" s="1"/>
  <c r="O758" i="3"/>
  <c r="O684" i="3"/>
  <c r="D751" i="3"/>
  <c r="G751" i="3" s="1"/>
  <c r="K434" i="3"/>
  <c r="N437" i="3"/>
  <c r="D765" i="3"/>
  <c r="G765" i="3" s="1"/>
  <c r="O698" i="3"/>
  <c r="D26" i="2"/>
  <c r="C29" i="2"/>
  <c r="F29" i="2" s="1"/>
  <c r="I29" i="2" s="1"/>
  <c r="L29" i="2" s="1"/>
  <c r="O29" i="2" s="1"/>
  <c r="R29" i="2" s="1"/>
  <c r="U29" i="2" s="1"/>
  <c r="X29" i="2" s="1"/>
  <c r="AA29" i="2" s="1"/>
  <c r="AD29" i="2" s="1"/>
  <c r="AG29" i="2" s="1"/>
  <c r="AJ29" i="2" s="1"/>
  <c r="AM29" i="2" s="1"/>
  <c r="AO29" i="2" s="1"/>
  <c r="AR29" i="2" s="1"/>
  <c r="K496" i="3" l="1"/>
  <c r="K499" i="3" s="1"/>
  <c r="N452" i="3"/>
  <c r="O751" i="3"/>
  <c r="D818" i="3"/>
  <c r="G818" i="3" s="1"/>
  <c r="O818" i="3" s="1"/>
  <c r="D496" i="3"/>
  <c r="D499" i="3" s="1"/>
  <c r="G452" i="3"/>
  <c r="G437" i="3"/>
  <c r="N438" i="3" s="1"/>
  <c r="D794" i="3"/>
  <c r="G794" i="3" s="1"/>
  <c r="O794" i="3" s="1"/>
  <c r="O727" i="3"/>
  <c r="O736" i="3"/>
  <c r="D803" i="3"/>
  <c r="G803" i="3" s="1"/>
  <c r="O803" i="3" s="1"/>
  <c r="D833" i="3"/>
  <c r="G833" i="3" s="1"/>
  <c r="O833" i="3" s="1"/>
  <c r="O766" i="3"/>
  <c r="O765" i="3"/>
  <c r="D832" i="3"/>
  <c r="G832" i="3" s="1"/>
  <c r="O832" i="3" s="1"/>
  <c r="D823" i="3"/>
  <c r="G823" i="3" s="1"/>
  <c r="O823" i="3" s="1"/>
  <c r="O756" i="3"/>
  <c r="O722" i="3"/>
  <c r="D789" i="3"/>
  <c r="G789" i="3" s="1"/>
  <c r="O789" i="3" s="1"/>
  <c r="D792" i="3"/>
  <c r="G792" i="3" s="1"/>
  <c r="O792" i="3" s="1"/>
  <c r="O725" i="3"/>
  <c r="D804" i="3"/>
  <c r="G804" i="3" s="1"/>
  <c r="O804" i="3" s="1"/>
  <c r="O737" i="3"/>
  <c r="O757" i="3"/>
  <c r="D824" i="3"/>
  <c r="G824" i="3" s="1"/>
  <c r="O824" i="3" s="1"/>
  <c r="D801" i="3"/>
  <c r="G801" i="3" s="1"/>
  <c r="O801" i="3" s="1"/>
  <c r="O734" i="3"/>
  <c r="D519" i="3" l="1"/>
  <c r="G496" i="3"/>
  <c r="G499" i="3" s="1"/>
  <c r="G501" i="3" s="1"/>
  <c r="O452" i="3"/>
  <c r="O496" i="3" s="1"/>
  <c r="O499" i="3" s="1"/>
  <c r="O501" i="3" s="1"/>
  <c r="K519" i="3"/>
  <c r="N496" i="3"/>
  <c r="N499" i="3" s="1"/>
  <c r="N501" i="3" s="1"/>
  <c r="G504" i="3"/>
  <c r="D501" i="3"/>
  <c r="N504" i="3"/>
  <c r="K501" i="3"/>
  <c r="H519" i="3" l="1"/>
  <c r="D563" i="3"/>
  <c r="D566" i="3" s="1"/>
  <c r="N505" i="3"/>
  <c r="O519" i="3"/>
  <c r="K563" i="3"/>
  <c r="K566" i="3" s="1"/>
  <c r="K568" i="3" l="1"/>
  <c r="O563" i="3"/>
  <c r="O566" i="3" s="1"/>
  <c r="O568" i="3" s="1"/>
  <c r="K586" i="3"/>
  <c r="D568" i="3"/>
  <c r="P519" i="3"/>
  <c r="P563" i="3" s="1"/>
  <c r="P566" i="3" s="1"/>
  <c r="P568" i="3" s="1"/>
  <c r="H563" i="3"/>
  <c r="H566" i="3" s="1"/>
  <c r="H568" i="3" s="1"/>
  <c r="D586" i="3"/>
  <c r="D630" i="3" l="1"/>
  <c r="D633" i="3" s="1"/>
  <c r="G586" i="3"/>
  <c r="H571" i="3"/>
  <c r="K630" i="3"/>
  <c r="K633" i="3" s="1"/>
  <c r="N586" i="3"/>
  <c r="N571" i="3"/>
  <c r="N630" i="3" l="1"/>
  <c r="N633" i="3" s="1"/>
  <c r="N635" i="3" s="1"/>
  <c r="K653" i="3"/>
  <c r="G630" i="3"/>
  <c r="G633" i="3" s="1"/>
  <c r="G635" i="3" s="1"/>
  <c r="O586" i="3"/>
  <c r="O630" i="3" s="1"/>
  <c r="O633" i="3" s="1"/>
  <c r="O635" i="3" s="1"/>
  <c r="D653" i="3"/>
  <c r="K635" i="3"/>
  <c r="N572" i="3"/>
  <c r="G638" i="3"/>
  <c r="D635" i="3"/>
  <c r="N638" i="3" l="1"/>
  <c r="N639" i="3" s="1"/>
  <c r="D697" i="3"/>
  <c r="D700" i="3" s="1"/>
  <c r="G653" i="3"/>
  <c r="K697" i="3"/>
  <c r="K700" i="3" s="1"/>
  <c r="N653" i="3"/>
  <c r="K702" i="3" l="1"/>
  <c r="D720" i="3"/>
  <c r="O653" i="3"/>
  <c r="O697" i="3" s="1"/>
  <c r="O700" i="3" s="1"/>
  <c r="O702" i="3" s="1"/>
  <c r="G697" i="3"/>
  <c r="G700" i="3" s="1"/>
  <c r="G702" i="3" s="1"/>
  <c r="N697" i="3"/>
  <c r="N700" i="3" s="1"/>
  <c r="N702" i="3" s="1"/>
  <c r="K720" i="3"/>
  <c r="G705" i="3"/>
  <c r="D702" i="3"/>
  <c r="K764" i="3" l="1"/>
  <c r="K767" i="3" s="1"/>
  <c r="N720" i="3"/>
  <c r="G720" i="3"/>
  <c r="D764" i="3"/>
  <c r="D767" i="3" s="1"/>
  <c r="N705" i="3"/>
  <c r="N706" i="3" s="1"/>
  <c r="G764" i="3" l="1"/>
  <c r="G767" i="3" s="1"/>
  <c r="G769" i="3" s="1"/>
  <c r="D787" i="3"/>
  <c r="O720" i="3"/>
  <c r="O764" i="3" s="1"/>
  <c r="O767" i="3" s="1"/>
  <c r="O769" i="3" s="1"/>
  <c r="D769" i="3"/>
  <c r="G772" i="3"/>
  <c r="K787" i="3"/>
  <c r="N764" i="3"/>
  <c r="N767" i="3" s="1"/>
  <c r="N769" i="3" s="1"/>
  <c r="K769" i="3"/>
  <c r="N772" i="3"/>
  <c r="N787" i="3" l="1"/>
  <c r="N831" i="3" s="1"/>
  <c r="N834" i="3" s="1"/>
  <c r="N836" i="3" s="1"/>
  <c r="K831" i="3"/>
  <c r="K834" i="3" s="1"/>
  <c r="N773" i="3"/>
  <c r="D831" i="3"/>
  <c r="D834" i="3" s="1"/>
  <c r="G787" i="3"/>
  <c r="N839" i="3" l="1"/>
  <c r="K836" i="3"/>
  <c r="O787" i="3"/>
  <c r="O831" i="3" s="1"/>
  <c r="O834" i="3" s="1"/>
  <c r="O836" i="3" s="1"/>
  <c r="G831" i="3"/>
  <c r="G834" i="3" s="1"/>
  <c r="G836" i="3" s="1"/>
  <c r="D836" i="3"/>
  <c r="G839" i="3" l="1"/>
  <c r="N840" i="3" s="1"/>
</calcChain>
</file>

<file path=xl/sharedStrings.xml><?xml version="1.0" encoding="utf-8"?>
<sst xmlns="http://schemas.openxmlformats.org/spreadsheetml/2006/main" count="3205" uniqueCount="368">
  <si>
    <t>File Number:</t>
  </si>
  <si>
    <t>EB-2025-0312</t>
  </si>
  <si>
    <t>Exhibit:</t>
  </si>
  <si>
    <t>2A</t>
  </si>
  <si>
    <t>Tab:</t>
  </si>
  <si>
    <t>Schedule:</t>
  </si>
  <si>
    <t>Page:</t>
  </si>
  <si>
    <t>Date:</t>
  </si>
  <si>
    <t>Appendix 2-AA</t>
  </si>
  <si>
    <t>Capital Expenditure Table</t>
  </si>
  <si>
    <t>Projects ($M)</t>
  </si>
  <si>
    <t>Reporting Basis</t>
  </si>
  <si>
    <t>MIFRS</t>
  </si>
  <si>
    <t>System Access</t>
  </si>
  <si>
    <t>A1 Externally-Initiated Plant Relocation</t>
  </si>
  <si>
    <t>A2 Customer &amp; Generation Connections</t>
  </si>
  <si>
    <t>A3 System Expansion</t>
  </si>
  <si>
    <t>A4 Metering &amp; AMI 2.0</t>
  </si>
  <si>
    <t>System Access Gross Expenditures</t>
  </si>
  <si>
    <t>System Access Capital Contributions</t>
  </si>
  <si>
    <t>Sub-Total</t>
  </si>
  <si>
    <t>System Renewal</t>
  </si>
  <si>
    <t>R1 Substation Renewal</t>
  </si>
  <si>
    <t>R2 Underground System Renewal</t>
  </si>
  <si>
    <t>R3 Overhead System Renewal</t>
  </si>
  <si>
    <t>R4 Reactive Capital</t>
  </si>
  <si>
    <t>System Renewal Gross Expenditures</t>
  </si>
  <si>
    <t>System Renewal Capital Contributions</t>
  </si>
  <si>
    <t>System Service</t>
  </si>
  <si>
    <t>S1 Substation Growth</t>
  </si>
  <si>
    <t>S2 Grid Enhancements</t>
  </si>
  <si>
    <t>S3 Voltage &amp; System Conversion</t>
  </si>
  <si>
    <t>System Service Gross Expenditures</t>
  </si>
  <si>
    <t>System Service Capital Contributions</t>
  </si>
  <si>
    <t>General Plant</t>
  </si>
  <si>
    <t>P1 Facilities Management</t>
  </si>
  <si>
    <t>P2 Fleet</t>
  </si>
  <si>
    <t>P3 IT Systems</t>
  </si>
  <si>
    <t>P4 Equipment</t>
  </si>
  <si>
    <t>P5 OT Systems</t>
  </si>
  <si>
    <t>General Plant Gross Expenditures</t>
  </si>
  <si>
    <t>General Plant Capital Contributions</t>
  </si>
  <si>
    <t>Miscellaneous(Renewables/Lease)</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</si>
  <si>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</si>
  <si>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</si>
  <si>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</si>
  <si>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</si>
  <si>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</si>
  <si>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3   Utilities may add more rows as needed.</t>
  </si>
  <si>
    <t>Show RRR data</t>
  </si>
  <si>
    <t>Capital Expenditures = In Service Additions</t>
  </si>
  <si>
    <t>No</t>
  </si>
  <si>
    <t>Yes</t>
  </si>
  <si>
    <t>Appendix 2-AB</t>
  </si>
  <si>
    <t>Table 2 - Capital Expenditure Summary from Chapter 5 Consolidated
Distribution System Plan Filing Requirements</t>
  </si>
  <si>
    <t>First year of Forecast Period:</t>
  </si>
  <si>
    <t>CATEGORY</t>
  </si>
  <si>
    <t>Actual</t>
  </si>
  <si>
    <t>Bridge Years</t>
  </si>
  <si>
    <r>
      <t xml:space="preserve">Forecast Period </t>
    </r>
    <r>
      <rPr>
        <sz val="10"/>
        <rFont val="Arial"/>
        <family val="2"/>
      </rPr>
      <t>(planned)</t>
    </r>
  </si>
  <si>
    <t>Plan</t>
  </si>
  <si>
    <t>Var</t>
  </si>
  <si>
    <r>
      <t>Actual</t>
    </r>
    <r>
      <rPr>
        <b/>
        <vertAlign val="superscript"/>
        <sz val="10"/>
        <rFont val="Arial"/>
        <family val="2"/>
      </rPr>
      <t>2</t>
    </r>
  </si>
  <si>
    <t>$ '000</t>
  </si>
  <si>
    <t>%</t>
  </si>
  <si>
    <t>($ in millions)</t>
  </si>
  <si>
    <t>Other (Miscellaneous)</t>
  </si>
  <si>
    <t>TOTAL EXPENDITURE</t>
  </si>
  <si>
    <t>Capital Contributions</t>
  </si>
  <si>
    <t>NET CAPITAL EXPENDITURES</t>
  </si>
  <si>
    <t>CWIP</t>
  </si>
  <si>
    <t>System O&amp;M</t>
  </si>
  <si>
    <t>Note: Variances due to rounding may exist</t>
  </si>
  <si>
    <t>Integrity Check - 2-AA: Net CAPEX</t>
  </si>
  <si>
    <t>Integrity Check - 2-JA: 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</si>
  <si>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</si>
  <si>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</si>
  <si>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</si>
  <si>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</si>
  <si>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</si>
  <si>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</si>
  <si>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</si>
  <si>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 prior approved Capex Plan</t>
  </si>
  <si>
    <t>Notes on Plan vs. Actual variance trends for individual expenditure categories</t>
  </si>
  <si>
    <t>Appendix 2-BA</t>
  </si>
  <si>
    <r>
      <t xml:space="preserve">Fixed Asset Continuity Schedule </t>
    </r>
    <r>
      <rPr>
        <b/>
        <vertAlign val="superscript"/>
        <sz val="14"/>
        <rFont val="Arial"/>
        <family val="2"/>
      </rPr>
      <t>1</t>
    </r>
    <r>
      <rPr>
        <b/>
        <sz val="14"/>
        <rFont val="Arial"/>
        <family val="2"/>
      </rPr>
      <t xml:space="preserve"> </t>
    </r>
  </si>
  <si>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</si>
  <si>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</si>
  <si>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</si>
  <si>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</si>
  <si>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</si>
  <si>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</si>
  <si>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</si>
  <si>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</si>
  <si>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</si>
  <si>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</si>
  <si>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</si>
  <si>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</si>
  <si>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</si>
  <si>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</si>
  <si>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</si>
  <si>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</si>
  <si>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</si>
  <si>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</si>
  <si>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</si>
  <si>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RRR DATA</t>
  </si>
  <si>
    <t>Additions</t>
  </si>
  <si>
    <t>Net Book Value</t>
  </si>
  <si>
    <t>Capital Contributions Paid</t>
  </si>
  <si>
    <t>N/A</t>
  </si>
  <si>
    <t>1610 Miscellaneous Intangible Plant</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</si>
  <si>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</si>
  <si>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</si>
  <si>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</si>
  <si>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</si>
  <si>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</si>
  <si>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</si>
  <si>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</si>
  <si>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</si>
  <si>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</si>
  <si>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</si>
  <si>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</si>
  <si>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</si>
  <si>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</si>
  <si>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</si>
  <si>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</si>
  <si>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</si>
  <si>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Other Installations on Customers Premises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</si>
  <si>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</si>
  <si>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</si>
  <si>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</si>
  <si>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</si>
  <si>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</si>
  <si>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</si>
  <si>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</si>
  <si>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</si>
  <si>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</si>
  <si>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</si>
  <si>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</si>
  <si>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</si>
  <si>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</si>
  <si>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</si>
  <si>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</si>
  <si>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</si>
  <si>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</si>
  <si>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</si>
  <si>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</si>
  <si>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</si>
  <si>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Renewables (31)</t>
  </si>
  <si>
    <r>
      <t>Deferred Revenue</t>
    </r>
    <r>
      <rPr>
        <vertAlign val="superscript"/>
        <sz val="10"/>
        <rFont val="Arial"/>
        <family val="2"/>
      </rPr>
      <t>5</t>
    </r>
  </si>
  <si>
    <r>
      <t>Property Under Finance Lease</t>
    </r>
    <r>
      <rPr>
        <vertAlign val="superscript"/>
        <sz val="10"/>
        <rFont val="Arial"/>
        <family val="2"/>
      </rPr>
      <t>7</t>
    </r>
  </si>
  <si>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</si>
  <si>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</si>
  <si>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 for Rate Base Purposes</t>
  </si>
  <si>
    <t>Construction Work In Progress</t>
  </si>
  <si>
    <t>Total PP&amp;E</t>
  </si>
  <si>
    <r>
      <t>Depreciation Expense adj. from gain or loss on the retirement of assets (pool of like assets), if applicable</t>
    </r>
    <r>
      <rPr>
        <b/>
        <vertAlign val="superscript"/>
        <sz val="10"/>
        <rFont val="Arial"/>
        <family val="2"/>
      </rPr>
      <t>6</t>
    </r>
  </si>
  <si>
    <t>Gross Fixed Assets (average) for Rate Base</t>
  </si>
  <si>
    <t>Accumulated Depreciation (average)</t>
  </si>
  <si>
    <t>Net Fixed Assets (average)</t>
  </si>
  <si>
    <r>
      <rPr>
        <b/>
        <sz val="10"/>
        <rFont val="Arial"/>
        <family val="2"/>
      </rPr>
      <t>Less:</t>
    </r>
    <r>
      <rPr>
        <sz val="10"/>
        <rFont val="Arial"/>
        <family val="2"/>
      </rPr>
      <t xml:space="preserve"> </t>
    </r>
    <r>
      <rPr>
        <i/>
        <sz val="10"/>
        <rFont val="Arial"/>
        <family val="2"/>
      </rPr>
      <t>Fully Allocated Depreciation</t>
    </r>
  </si>
  <si>
    <t>Transportation</t>
  </si>
  <si>
    <t>Net Derecognition</t>
  </si>
  <si>
    <t>Non Rate-Regulated utility asset</t>
  </si>
  <si>
    <t>Net Depreciation</t>
  </si>
  <si>
    <t>Disposal of Utility Property</t>
  </si>
  <si>
    <t>Deferred Revenue</t>
  </si>
  <si>
    <t>Land Disposal</t>
  </si>
  <si>
    <t>Z factor in P&amp;L</t>
  </si>
  <si>
    <t>Z-Factor Opening Balance</t>
  </si>
  <si>
    <t>ICM Opening Balance</t>
  </si>
  <si>
    <t>ICM Fixed Asset Continuity Schedule</t>
  </si>
  <si>
    <t>Appendix 2-BB</t>
  </si>
  <si>
    <t>Service Life Comparison</t>
  </si>
  <si>
    <r>
      <t>Table F-1 from Kinetrics Report</t>
    </r>
    <r>
      <rPr>
        <b/>
        <vertAlign val="superscript"/>
        <sz val="14"/>
        <rFont val="Arial"/>
        <family val="2"/>
      </rPr>
      <t>1</t>
    </r>
  </si>
  <si>
    <t>Asset Details</t>
  </si>
  <si>
    <t>Useful Life</t>
  </si>
  <si>
    <t>USoA Account Number</t>
  </si>
  <si>
    <t>USoA Account Description</t>
  </si>
  <si>
    <t>Current</t>
  </si>
  <si>
    <t>Proposed</t>
  </si>
  <si>
    <t>Outside Range of Min, Max TUL?</t>
  </si>
  <si>
    <t>Parent*</t>
  </si>
  <si>
    <t>#</t>
  </si>
  <si>
    <t>Category| Component | Type</t>
  </si>
  <si>
    <t>MIN UL</t>
  </si>
  <si>
    <t>TUL</t>
  </si>
  <si>
    <t>MAX UL</t>
  </si>
  <si>
    <t>Years</t>
  </si>
  <si>
    <t>Rate</t>
  </si>
  <si>
    <t>Below Min TUL</t>
  </si>
  <si>
    <t>Above Max TUL</t>
  </si>
  <si>
    <t>OH</t>
  </si>
  <si>
    <t>Fully Dressed Wood Poles</t>
  </si>
  <si>
    <t>Overall</t>
  </si>
  <si>
    <t>Cross Arm</t>
  </si>
  <si>
    <t>Wood</t>
  </si>
  <si>
    <t>Steel</t>
  </si>
  <si>
    <t>Fully Dressed Concrete Poles</t>
  </si>
  <si>
    <t>Fully Dressed Steel Poles</t>
  </si>
  <si>
    <t>OH Line Switch</t>
  </si>
  <si>
    <t>OH Line Switch Motor</t>
  </si>
  <si>
    <t>OH Line Switch RTU</t>
  </si>
  <si>
    <t>OH Integral Switches</t>
  </si>
  <si>
    <t>OH Conductors</t>
  </si>
  <si>
    <t>OH Transformers &amp; Voltage Regulators</t>
  </si>
  <si>
    <t>OH Shunt Capacitor Banks</t>
  </si>
  <si>
    <t>Reclosers</t>
  </si>
  <si>
    <t>TS &amp; MS</t>
  </si>
  <si>
    <t>Power Transformers</t>
  </si>
  <si>
    <t>Bushing</t>
  </si>
  <si>
    <t>Tap Changer</t>
  </si>
  <si>
    <t>Station Service Transformer</t>
  </si>
  <si>
    <t>Station Grounding Transformer</t>
  </si>
  <si>
    <t>Station DC System</t>
  </si>
  <si>
    <t>Battery Bank</t>
  </si>
  <si>
    <t>Charger</t>
  </si>
  <si>
    <t>Station Metal Clad Switchgear</t>
  </si>
  <si>
    <t>Removable Breaker</t>
  </si>
  <si>
    <t>Station Independent Breakers</t>
  </si>
  <si>
    <t>Station Switch</t>
  </si>
  <si>
    <t>Electromechanical Relays</t>
  </si>
  <si>
    <t>Solid State Relays</t>
  </si>
  <si>
    <t>Digital &amp; Numeric Relays</t>
  </si>
  <si>
    <t>Rigid Busbars</t>
  </si>
  <si>
    <t>Steel Structure</t>
  </si>
  <si>
    <t>UG</t>
  </si>
  <si>
    <t>Primary Paper Insulated Lead Covered (PILC) Cables</t>
  </si>
  <si>
    <t>Primary Ethylene-Propylene Rubber (EPR) Cables</t>
  </si>
  <si>
    <t>Primary Non-Tree Retardant (Non-TR) Cross Linked 
Polyethylene (XLPE) Cables Direct Buried</t>
  </si>
  <si>
    <t>Primary Non-TR XLPE Cables in Duct</t>
  </si>
  <si>
    <t>Primary TR XLPE Cables Direct Buried</t>
  </si>
  <si>
    <t>Primary 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</si>
  <si>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</si>
  <si>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</si>
  <si>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</si>
  <si>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</si>
  <si>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</si>
  <si>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</si>
  <si>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</si>
  <si>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</si>
  <si>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</si>
  <si>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</si>
  <si>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UG Vault Switches</t>
  </si>
  <si>
    <t>Pad-Mounted Switchgear</t>
  </si>
  <si>
    <t>Ducts</t>
  </si>
  <si>
    <t>Concrete Encased Duct Banks</t>
  </si>
  <si>
    <t>Cable Chambers</t>
  </si>
  <si>
    <t>S</t>
  </si>
  <si>
    <t>Remote SCADA</t>
  </si>
  <si>
    <r>
      <t>Table F-2 from Kinetrics Report</t>
    </r>
    <r>
      <rPr>
        <b/>
        <vertAlign val="superscript"/>
        <sz val="14"/>
        <rFont val="Arial"/>
        <family val="2"/>
      </rPr>
      <t>1</t>
    </r>
  </si>
  <si>
    <t>Useful Life Range</t>
  </si>
  <si>
    <t>Below Min Range</t>
  </si>
  <si>
    <t>Above Max Range</t>
  </si>
  <si>
    <t>Office Equipment</t>
  </si>
  <si>
    <t>Office Furniture &amp; Equipment</t>
  </si>
  <si>
    <t>Vehicles</t>
  </si>
  <si>
    <t>Trucks &amp; Buckets</t>
  </si>
  <si>
    <t>Trailers</t>
  </si>
  <si>
    <t>Vans</t>
  </si>
  <si>
    <t>Administrative Buildings</t>
  </si>
  <si>
    <t>Lease dependent</t>
  </si>
  <si>
    <t>Station Buildings</t>
  </si>
  <si>
    <t>Parking</t>
  </si>
  <si>
    <t>Fence</t>
  </si>
  <si>
    <t>Computer Equipment</t>
  </si>
  <si>
    <t>Hardware</t>
  </si>
  <si>
    <t>Software</t>
  </si>
  <si>
    <t>Computer Software</t>
  </si>
  <si>
    <t>Equipment</t>
  </si>
  <si>
    <t>Power Operated</t>
  </si>
  <si>
    <t>Stores</t>
  </si>
  <si>
    <t>Tools, Shop, Garage Equipment</t>
  </si>
  <si>
    <t>Communication</t>
  </si>
  <si>
    <t>Towers</t>
  </si>
  <si>
    <t>Wireless</t>
  </si>
  <si>
    <t>Residential Energy Meters</t>
  </si>
  <si>
    <t>Industrial/Commercial Energy Meters</t>
  </si>
  <si>
    <t>Wholesale Energy Meters</t>
  </si>
  <si>
    <t>Current &amp; Potential Transformer (CT &amp; PT)</t>
  </si>
  <si>
    <t>Smart Meters</t>
  </si>
  <si>
    <t>Repeaters - Smart Metering</t>
  </si>
  <si>
    <t>Data Collectors - Smart Metering</t>
  </si>
  <si>
    <t>* TS &amp; MS = Transformer and Municipal Stations UG = Underground Systems S = Monitoring and Control Systems</t>
  </si>
  <si>
    <t>Note 1:</t>
  </si>
  <si>
    <t>Tables F-1 and F-2 above are to be used as a reference in order to complete columns J, K, L and N.</t>
  </si>
  <si>
    <t>See pages 17-19 of Kinetrics Report</t>
  </si>
  <si>
    <t>`</t>
  </si>
  <si>
    <t>Appendix 2-C</t>
  </si>
  <si>
    <t>CGAAP</t>
  </si>
  <si>
    <t>Depreciation and Amortization Expense</t>
  </si>
  <si>
    <t>Revised CGAAP</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</si>
  <si>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</si>
  <si>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</si>
  <si>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</si>
  <si>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</si>
  <si>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</si>
  <si>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</si>
  <si>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</si>
  <si>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</si>
  <si>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</si>
  <si>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</si>
  <si>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</si>
  <si>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</si>
  <si>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</si>
  <si>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</si>
  <si>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Net  Book Value of Assets</t>
  </si>
  <si>
    <r>
      <t xml:space="preserve">Less Fully Depreciated </t>
    </r>
    <r>
      <rPr>
        <b/>
        <vertAlign val="superscript"/>
        <sz val="10"/>
        <rFont val="Arial"/>
        <family val="2"/>
      </rPr>
      <t>1</t>
    </r>
  </si>
  <si>
    <t>Current Year Additions</t>
  </si>
  <si>
    <t>Disposals 
(Net)</t>
  </si>
  <si>
    <t xml:space="preserve">Net Amount of Assets to be Depreciated </t>
  </si>
  <si>
    <r>
      <t xml:space="preserve"> Remaining Life of Assets Existing </t>
    </r>
    <r>
      <rPr>
        <b/>
        <vertAlign val="superscript"/>
        <sz val="10"/>
        <rFont val="Arial"/>
        <family val="2"/>
      </rPr>
      <t>2</t>
    </r>
  </si>
  <si>
    <t>Depreciation Rate Assets</t>
  </si>
  <si>
    <r>
      <t xml:space="preserve">Depreciation Expense on Assets </t>
    </r>
    <r>
      <rPr>
        <b/>
        <vertAlign val="superscript"/>
        <sz val="10"/>
        <rFont val="Arial"/>
        <family val="2"/>
      </rPr>
      <t>3</t>
    </r>
  </si>
  <si>
    <t xml:space="preserve">Depreciation Expense per Appendix 2-BA Fixed Assets, Column K 
 </t>
  </si>
  <si>
    <r>
      <t xml:space="preserve">Variance </t>
    </r>
    <r>
      <rPr>
        <b/>
        <vertAlign val="superscript"/>
        <sz val="10"/>
        <rFont val="Arial"/>
        <family val="2"/>
      </rPr>
      <t>4</t>
    </r>
  </si>
  <si>
    <r>
      <t xml:space="preserve">Variance </t>
    </r>
    <r>
      <rPr>
        <b/>
        <vertAlign val="superscript"/>
        <sz val="10"/>
        <rFont val="Arial"/>
        <family val="2"/>
      </rPr>
      <t>%</t>
    </r>
  </si>
  <si>
    <t>a</t>
  </si>
  <si>
    <t>b</t>
  </si>
  <si>
    <t>c</t>
  </si>
  <si>
    <t>d</t>
  </si>
  <si>
    <t>e = a-b+0.5*c-d</t>
  </si>
  <si>
    <t>f</t>
  </si>
  <si>
    <t>g = 1/f</t>
  </si>
  <si>
    <t>h = e/f</t>
  </si>
  <si>
    <t>i</t>
  </si>
  <si>
    <t>j = i-h</t>
  </si>
  <si>
    <t>k = j/i</t>
  </si>
  <si>
    <t>Miscellaneous Intangible Plant</t>
  </si>
  <si>
    <t>Property Under Finance Lease</t>
  </si>
  <si>
    <t>Land Rights-Seaton MTS</t>
  </si>
  <si>
    <t>Depreciation Expense per Appendix 2-BA Fixed Assets, Column K</t>
  </si>
  <si>
    <t>1609</t>
  </si>
  <si>
    <t>1611</t>
  </si>
  <si>
    <t>1612</t>
  </si>
  <si>
    <t>1805</t>
  </si>
  <si>
    <t>1808</t>
  </si>
  <si>
    <t>1810</t>
  </si>
  <si>
    <t>1815</t>
  </si>
  <si>
    <t>1820</t>
  </si>
  <si>
    <t>1825</t>
  </si>
  <si>
    <t>1830</t>
  </si>
  <si>
    <t>1835</t>
  </si>
  <si>
    <t>1840</t>
  </si>
  <si>
    <t>1845</t>
  </si>
  <si>
    <t>1850</t>
  </si>
  <si>
    <t>1855</t>
  </si>
  <si>
    <t>1860</t>
  </si>
  <si>
    <t>1905</t>
  </si>
  <si>
    <t>1908</t>
  </si>
  <si>
    <t>1910</t>
  </si>
  <si>
    <t>1915</t>
  </si>
  <si>
    <t>1920</t>
  </si>
  <si>
    <t>1930</t>
  </si>
  <si>
    <t>1935</t>
  </si>
  <si>
    <t>1940</t>
  </si>
  <si>
    <t>1945</t>
  </si>
  <si>
    <t>1950</t>
  </si>
  <si>
    <t>1955</t>
  </si>
  <si>
    <t>1960</t>
  </si>
  <si>
    <t>1970</t>
  </si>
  <si>
    <t>1975</t>
  </si>
  <si>
    <t>1980</t>
  </si>
  <si>
    <t>1985</t>
  </si>
  <si>
    <t>1990</t>
  </si>
  <si>
    <t>1995</t>
  </si>
  <si>
    <t>2440</t>
  </si>
  <si>
    <t>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</si>
</sst>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_-;\-* #,##0.0_-;_-* &quot;-&quot;??_-;_-@_-"/>
    <numFmt numFmtId="165" formatCode="#,##0.0"/>
    <numFmt numFmtId="166" formatCode="_-* #,##0.00_-;\-* #,##0.00_-;_-* &quot;-&quot;_-;_-@_-"/>
    <numFmt numFmtId="167" formatCode="0.0%"/>
    <numFmt numFmtId="168" formatCode="_-&quot;$&quot;* #,##0_-;\-&quot;$&quot;* #,##0_-;_-&quot;$&quot;* &quot;-&quot;??_-;_-@_-"/>
    <numFmt numFmtId="169" formatCode="_-* #,##0_-;\-* #,##0_-;_-* &quot;-&quot;??_-;_-@_-"/>
    <numFmt numFmtId="170" formatCode="&quot;$&quot;#,##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
      <b/>
      <sz val="11"/>
      <color rgb="FFFF0000"/>
      <name val="Arial"/>
      <family val="2"/>
    </font>
    <font>
      <b/>
      <sz val="11"/>
      <color theme="1"/>
      <name val="Arial"/>
      <family val="2"/>
    </font>
    <font>
      <sz val="11"/>
      <color theme="1"/>
      <name val="Arial"/>
      <family val="2"/>
    </font>
    <font>
      <b/>
      <i/>
      <sz val="12"/>
      <color rgb="FF0070C0"/>
      <name val="Aptos Narrow"/>
      <family val="2"/>
      <scheme val="minor"/>
    </font>
    <font>
      <b/>
      <sz val="9"/>
      <name val="Arial"/>
      <family val="2"/>
    </font>
    <font>
      <b/>
      <vertAlign val="superscript"/>
      <sz val="10"/>
      <name val="Arial"/>
      <family val="2"/>
    </font>
    <font>
      <i/>
      <sz val="10"/>
      <name val="Arial"/>
      <family val="2"/>
    </font>
    <font>
      <b/>
      <sz val="12"/>
      <name val="Arial"/>
      <family val="2"/>
    </font>
    <font>
      <sz val="10"/>
      <color theme="0"/>
      <name val="Arial"/>
      <family val="2"/>
    </font>
    <font>
      <b/>
      <sz val="14"/>
      <color theme="1"/>
      <name val="Aptos Narrow"/>
      <family val="2"/>
      <scheme val="minor"/>
    </font>
    <font>
      <sz val="10"/>
      <color theme="3" tint="0.39997558519241921"/>
      <name val="Arial"/>
      <family val="2"/>
    </font>
    <font>
      <b/>
      <vertAlign val="superscript"/>
      <sz val="14"/>
      <name val="Arial"/>
      <family val="2"/>
    </font>
    <font>
      <b/>
      <sz val="11"/>
      <name val="Arial"/>
      <family val="2"/>
    </font>
    <font>
      <b/>
      <u/>
      <sz val="11"/>
      <name val="Arial"/>
      <family val="2"/>
    </font>
    <font>
      <sz val="11"/>
      <color theme="0"/>
      <name val="Arial"/>
      <family val="2"/>
    </font>
    <font>
      <vertAlign val="superscript"/>
      <sz val="10"/>
      <name val="Arial"/>
      <family val="2"/>
    </font>
    <font>
      <b/>
      <i/>
      <sz val="9"/>
      <name val="Arial"/>
      <family val="2"/>
    </font>
    <font>
      <sz val="10"/>
      <color theme="1"/>
      <name val="Arial"/>
      <family val="2"/>
    </font>
    <font>
      <b/>
      <sz val="10"/>
      <color theme="1"/>
      <name val="Arial"/>
      <family val="2"/>
    </font>
    <font>
      <b/>
      <u val="singleAccounting"/>
      <sz val="10"/>
      <name val="Arial"/>
      <family val="2"/>
    </font>
    <font>
      <sz val="11"/>
      <name val="Arial"/>
      <family val="2"/>
    </font>
    <font>
      <u/>
      <sz val="11"/>
      <color theme="10"/>
      <name val="Aptos Narrow"/>
      <family val="2"/>
      <scheme val="minor"/>
    </font>
    <font>
      <b/>
      <sz val="11"/>
      <color indexed="8"/>
      <name val="Calibri"/>
      <family val="1"/>
      <charset val="204"/>
    </font>
    <font>
      <b/>
      <sz val="10"/>
      <color rgb="FFFF000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s>
  <borders count="75">
    <border>
      <left/>
      <right/>
      <top/>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4" fontId="1" fillId="0" borderId="0" applyFont="0" applyFill="0" applyBorder="0" applyAlignment="0" applyProtection="0"/>
    <xf numFmtId="0" fontId="3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68">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14" fontId="4" fillId="2" borderId="0" xfId="0" applyNumberFormat="1" applyFont="1" applyFill="1" applyAlignment="1" applyProtection="1">
      <alignment horizontal="right" vertical="top"/>
      <protection locked="0"/>
    </xf>
    <xf numFmtId="0" fontId="4" fillId="0" borderId="0" xfId="0" applyFont="1" applyAlignment="1" applyProtection="1">
      <alignment horizontal="right" vertical="top"/>
      <protection locked="0"/>
    </xf>
    <xf numFmtId="0" fontId="3" fillId="0" borderId="0" xfId="0" applyFont="1" applyAlignment="1" applyProtection="1">
      <alignment horizontal="right"/>
      <protection locked="0"/>
    </xf>
    <xf numFmtId="0" fontId="5" fillId="0" borderId="0" xfId="0" applyFont="1" applyProtection="1">
      <protection locked="0"/>
    </xf>
    <xf numFmtId="0" fontId="0" fillId="0" borderId="0" xfId="0" applyAlignment="1" applyProtection="1">
      <alignment horizontal="left" wrapText="1"/>
      <protection locked="0"/>
    </xf>
    <xf numFmtId="0" fontId="3" fillId="0" borderId="2" xfId="0" applyFont="1" applyBorder="1" applyProtection="1">
      <protection locked="0"/>
    </xf>
    <xf numFmtId="0" fontId="3" fillId="0" borderId="3" xfId="0" applyFont="1" applyBorder="1" applyAlignment="1">
      <alignment horizontal="center" vertical="center" wrapText="1"/>
    </xf>
    <xf numFmtId="0" fontId="3" fillId="0" borderId="4" xfId="0" applyFont="1" applyBorder="1" applyProtection="1">
      <protection locked="0"/>
    </xf>
    <xf numFmtId="0" fontId="3" fillId="3" borderId="5" xfId="0" applyFont="1" applyFill="1" applyBorder="1" applyAlignment="1" applyProtection="1">
      <alignment horizontal="center"/>
      <protection locked="0"/>
    </xf>
    <xf numFmtId="0" fontId="3" fillId="2" borderId="6" xfId="0" applyFont="1" applyFill="1" applyBorder="1" applyProtection="1">
      <protection locked="0"/>
    </xf>
    <xf numFmtId="3" fontId="0" fillId="0" borderId="7" xfId="2" applyNumberFormat="1" applyFont="1" applyFill="1" applyBorder="1" applyProtection="1">
      <protection locked="0"/>
    </xf>
    <xf numFmtId="164" fontId="6" fillId="2" borderId="8" xfId="1" applyNumberFormat="1" applyFont="1" applyFill="1" applyBorder="1" applyProtection="1">
      <protection locked="0"/>
    </xf>
    <xf numFmtId="164" fontId="0" fillId="2" borderId="9" xfId="1" applyNumberFormat="1" applyFont="1" applyFill="1" applyBorder="1" applyProtection="1">
      <protection locked="0"/>
    </xf>
    <xf numFmtId="164" fontId="6" fillId="2" borderId="6" xfId="1" applyNumberFormat="1" applyFont="1" applyFill="1" applyBorder="1" applyProtection="1">
      <protection locked="0"/>
    </xf>
    <xf numFmtId="164" fontId="0" fillId="2" borderId="7" xfId="1" applyNumberFormat="1" applyFont="1" applyFill="1" applyBorder="1" applyProtection="1">
      <protection locked="0"/>
    </xf>
    <xf numFmtId="164" fontId="6" fillId="2" borderId="10" xfId="1" applyNumberFormat="1" applyFont="1" applyFill="1" applyBorder="1" applyProtection="1">
      <protection locked="0"/>
    </xf>
    <xf numFmtId="164" fontId="0" fillId="2" borderId="11" xfId="1" applyNumberFormat="1" applyFont="1" applyFill="1" applyBorder="1" applyProtection="1">
      <protection locked="0"/>
    </xf>
    <xf numFmtId="164" fontId="3" fillId="2" borderId="10" xfId="1" applyNumberFormat="1" applyFont="1" applyFill="1" applyBorder="1" applyProtection="1">
      <protection locked="0"/>
    </xf>
    <xf numFmtId="0" fontId="3" fillId="0" borderId="6" xfId="0" applyFont="1" applyBorder="1" applyProtection="1">
      <protection locked="0"/>
    </xf>
    <xf numFmtId="164" fontId="3" fillId="0" borderId="7" xfId="1" applyNumberFormat="1" applyFont="1" applyBorder="1"/>
    <xf numFmtId="0" fontId="3" fillId="2" borderId="6" xfId="0" applyFont="1" applyFill="1" applyBorder="1" applyAlignment="1" applyProtection="1">
      <alignment wrapText="1"/>
      <protection locked="0"/>
    </xf>
    <xf numFmtId="164" fontId="0" fillId="0" borderId="7" xfId="1" applyNumberFormat="1" applyFont="1" applyFill="1" applyBorder="1" applyProtection="1">
      <protection locked="0"/>
    </xf>
    <xf numFmtId="164" fontId="0" fillId="0" borderId="5" xfId="1" applyNumberFormat="1" applyFont="1" applyFill="1" applyBorder="1" applyProtection="1">
      <protection locked="0"/>
    </xf>
    <xf numFmtId="164" fontId="6" fillId="2" borderId="9" xfId="1" applyNumberFormat="1" applyFont="1" applyFill="1" applyBorder="1" applyProtection="1">
      <protection locked="0"/>
    </xf>
    <xf numFmtId="164" fontId="6" fillId="2" borderId="7" xfId="1" applyNumberFormat="1" applyFont="1" applyFill="1" applyBorder="1" applyProtection="1">
      <protection locked="0"/>
    </xf>
    <xf numFmtId="164" fontId="6" fillId="2" borderId="11" xfId="1" applyNumberFormat="1" applyFont="1" applyFill="1" applyBorder="1" applyProtection="1">
      <protection locked="0"/>
    </xf>
    <xf numFmtId="164" fontId="0" fillId="2" borderId="7" xfId="2" applyNumberFormat="1" applyFont="1" applyFill="1" applyBorder="1" applyProtection="1">
      <protection locked="0"/>
    </xf>
    <xf numFmtId="0" fontId="3" fillId="0" borderId="12" xfId="0" applyFont="1" applyBorder="1" applyProtection="1">
      <protection locked="0"/>
    </xf>
    <xf numFmtId="164" fontId="3" fillId="0" borderId="13" xfId="0" applyNumberFormat="1" applyFont="1" applyBorder="1"/>
    <xf numFmtId="0" fontId="3" fillId="0" borderId="7" xfId="0" applyFont="1" applyBorder="1" applyAlignment="1" applyProtection="1">
      <alignment vertical="top" wrapText="1"/>
      <protection locked="0"/>
    </xf>
    <xf numFmtId="0" fontId="3" fillId="0" borderId="13" xfId="0" applyFont="1" applyBorder="1" applyProtection="1">
      <protection locked="0"/>
    </xf>
    <xf numFmtId="0" fontId="8" fillId="0" borderId="0" xfId="0" applyFont="1" applyAlignment="1" applyProtection="1">
      <alignment horizontal="left" vertical="top"/>
      <protection locked="0"/>
    </xf>
    <xf numFmtId="4" fontId="8" fillId="0" borderId="0" xfId="0" applyNumberFormat="1" applyFont="1" applyAlignment="1" applyProtection="1">
      <alignment horizontal="left" vertical="top"/>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3" fillId="0" borderId="0" xfId="0" applyFont="1"/>
    <xf numFmtId="0" fontId="9" fillId="0" borderId="0" xfId="0" applyFont="1"/>
    <xf numFmtId="0" fontId="4" fillId="2" borderId="0" xfId="0" applyFont="1" applyFill="1" applyAlignment="1" applyProtection="1">
      <alignment horizontal="right" vertical="top"/>
      <protection locked="0"/>
    </xf>
    <xf numFmtId="0" fontId="10" fillId="0" borderId="0" xfId="0" applyFont="1"/>
    <xf numFmtId="0" fontId="3" fillId="3" borderId="7" xfId="0" applyFont="1" applyFill="1" applyBorder="1" applyAlignment="1" applyProtection="1">
      <alignment horizontal="center"/>
      <protection locked="0"/>
    </xf>
    <xf numFmtId="0" fontId="11" fillId="3" borderId="7" xfId="0" applyFont="1" applyFill="1" applyBorder="1" applyProtection="1">
      <protection locked="0"/>
    </xf>
    <xf numFmtId="0" fontId="6" fillId="0" borderId="0" xfId="0" applyFont="1"/>
    <xf numFmtId="0" fontId="3" fillId="0" borderId="0" xfId="0" applyFont="1" applyAlignment="1">
      <alignment horizontal="right" vertical="center"/>
    </xf>
    <xf numFmtId="0" fontId="12" fillId="0" borderId="0" xfId="0" applyFont="1" applyAlignment="1">
      <alignment horizontal="center" vertical="center"/>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16" fillId="0" borderId="23" xfId="0" applyFont="1" applyBorder="1" applyAlignment="1">
      <alignment horizontal="right" vertical="center" wrapText="1" indent="1"/>
    </xf>
    <xf numFmtId="41" fontId="6" fillId="2" borderId="20" xfId="0" applyNumberFormat="1" applyFont="1" applyFill="1" applyBorder="1" applyAlignment="1" applyProtection="1">
      <alignment horizontal="center" vertical="center" wrapText="1"/>
      <protection locked="0"/>
    </xf>
    <xf numFmtId="41" fontId="6" fillId="4" borderId="20" xfId="0" applyNumberFormat="1" applyFont="1" applyFill="1" applyBorder="1" applyAlignment="1">
      <alignment horizontal="center" vertical="center" wrapText="1"/>
    </xf>
    <xf numFmtId="9" fontId="6" fillId="0" borderId="20" xfId="0" applyNumberFormat="1" applyFont="1" applyBorder="1" applyAlignment="1">
      <alignment horizontal="center" vertical="center" wrapText="1"/>
    </xf>
    <xf numFmtId="4" fontId="6" fillId="4" borderId="20" xfId="0" applyNumberFormat="1" applyFont="1" applyFill="1" applyBorder="1" applyAlignment="1">
      <alignment horizontal="right" vertical="center" wrapText="1"/>
    </xf>
    <xf numFmtId="165" fontId="6" fillId="4" borderId="20" xfId="0" applyNumberFormat="1" applyFont="1" applyFill="1" applyBorder="1" applyAlignment="1">
      <alignment horizontal="right" vertical="center" wrapText="1"/>
    </xf>
    <xf numFmtId="41" fontId="6" fillId="2" borderId="22" xfId="0" applyNumberFormat="1" applyFont="1" applyFill="1" applyBorder="1" applyAlignment="1" applyProtection="1">
      <alignment horizontal="center" vertical="center" wrapText="1"/>
      <protection locked="0"/>
    </xf>
    <xf numFmtId="165" fontId="6" fillId="2" borderId="20" xfId="0" applyNumberFormat="1" applyFont="1" applyFill="1" applyBorder="1" applyAlignment="1" applyProtection="1">
      <alignment horizontal="right" vertical="center" wrapText="1"/>
      <protection locked="0"/>
    </xf>
    <xf numFmtId="166" fontId="6" fillId="4" borderId="20" xfId="0" applyNumberFormat="1" applyFont="1" applyFill="1" applyBorder="1" applyAlignment="1">
      <alignment horizontal="center" vertical="center" wrapText="1"/>
    </xf>
    <xf numFmtId="167" fontId="6" fillId="0" borderId="20" xfId="0" applyNumberFormat="1" applyFont="1" applyBorder="1" applyAlignment="1">
      <alignment horizontal="center" vertical="center" wrapText="1"/>
    </xf>
    <xf numFmtId="41" fontId="6" fillId="0" borderId="24" xfId="0" applyNumberFormat="1" applyFont="1" applyBorder="1" applyAlignment="1">
      <alignment horizontal="center" vertical="center" wrapText="1"/>
    </xf>
    <xf numFmtId="167" fontId="6" fillId="0" borderId="24" xfId="0" applyNumberFormat="1" applyFont="1" applyBorder="1" applyAlignment="1">
      <alignment horizontal="center" vertical="center" wrapText="1"/>
    </xf>
    <xf numFmtId="4" fontId="6" fillId="0" borderId="24" xfId="0" applyNumberFormat="1" applyFont="1" applyBorder="1" applyAlignment="1">
      <alignment horizontal="right" vertical="center" wrapText="1"/>
    </xf>
    <xf numFmtId="165" fontId="6" fillId="0" borderId="24" xfId="0" applyNumberFormat="1" applyFont="1" applyBorder="1" applyAlignment="1">
      <alignment horizontal="right" vertical="center" wrapText="1"/>
    </xf>
    <xf numFmtId="166" fontId="6" fillId="0" borderId="24" xfId="0" applyNumberFormat="1" applyFont="1" applyBorder="1" applyAlignment="1">
      <alignment horizontal="center" vertical="center" wrapText="1"/>
    </xf>
    <xf numFmtId="41" fontId="6" fillId="2" borderId="17" xfId="0" applyNumberFormat="1" applyFont="1" applyFill="1" applyBorder="1" applyAlignment="1" applyProtection="1">
      <alignment horizontal="center" vertical="center" wrapText="1"/>
      <protection locked="0"/>
    </xf>
    <xf numFmtId="41" fontId="6" fillId="4" borderId="17" xfId="0" applyNumberFormat="1" applyFont="1" applyFill="1" applyBorder="1" applyAlignment="1">
      <alignment horizontal="center" vertical="center" wrapText="1"/>
    </xf>
    <xf numFmtId="167" fontId="6" fillId="0" borderId="22" xfId="0" applyNumberFormat="1" applyFont="1" applyBorder="1" applyAlignment="1">
      <alignment horizontal="center" vertical="center" wrapText="1"/>
    </xf>
    <xf numFmtId="4" fontId="6" fillId="4" borderId="17" xfId="0" applyNumberFormat="1" applyFont="1" applyFill="1" applyBorder="1" applyAlignment="1">
      <alignment horizontal="right" vertical="center" wrapText="1"/>
    </xf>
    <xf numFmtId="165" fontId="6" fillId="4" borderId="17" xfId="0" applyNumberFormat="1" applyFont="1" applyFill="1" applyBorder="1" applyAlignment="1">
      <alignment horizontal="right" vertical="center" wrapText="1"/>
    </xf>
    <xf numFmtId="165" fontId="6" fillId="2" borderId="17" xfId="0" applyNumberFormat="1" applyFont="1" applyFill="1" applyBorder="1" applyAlignment="1" applyProtection="1">
      <alignment horizontal="right" vertical="center" wrapText="1"/>
      <protection locked="0"/>
    </xf>
    <xf numFmtId="166" fontId="6" fillId="4" borderId="17" xfId="0" applyNumberFormat="1" applyFont="1" applyFill="1" applyBorder="1" applyAlignment="1">
      <alignment horizontal="center" vertical="center" wrapText="1"/>
    </xf>
    <xf numFmtId="0" fontId="16" fillId="0" borderId="18" xfId="0" applyFont="1" applyBorder="1" applyAlignment="1">
      <alignment horizontal="right" vertical="center" wrapText="1" indent="1"/>
    </xf>
    <xf numFmtId="41" fontId="6" fillId="0" borderId="25" xfId="0" applyNumberFormat="1" applyFont="1" applyBorder="1" applyAlignment="1">
      <alignment horizontal="center" vertical="center" wrapText="1"/>
    </xf>
    <xf numFmtId="167" fontId="6" fillId="0" borderId="14" xfId="0" applyNumberFormat="1" applyFont="1" applyBorder="1" applyAlignment="1">
      <alignment horizontal="center" vertical="center" wrapText="1"/>
    </xf>
    <xf numFmtId="41" fontId="6" fillId="0" borderId="14" xfId="0" applyNumberFormat="1" applyFont="1" applyBorder="1" applyAlignment="1">
      <alignment horizontal="center" vertical="center" wrapText="1"/>
    </xf>
    <xf numFmtId="4" fontId="6" fillId="0" borderId="25" xfId="0" applyNumberFormat="1" applyFont="1" applyBorder="1" applyAlignment="1">
      <alignment horizontal="right" vertical="center" wrapText="1"/>
    </xf>
    <xf numFmtId="165" fontId="6" fillId="0" borderId="25" xfId="0" applyNumberFormat="1" applyFont="1" applyBorder="1" applyAlignment="1">
      <alignment horizontal="right" vertical="center" wrapText="1"/>
    </xf>
    <xf numFmtId="165" fontId="6" fillId="0" borderId="14" xfId="0" applyNumberFormat="1" applyFont="1" applyBorder="1" applyAlignment="1">
      <alignment horizontal="right" vertical="center" wrapText="1"/>
    </xf>
    <xf numFmtId="166" fontId="6" fillId="0" borderId="25" xfId="0" applyNumberFormat="1" applyFont="1" applyBorder="1" applyAlignment="1">
      <alignment horizontal="center" vertical="center" wrapText="1"/>
    </xf>
    <xf numFmtId="0" fontId="16" fillId="0" borderId="22" xfId="0" applyFont="1" applyBorder="1" applyAlignment="1">
      <alignment horizontal="right" vertical="center" wrapText="1" indent="1"/>
    </xf>
    <xf numFmtId="41" fontId="6" fillId="0" borderId="26" xfId="0" applyNumberFormat="1" applyFont="1" applyBorder="1" applyAlignment="1">
      <alignment horizontal="center" vertical="center" wrapText="1"/>
    </xf>
    <xf numFmtId="41" fontId="6" fillId="2" borderId="27" xfId="0" applyNumberFormat="1" applyFont="1" applyFill="1" applyBorder="1" applyAlignment="1" applyProtection="1">
      <alignment horizontal="center" vertical="center" wrapText="1"/>
      <protection locked="0"/>
    </xf>
    <xf numFmtId="167" fontId="6" fillId="0" borderId="27" xfId="0" applyNumberFormat="1" applyFont="1" applyBorder="1" applyAlignment="1">
      <alignment horizontal="center" vertical="center" wrapText="1"/>
    </xf>
    <xf numFmtId="41" fontId="6" fillId="0" borderId="28" xfId="0" applyNumberFormat="1" applyFont="1" applyBorder="1" applyAlignment="1">
      <alignment horizontal="center" vertical="center" wrapText="1"/>
    </xf>
    <xf numFmtId="41" fontId="6" fillId="2" borderId="26" xfId="0" applyNumberFormat="1" applyFont="1" applyFill="1" applyBorder="1" applyAlignment="1" applyProtection="1">
      <alignment horizontal="center" vertical="center" wrapText="1"/>
      <protection locked="0"/>
    </xf>
    <xf numFmtId="41" fontId="6" fillId="0" borderId="27" xfId="0" applyNumberFormat="1" applyFont="1" applyBorder="1" applyAlignment="1">
      <alignment horizontal="center" vertical="center" wrapText="1"/>
    </xf>
    <xf numFmtId="41" fontId="6" fillId="2" borderId="28" xfId="0" applyNumberFormat="1" applyFont="1" applyFill="1" applyBorder="1" applyAlignment="1" applyProtection="1">
      <alignment horizontal="center" vertical="center" wrapText="1"/>
      <protection locked="0"/>
    </xf>
    <xf numFmtId="167" fontId="6" fillId="0" borderId="26" xfId="0" applyNumberFormat="1" applyFont="1" applyBorder="1" applyAlignment="1">
      <alignment horizontal="center" vertical="center" wrapText="1"/>
    </xf>
    <xf numFmtId="167" fontId="6" fillId="0" borderId="28" xfId="0" applyNumberFormat="1" applyFont="1" applyBorder="1" applyAlignment="1">
      <alignment horizontal="center" vertical="center" wrapText="1"/>
    </xf>
    <xf numFmtId="4" fontId="6" fillId="2" borderId="26" xfId="0" applyNumberFormat="1" applyFont="1" applyFill="1" applyBorder="1" applyAlignment="1" applyProtection="1">
      <alignment horizontal="right" vertical="center" wrapText="1"/>
      <protection locked="0"/>
    </xf>
    <xf numFmtId="165" fontId="6" fillId="2" borderId="26" xfId="0" applyNumberFormat="1" applyFont="1" applyFill="1" applyBorder="1" applyAlignment="1" applyProtection="1">
      <alignment horizontal="right" vertical="center" wrapText="1"/>
      <protection locked="0"/>
    </xf>
    <xf numFmtId="165" fontId="6" fillId="2" borderId="28" xfId="0" applyNumberFormat="1" applyFont="1" applyFill="1" applyBorder="1" applyAlignment="1" applyProtection="1">
      <alignment horizontal="right" vertical="center" wrapText="1"/>
      <protection locked="0"/>
    </xf>
    <xf numFmtId="165" fontId="6" fillId="2" borderId="27" xfId="0" applyNumberFormat="1" applyFont="1" applyFill="1" applyBorder="1" applyAlignment="1" applyProtection="1">
      <alignment horizontal="right" vertical="center" wrapText="1"/>
      <protection locked="0"/>
    </xf>
    <xf numFmtId="165" fontId="6" fillId="0" borderId="27" xfId="0" applyNumberFormat="1" applyFont="1" applyBorder="1" applyAlignment="1">
      <alignment horizontal="right" vertical="center" wrapText="1"/>
    </xf>
    <xf numFmtId="166" fontId="6" fillId="2" borderId="27" xfId="0" applyNumberFormat="1" applyFont="1" applyFill="1" applyBorder="1" applyAlignment="1" applyProtection="1">
      <alignment horizontal="center" vertical="center" wrapText="1"/>
      <protection locked="0"/>
    </xf>
    <xf numFmtId="166" fontId="6" fillId="2" borderId="28" xfId="0" applyNumberFormat="1" applyFont="1" applyFill="1" applyBorder="1" applyAlignment="1" applyProtection="1">
      <alignment horizontal="center" vertical="center" wrapText="1"/>
      <protection locked="0"/>
    </xf>
    <xf numFmtId="42" fontId="6" fillId="2" borderId="29" xfId="0" applyNumberFormat="1" applyFont="1" applyFill="1" applyBorder="1" applyAlignment="1" applyProtection="1">
      <alignment horizontal="center" vertical="center" wrapText="1"/>
      <protection locked="0"/>
    </xf>
    <xf numFmtId="41" fontId="6" fillId="5" borderId="29" xfId="0" applyNumberFormat="1" applyFont="1" applyFill="1" applyBorder="1" applyAlignment="1">
      <alignment horizontal="center" vertical="center" wrapText="1"/>
    </xf>
    <xf numFmtId="167" fontId="6" fillId="0" borderId="30" xfId="0" applyNumberFormat="1" applyFont="1" applyBorder="1" applyAlignment="1">
      <alignment horizontal="center" vertical="center" wrapText="1"/>
    </xf>
    <xf numFmtId="4" fontId="6" fillId="5" borderId="29" xfId="0" applyNumberFormat="1" applyFont="1" applyFill="1" applyBorder="1" applyAlignment="1">
      <alignment horizontal="center" vertical="center" wrapText="1"/>
    </xf>
    <xf numFmtId="165" fontId="6" fillId="5" borderId="29" xfId="0" applyNumberFormat="1" applyFont="1" applyFill="1" applyBorder="1" applyAlignment="1">
      <alignment horizontal="right" vertical="center" wrapText="1"/>
    </xf>
    <xf numFmtId="42" fontId="6" fillId="2" borderId="30" xfId="0" applyNumberFormat="1" applyFont="1" applyFill="1" applyBorder="1" applyAlignment="1" applyProtection="1">
      <alignment horizontal="center" vertical="center" wrapText="1"/>
      <protection locked="0"/>
    </xf>
    <xf numFmtId="165" fontId="6" fillId="2" borderId="29" xfId="0" applyNumberFormat="1" applyFont="1" applyFill="1" applyBorder="1" applyAlignment="1" applyProtection="1">
      <alignment horizontal="right" vertical="center" wrapText="1"/>
      <protection locked="0"/>
    </xf>
    <xf numFmtId="0" fontId="17" fillId="4" borderId="0" xfId="0" applyFont="1" applyFill="1"/>
    <xf numFmtId="0" fontId="3" fillId="4" borderId="8" xfId="0" applyFont="1" applyFill="1" applyBorder="1"/>
    <xf numFmtId="0" fontId="3" fillId="4" borderId="7" xfId="0" applyFont="1" applyFill="1" applyBorder="1"/>
    <xf numFmtId="0" fontId="3" fillId="4" borderId="31" xfId="0" applyFont="1" applyFill="1" applyBorder="1"/>
    <xf numFmtId="0" fontId="3" fillId="4" borderId="0" xfId="0" applyFont="1" applyFill="1"/>
    <xf numFmtId="3" fontId="6" fillId="4" borderId="7" xfId="0" applyNumberFormat="1" applyFont="1" applyFill="1" applyBorder="1"/>
    <xf numFmtId="4" fontId="6" fillId="4" borderId="7" xfId="0" applyNumberFormat="1" applyFont="1" applyFill="1" applyBorder="1"/>
    <xf numFmtId="165" fontId="6" fillId="4" borderId="7" xfId="0" applyNumberFormat="1" applyFont="1" applyFill="1" applyBorder="1"/>
    <xf numFmtId="0" fontId="3" fillId="4" borderId="32" xfId="0" applyFont="1" applyFill="1" applyBorder="1"/>
    <xf numFmtId="0" fontId="6" fillId="4" borderId="0" xfId="0" applyFont="1" applyFill="1"/>
    <xf numFmtId="3" fontId="0" fillId="4" borderId="7" xfId="0" applyNumberFormat="1" applyFill="1" applyBorder="1"/>
    <xf numFmtId="165" fontId="0" fillId="4" borderId="7" xfId="0" applyNumberFormat="1" applyFill="1" applyBorder="1"/>
    <xf numFmtId="0" fontId="3" fillId="4" borderId="33" xfId="0" applyFont="1" applyFill="1" applyBorder="1"/>
    <xf numFmtId="0" fontId="6" fillId="4" borderId="0" xfId="0" applyFont="1" applyFill="1" applyAlignment="1">
      <alignment horizontal="center"/>
    </xf>
    <xf numFmtId="0" fontId="6" fillId="0" borderId="0" xfId="0" applyFont="1" applyAlignment="1">
      <alignment horizontal="left" vertical="center"/>
    </xf>
    <xf numFmtId="0" fontId="6" fillId="0" borderId="0" xfId="0" applyFont="1" applyAlignment="1">
      <alignment vertical="center"/>
    </xf>
    <xf numFmtId="0" fontId="6" fillId="0" borderId="0" xfId="4" applyAlignment="1" applyProtection="1">
      <alignment horizontal="center"/>
      <protection locked="0"/>
    </xf>
    <xf numFmtId="0" fontId="6" fillId="0" borderId="0" xfId="4" applyProtection="1">
      <protection locked="0"/>
    </xf>
    <xf numFmtId="0" fontId="3" fillId="0" borderId="0" xfId="4" applyFont="1" applyProtection="1">
      <protection locked="0"/>
    </xf>
    <xf numFmtId="0" fontId="4" fillId="2" borderId="1" xfId="4" applyFont="1" applyFill="1" applyBorder="1" applyAlignment="1" applyProtection="1">
      <alignment horizontal="right" vertical="top"/>
      <protection locked="0"/>
    </xf>
    <xf numFmtId="0" fontId="4" fillId="2" borderId="0" xfId="4" applyFont="1" applyFill="1" applyAlignment="1" applyProtection="1">
      <alignment horizontal="right" vertical="top"/>
      <protection locked="0"/>
    </xf>
    <xf numFmtId="0" fontId="4" fillId="0" borderId="0" xfId="4" applyFont="1" applyAlignment="1" applyProtection="1">
      <alignment horizontal="right" vertical="top"/>
      <protection locked="0"/>
    </xf>
    <xf numFmtId="14" fontId="4" fillId="2" borderId="0" xfId="4" applyNumberFormat="1" applyFont="1" applyFill="1" applyAlignment="1" applyProtection="1">
      <alignment horizontal="right" vertical="top"/>
      <protection locked="0"/>
    </xf>
    <xf numFmtId="0" fontId="5" fillId="0" borderId="0" xfId="4" applyFont="1" applyAlignment="1" applyProtection="1">
      <alignment horizontal="center" vertical="top"/>
      <protection locked="0"/>
    </xf>
    <xf numFmtId="0" fontId="8" fillId="0" borderId="0" xfId="4" applyFont="1" applyAlignment="1" applyProtection="1">
      <alignment horizontal="center"/>
      <protection locked="0"/>
    </xf>
    <xf numFmtId="15" fontId="6" fillId="0" borderId="0" xfId="4" applyNumberFormat="1" applyProtection="1">
      <protection locked="0"/>
    </xf>
    <xf numFmtId="0" fontId="6" fillId="0" borderId="0" xfId="4" applyAlignment="1" applyProtection="1">
      <alignment horizontal="left" vertical="top" wrapText="1"/>
      <protection locked="0"/>
    </xf>
    <xf numFmtId="0" fontId="6" fillId="0" borderId="0" xfId="4" applyAlignment="1" applyProtection="1">
      <alignment horizontal="left" wrapText="1"/>
      <protection locked="0"/>
    </xf>
    <xf numFmtId="0" fontId="6" fillId="0" borderId="0" xfId="4" applyAlignment="1" applyProtection="1">
      <alignment horizontal="left"/>
      <protection locked="0"/>
    </xf>
    <xf numFmtId="0" fontId="3" fillId="0" borderId="0" xfId="4" applyFont="1" applyAlignment="1" applyProtection="1">
      <alignment horizontal="right"/>
      <protection locked="0"/>
    </xf>
    <xf numFmtId="0" fontId="0" fillId="3" borderId="0" xfId="0" applyFill="1" applyAlignment="1" applyProtection="1">
      <alignment horizontal="center" vertical="center"/>
      <protection locked="0"/>
    </xf>
    <xf numFmtId="0" fontId="21" fillId="0" borderId="22" xfId="4" applyFont="1" applyBorder="1" applyAlignment="1">
      <alignment horizontal="center"/>
    </xf>
    <xf numFmtId="0" fontId="22" fillId="0" borderId="0" xfId="4" applyFont="1" applyAlignment="1" applyProtection="1">
      <alignment horizontal="center"/>
      <protection locked="0"/>
    </xf>
    <xf numFmtId="0" fontId="23" fillId="0" borderId="0" xfId="4" applyFont="1" applyAlignment="1">
      <alignment horizontal="center"/>
    </xf>
    <xf numFmtId="0" fontId="6" fillId="6" borderId="34" xfId="4" applyFill="1" applyBorder="1" applyProtection="1">
      <protection locked="0"/>
    </xf>
    <xf numFmtId="0" fontId="3" fillId="6" borderId="26" xfId="4" applyFont="1" applyFill="1" applyBorder="1" applyProtection="1">
      <protection locked="0"/>
    </xf>
    <xf numFmtId="0" fontId="3" fillId="6" borderId="6" xfId="4" applyFont="1" applyFill="1" applyBorder="1" applyProtection="1">
      <protection locked="0"/>
    </xf>
    <xf numFmtId="0" fontId="3" fillId="6" borderId="7" xfId="4" applyFont="1" applyFill="1" applyBorder="1" applyAlignment="1" applyProtection="1">
      <alignment horizontal="center" wrapText="1"/>
      <protection locked="0"/>
    </xf>
    <xf numFmtId="0" fontId="3" fillId="6" borderId="7" xfId="4" applyFont="1" applyFill="1" applyBorder="1" applyProtection="1">
      <protection locked="0"/>
    </xf>
    <xf numFmtId="0" fontId="3" fillId="6" borderId="7" xfId="4" applyFont="1" applyFill="1" applyBorder="1" applyAlignment="1" applyProtection="1">
      <alignment horizontal="center"/>
      <protection locked="0"/>
    </xf>
    <xf numFmtId="0" fontId="6" fillId="6" borderId="9" xfId="4" applyFill="1" applyBorder="1" applyProtection="1">
      <protection locked="0"/>
    </xf>
    <xf numFmtId="0" fontId="3" fillId="6" borderId="5" xfId="4" applyFont="1" applyFill="1" applyBorder="1" applyAlignment="1" applyProtection="1">
      <alignment horizontal="center"/>
      <protection locked="0"/>
    </xf>
    <xf numFmtId="0" fontId="3" fillId="6" borderId="5" xfId="4" applyFont="1" applyFill="1" applyBorder="1" applyAlignment="1" applyProtection="1">
      <alignment horizontal="center" wrapText="1"/>
      <protection locked="0"/>
    </xf>
    <xf numFmtId="0" fontId="6" fillId="6" borderId="7" xfId="4" applyFill="1" applyBorder="1" applyAlignment="1" applyProtection="1">
      <alignment horizontal="center" wrapText="1"/>
      <protection locked="0"/>
    </xf>
    <xf numFmtId="0" fontId="6" fillId="0" borderId="7" xfId="4" applyBorder="1" applyAlignment="1" applyProtection="1">
      <alignment horizontal="center" vertical="center"/>
      <protection locked="0"/>
    </xf>
    <xf numFmtId="0" fontId="6" fillId="0" borderId="7" xfId="4" applyBorder="1" applyAlignment="1" applyProtection="1">
      <alignment vertical="center" wrapText="1"/>
      <protection locked="0"/>
    </xf>
    <xf numFmtId="168" fontId="0" fillId="4" borderId="7" xfId="2" applyNumberFormat="1" applyFont="1" applyFill="1" applyBorder="1" applyProtection="1"/>
    <xf numFmtId="168" fontId="0" fillId="2" borderId="7" xfId="2" applyNumberFormat="1" applyFont="1" applyFill="1" applyBorder="1" applyProtection="1">
      <protection locked="0"/>
    </xf>
    <xf numFmtId="168" fontId="0" fillId="0" borderId="7" xfId="2" applyNumberFormat="1" applyFont="1" applyBorder="1" applyProtection="1"/>
    <xf numFmtId="168" fontId="6" fillId="0" borderId="7" xfId="4" applyNumberFormat="1" applyBorder="1"/>
    <xf numFmtId="0" fontId="6" fillId="0" borderId="0" xfId="4"/>
    <xf numFmtId="0" fontId="6" fillId="0" borderId="7" xfId="4" applyBorder="1" applyAlignment="1" applyProtection="1">
      <alignment vertical="center"/>
      <protection locked="0"/>
    </xf>
    <xf numFmtId="0" fontId="6" fillId="0" borderId="9" xfId="4" applyBorder="1" applyProtection="1">
      <protection locked="0"/>
    </xf>
    <xf numFmtId="0" fontId="6" fillId="0" borderId="7" xfId="4" applyBorder="1" applyAlignment="1" applyProtection="1">
      <alignment horizontal="left" vertical="center"/>
      <protection locked="0"/>
    </xf>
    <xf numFmtId="0" fontId="6" fillId="0" borderId="7" xfId="4" applyBorder="1" applyAlignment="1" applyProtection="1">
      <alignment horizontal="center"/>
      <protection locked="0"/>
    </xf>
    <xf numFmtId="0" fontId="6" fillId="0" borderId="7" xfId="4" applyBorder="1" applyProtection="1">
      <protection locked="0"/>
    </xf>
    <xf numFmtId="0" fontId="6" fillId="2" borderId="7" xfId="4" applyFill="1" applyBorder="1" applyProtection="1">
      <protection locked="0"/>
    </xf>
    <xf numFmtId="169" fontId="1" fillId="2" borderId="7" xfId="1" applyNumberFormat="1" applyFill="1" applyBorder="1" applyProtection="1">
      <protection locked="0"/>
    </xf>
    <xf numFmtId="0" fontId="3" fillId="0" borderId="7" xfId="4" applyFont="1" applyBorder="1" applyProtection="1">
      <protection locked="0"/>
    </xf>
    <xf numFmtId="168" fontId="3" fillId="0" borderId="7" xfId="4" applyNumberFormat="1" applyFont="1" applyBorder="1"/>
    <xf numFmtId="168" fontId="3" fillId="0" borderId="7" xfId="2" applyNumberFormat="1" applyFont="1" applyBorder="1" applyProtection="1"/>
    <xf numFmtId="168" fontId="3" fillId="0" borderId="7" xfId="4" applyNumberFormat="1" applyFont="1" applyBorder="1" applyProtection="1">
      <protection locked="0"/>
    </xf>
    <xf numFmtId="0" fontId="3" fillId="0" borderId="7" xfId="4" applyFont="1" applyBorder="1" applyAlignment="1" applyProtection="1">
      <alignment vertical="center" wrapText="1"/>
      <protection locked="0"/>
    </xf>
    <xf numFmtId="0" fontId="8" fillId="0" borderId="7" xfId="4" applyFont="1" applyBorder="1" applyAlignment="1" applyProtection="1">
      <alignment vertical="top" wrapText="1"/>
      <protection locked="0"/>
    </xf>
    <xf numFmtId="0" fontId="3" fillId="0" borderId="34" xfId="4" applyFont="1" applyBorder="1" applyProtection="1">
      <protection locked="0"/>
    </xf>
    <xf numFmtId="168" fontId="0" fillId="0" borderId="0" xfId="2" applyNumberFormat="1" applyFont="1" applyFill="1" applyBorder="1" applyProtection="1">
      <protection locked="0"/>
    </xf>
    <xf numFmtId="168" fontId="6" fillId="0" borderId="0" xfId="4" applyNumberFormat="1" applyProtection="1">
      <protection locked="0"/>
    </xf>
    <xf numFmtId="0" fontId="6" fillId="0" borderId="34" xfId="4" applyBorder="1" applyProtection="1">
      <protection locked="0"/>
    </xf>
    <xf numFmtId="0" fontId="6" fillId="0" borderId="26" xfId="4" applyBorder="1" applyProtection="1">
      <protection locked="0"/>
    </xf>
    <xf numFmtId="168" fontId="0" fillId="2" borderId="6" xfId="2" applyNumberFormat="1" applyFont="1" applyFill="1" applyBorder="1" applyProtection="1">
      <protection locked="0"/>
    </xf>
    <xf numFmtId="0" fontId="3" fillId="0" borderId="26" xfId="4" applyFont="1" applyBorder="1" applyProtection="1">
      <protection locked="0"/>
    </xf>
    <xf numFmtId="168" fontId="3" fillId="0" borderId="6" xfId="4" applyNumberFormat="1" applyFont="1" applyBorder="1"/>
    <xf numFmtId="168" fontId="6" fillId="2" borderId="7" xfId="4" applyNumberFormat="1" applyFill="1" applyBorder="1" applyProtection="1">
      <protection locked="0"/>
    </xf>
    <xf numFmtId="43" fontId="3" fillId="0" borderId="7" xfId="1" applyFont="1" applyBorder="1"/>
    <xf numFmtId="168" fontId="0" fillId="0" borderId="7" xfId="2" applyNumberFormat="1" applyFont="1" applyFill="1" applyBorder="1" applyProtection="1"/>
    <xf numFmtId="168" fontId="0" fillId="0" borderId="7" xfId="2" applyNumberFormat="1" applyFont="1" applyFill="1" applyBorder="1" applyProtection="1">
      <protection locked="0"/>
    </xf>
    <xf numFmtId="168" fontId="0" fillId="0" borderId="6" xfId="2" applyNumberFormat="1" applyFont="1" applyFill="1" applyBorder="1" applyProtection="1">
      <protection locked="0"/>
    </xf>
    <xf numFmtId="168" fontId="1" fillId="2" borderId="7" xfId="2" applyNumberFormat="1" applyFill="1" applyBorder="1" applyProtection="1">
      <protection locked="0"/>
    </xf>
    <xf numFmtId="0" fontId="6" fillId="0" borderId="32" xfId="4" applyBorder="1" applyProtection="1">
      <protection locked="0"/>
    </xf>
    <xf numFmtId="0" fontId="1" fillId="0" borderId="0" xfId="5"/>
    <xf numFmtId="0" fontId="26" fillId="0" borderId="0" xfId="4" applyFont="1" applyProtection="1">
      <protection locked="0"/>
    </xf>
    <xf numFmtId="0" fontId="1" fillId="3" borderId="0" xfId="5" applyFill="1" applyAlignment="1" applyProtection="1">
      <alignment horizontal="center" vertical="center"/>
      <protection locked="0"/>
    </xf>
    <xf numFmtId="0" fontId="11" fillId="0" borderId="0" xfId="4" applyFont="1" applyAlignment="1">
      <alignment horizontal="center"/>
    </xf>
    <xf numFmtId="0" fontId="27" fillId="6" borderId="7" xfId="4" applyFont="1" applyFill="1" applyBorder="1" applyAlignment="1" applyProtection="1">
      <alignment horizontal="center" wrapText="1"/>
      <protection locked="0"/>
    </xf>
    <xf numFmtId="43" fontId="6" fillId="0" borderId="0" xfId="4" applyNumberFormat="1" applyAlignment="1" applyProtection="1">
      <alignment vertical="top"/>
      <protection locked="0"/>
    </xf>
    <xf numFmtId="168" fontId="0" fillId="0" borderId="7" xfId="6" applyNumberFormat="1" applyFont="1" applyFill="1" applyBorder="1" applyProtection="1">
      <protection locked="0"/>
    </xf>
    <xf numFmtId="168" fontId="0" fillId="2" borderId="7" xfId="6" applyNumberFormat="1" applyFont="1" applyFill="1" applyBorder="1" applyProtection="1">
      <protection locked="0"/>
    </xf>
    <xf numFmtId="168" fontId="0" fillId="0" borderId="7" xfId="6" applyNumberFormat="1" applyFont="1" applyBorder="1" applyProtection="1"/>
    <xf numFmtId="168" fontId="26" fillId="0" borderId="7" xfId="6" applyNumberFormat="1" applyFont="1" applyBorder="1" applyProtection="1"/>
    <xf numFmtId="168" fontId="0" fillId="0" borderId="6" xfId="6" applyNumberFormat="1" applyFont="1" applyFill="1" applyBorder="1" applyProtection="1">
      <protection locked="0"/>
    </xf>
    <xf numFmtId="168" fontId="27" fillId="0" borderId="7" xfId="4" applyNumberFormat="1" applyFont="1" applyBorder="1"/>
    <xf numFmtId="168" fontId="0" fillId="0" borderId="0" xfId="6" applyNumberFormat="1" applyFont="1" applyFill="1" applyBorder="1" applyProtection="1">
      <protection locked="0"/>
    </xf>
    <xf numFmtId="168" fontId="28" fillId="0" borderId="0" xfId="6" applyNumberFormat="1" applyFont="1" applyFill="1" applyBorder="1" applyProtection="1">
      <protection locked="0"/>
    </xf>
    <xf numFmtId="0" fontId="6" fillId="0" borderId="0" xfId="4" applyAlignment="1" applyProtection="1">
      <alignment horizontal="right"/>
      <protection locked="0"/>
    </xf>
    <xf numFmtId="44" fontId="6" fillId="0" borderId="0" xfId="4" applyNumberFormat="1" applyProtection="1">
      <protection locked="0"/>
    </xf>
    <xf numFmtId="0" fontId="27" fillId="0" borderId="26" xfId="4" applyFont="1" applyBorder="1" applyProtection="1">
      <protection locked="0"/>
    </xf>
    <xf numFmtId="0" fontId="3" fillId="0" borderId="6" xfId="4" applyFont="1" applyBorder="1" applyProtection="1">
      <protection locked="0"/>
    </xf>
    <xf numFmtId="0" fontId="22" fillId="0" borderId="0" xfId="4" applyFont="1" applyAlignment="1" applyProtection="1">
      <alignment horizontal="left"/>
      <protection locked="0"/>
    </xf>
    <xf numFmtId="0" fontId="29" fillId="0" borderId="0" xfId="4" applyFont="1" applyAlignment="1" applyProtection="1">
      <alignment horizontal="left"/>
      <protection locked="0"/>
    </xf>
    <xf numFmtId="0" fontId="4" fillId="0" borderId="0" xfId="4" applyFont="1" applyAlignment="1">
      <alignment horizontal="right" vertical="top"/>
    </xf>
    <xf numFmtId="0" fontId="4" fillId="2" borderId="0" xfId="4" applyFont="1" applyFill="1" applyAlignment="1" applyProtection="1">
      <alignment horizontal="left" vertical="top"/>
      <protection locked="0"/>
    </xf>
    <xf numFmtId="14" fontId="4" fillId="2" borderId="0" xfId="4" applyNumberFormat="1" applyFont="1" applyFill="1" applyAlignment="1" applyProtection="1">
      <alignment horizontal="left" vertical="top"/>
      <protection locked="0"/>
    </xf>
    <xf numFmtId="0" fontId="5" fillId="0" borderId="0" xfId="4" applyFont="1" applyAlignment="1" applyProtection="1">
      <alignment horizontal="center" vertical="center" wrapText="1"/>
      <protection locked="0"/>
    </xf>
    <xf numFmtId="0" fontId="5" fillId="0" borderId="0" xfId="4" applyFont="1" applyAlignment="1" applyProtection="1">
      <alignment vertical="center" wrapText="1"/>
      <protection locked="0"/>
    </xf>
    <xf numFmtId="0" fontId="5" fillId="0" borderId="0" xfId="4" applyFont="1" applyAlignment="1" applyProtection="1">
      <alignment vertical="top"/>
      <protection locked="0"/>
    </xf>
    <xf numFmtId="0" fontId="6" fillId="7" borderId="7" xfId="4" applyFill="1" applyBorder="1" applyProtection="1">
      <protection locked="0"/>
    </xf>
    <xf numFmtId="0" fontId="3" fillId="7" borderId="7" xfId="4" applyFont="1" applyFill="1" applyBorder="1" applyAlignment="1" applyProtection="1">
      <alignment horizontal="center" vertical="center"/>
      <protection locked="0"/>
    </xf>
    <xf numFmtId="0" fontId="3" fillId="8" borderId="7" xfId="4" applyFont="1" applyFill="1" applyBorder="1" applyProtection="1">
      <protection locked="0"/>
    </xf>
    <xf numFmtId="0" fontId="31" fillId="7" borderId="7" xfId="4" applyFont="1" applyFill="1" applyBorder="1" applyAlignment="1" applyProtection="1">
      <alignment horizontal="center" vertical="center" wrapText="1"/>
      <protection locked="0"/>
    </xf>
    <xf numFmtId="0" fontId="3" fillId="7" borderId="11"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0" fontId="6" fillId="8" borderId="7" xfId="4" applyFill="1" applyBorder="1" applyAlignment="1" applyProtection="1">
      <alignment horizontal="center" vertical="center"/>
      <protection locked="0"/>
    </xf>
    <xf numFmtId="0" fontId="31" fillId="7" borderId="11" xfId="4" applyFont="1" applyFill="1" applyBorder="1" applyAlignment="1" applyProtection="1">
      <alignment horizontal="center" vertical="center" wrapText="1"/>
      <protection locked="0"/>
    </xf>
    <xf numFmtId="0" fontId="31" fillId="7" borderId="38" xfId="4" applyFont="1" applyFill="1" applyBorder="1" applyAlignment="1" applyProtection="1">
      <alignment horizontal="center" vertical="center" wrapText="1"/>
      <protection locked="0"/>
    </xf>
    <xf numFmtId="0" fontId="31" fillId="7" borderId="39" xfId="4" applyFont="1" applyFill="1" applyBorder="1" applyAlignment="1" applyProtection="1">
      <alignment horizontal="center" vertical="center" wrapText="1"/>
      <protection locked="0"/>
    </xf>
    <xf numFmtId="0" fontId="6" fillId="0" borderId="3" xfId="4" applyBorder="1" applyAlignment="1" applyProtection="1">
      <alignment horizontal="center" vertical="center"/>
      <protection locked="0"/>
    </xf>
    <xf numFmtId="0" fontId="6" fillId="0" borderId="41" xfId="4" applyBorder="1" applyAlignment="1" applyProtection="1">
      <alignment horizontal="center" vertical="center"/>
      <protection locked="0"/>
    </xf>
    <xf numFmtId="0" fontId="6" fillId="8" borderId="6" xfId="4" applyFill="1" applyBorder="1" applyAlignment="1" applyProtection="1">
      <alignment horizontal="center" vertical="center"/>
      <protection locked="0"/>
    </xf>
    <xf numFmtId="1" fontId="6" fillId="2" borderId="7" xfId="4" applyNumberFormat="1" applyFill="1" applyBorder="1" applyAlignment="1" applyProtection="1">
      <alignment horizontal="center" vertical="center"/>
      <protection locked="0"/>
    </xf>
    <xf numFmtId="0" fontId="6" fillId="2" borderId="7" xfId="4" applyFill="1" applyBorder="1" applyAlignment="1" applyProtection="1">
      <alignment horizontal="left" vertical="center"/>
      <protection locked="0"/>
    </xf>
    <xf numFmtId="0" fontId="6" fillId="2" borderId="7" xfId="4" applyFill="1" applyBorder="1" applyAlignment="1" applyProtection="1">
      <alignment horizontal="center" vertical="center"/>
      <protection locked="0"/>
    </xf>
    <xf numFmtId="9" fontId="0" fillId="0" borderId="7" xfId="3" applyFont="1" applyBorder="1" applyAlignment="1" applyProtection="1">
      <alignment horizontal="center" vertical="center"/>
    </xf>
    <xf numFmtId="9" fontId="0" fillId="0" borderId="34" xfId="3" applyFont="1" applyBorder="1" applyAlignment="1" applyProtection="1">
      <alignment horizontal="center" vertical="center"/>
    </xf>
    <xf numFmtId="0" fontId="6" fillId="0" borderId="7" xfId="4" applyBorder="1" applyAlignment="1">
      <alignment horizontal="center"/>
    </xf>
    <xf numFmtId="0" fontId="6" fillId="0" borderId="7" xfId="4" applyBorder="1" applyAlignment="1" applyProtection="1">
      <alignment horizontal="left"/>
      <protection locked="0"/>
    </xf>
    <xf numFmtId="0" fontId="6" fillId="0" borderId="43" xfId="4" applyBorder="1" applyAlignment="1" applyProtection="1">
      <alignment horizontal="center" vertical="center"/>
      <protection locked="0"/>
    </xf>
    <xf numFmtId="0" fontId="6" fillId="0" borderId="11" xfId="4" applyBorder="1" applyAlignment="1" applyProtection="1">
      <alignment horizontal="center" vertical="center"/>
      <protection locked="0"/>
    </xf>
    <xf numFmtId="0" fontId="6" fillId="0" borderId="44" xfId="4" applyBorder="1" applyAlignment="1" applyProtection="1">
      <alignment horizontal="center" vertical="center"/>
      <protection locked="0"/>
    </xf>
    <xf numFmtId="0" fontId="6" fillId="0" borderId="5" xfId="4" applyBorder="1" applyAlignment="1" applyProtection="1">
      <alignment horizontal="center" vertical="center"/>
      <protection locked="0"/>
    </xf>
    <xf numFmtId="0" fontId="6" fillId="0" borderId="34" xfId="4" applyBorder="1" applyAlignment="1" applyProtection="1">
      <alignment horizontal="left" vertical="center"/>
      <protection locked="0"/>
    </xf>
    <xf numFmtId="0" fontId="6" fillId="0" borderId="6" xfId="4" applyBorder="1" applyAlignment="1" applyProtection="1">
      <alignment horizontal="left" vertical="center"/>
      <protection locked="0"/>
    </xf>
    <xf numFmtId="0" fontId="6" fillId="0" borderId="26" xfId="4" applyBorder="1" applyAlignment="1" applyProtection="1">
      <alignment horizontal="left" vertical="center"/>
      <protection locked="0"/>
    </xf>
    <xf numFmtId="0" fontId="32" fillId="8" borderId="6" xfId="4" applyFont="1" applyFill="1" applyBorder="1" applyAlignment="1" applyProtection="1">
      <alignment horizontal="center" vertical="center"/>
      <protection locked="0"/>
    </xf>
    <xf numFmtId="0" fontId="6" fillId="8" borderId="6" xfId="4" applyFill="1" applyBorder="1" applyProtection="1">
      <protection locked="0"/>
    </xf>
    <xf numFmtId="0" fontId="6" fillId="8" borderId="6" xfId="4" applyFill="1" applyBorder="1" applyAlignment="1" applyProtection="1">
      <alignment vertical="center"/>
      <protection locked="0"/>
    </xf>
    <xf numFmtId="0" fontId="6" fillId="0" borderId="7" xfId="4" applyBorder="1" applyAlignment="1">
      <alignment horizontal="center" vertical="center"/>
    </xf>
    <xf numFmtId="0" fontId="6" fillId="0" borderId="0" xfId="4" applyAlignment="1" applyProtection="1">
      <alignment vertical="center"/>
      <protection locked="0"/>
    </xf>
    <xf numFmtId="0" fontId="6" fillId="0" borderId="62" xfId="4" applyBorder="1" applyAlignment="1" applyProtection="1">
      <alignment horizontal="center" vertical="center"/>
      <protection locked="0"/>
    </xf>
    <xf numFmtId="0" fontId="6" fillId="0" borderId="63" xfId="4" applyBorder="1" applyAlignment="1" applyProtection="1">
      <alignment horizontal="center" vertical="center"/>
      <protection locked="0"/>
    </xf>
    <xf numFmtId="0" fontId="3" fillId="0" borderId="64" xfId="4" applyFont="1" applyBorder="1" applyAlignment="1" applyProtection="1">
      <alignment horizontal="center" vertical="center"/>
      <protection locked="0"/>
    </xf>
    <xf numFmtId="0" fontId="6" fillId="0" borderId="65" xfId="4" applyBorder="1" applyAlignment="1" applyProtection="1">
      <alignment horizontal="center" vertical="center"/>
      <protection locked="0"/>
    </xf>
    <xf numFmtId="0" fontId="6" fillId="0" borderId="66" xfId="4" applyBorder="1" applyAlignment="1" applyProtection="1">
      <alignment horizontal="center" vertical="center"/>
      <protection locked="0"/>
    </xf>
    <xf numFmtId="0" fontId="31" fillId="7" borderId="68" xfId="4" applyFont="1" applyFill="1" applyBorder="1" applyAlignment="1" applyProtection="1">
      <alignment horizontal="center" vertical="center" wrapText="1"/>
      <protection locked="0"/>
    </xf>
    <xf numFmtId="1" fontId="6" fillId="0" borderId="7" xfId="4" applyNumberFormat="1" applyBorder="1" applyAlignment="1" applyProtection="1">
      <alignment vertical="center"/>
      <protection locked="0"/>
    </xf>
    <xf numFmtId="0" fontId="26" fillId="0" borderId="7" xfId="4" applyFont="1" applyBorder="1" applyAlignment="1">
      <alignment horizontal="center"/>
    </xf>
    <xf numFmtId="0" fontId="32" fillId="0" borderId="0" xfId="4" applyFont="1" applyAlignment="1" applyProtection="1">
      <alignment horizontal="center" vertical="center"/>
      <protection locked="0"/>
    </xf>
    <xf numFmtId="0" fontId="30" fillId="0" borderId="0" xfId="7" applyAlignment="1" applyProtection="1">
      <protection locked="0"/>
    </xf>
    <xf numFmtId="0" fontId="5" fillId="0" borderId="0" xfId="4" applyFont="1" applyAlignment="1" applyProtection="1">
      <alignment horizontal="center"/>
      <protection locked="0"/>
    </xf>
    <xf numFmtId="0" fontId="5" fillId="0" borderId="0" xfId="4" applyFont="1" applyProtection="1">
      <protection locked="0"/>
    </xf>
    <xf numFmtId="168" fontId="29" fillId="0" borderId="0" xfId="8" applyNumberFormat="1" applyFont="1" applyFill="1" applyBorder="1" applyProtection="1">
      <protection locked="0"/>
    </xf>
    <xf numFmtId="0" fontId="3" fillId="0" borderId="0" xfId="4" applyFont="1" applyAlignment="1" applyProtection="1">
      <alignment vertical="top" wrapText="1"/>
      <protection locked="0"/>
    </xf>
    <xf numFmtId="0" fontId="6" fillId="0" borderId="0" xfId="4" applyAlignment="1" applyProtection="1">
      <alignment horizontal="center" vertical="top"/>
      <protection locked="0"/>
    </xf>
    <xf numFmtId="0" fontId="6" fillId="0" borderId="0" xfId="4" applyAlignment="1" applyProtection="1">
      <alignment vertical="top"/>
      <protection locked="0"/>
    </xf>
    <xf numFmtId="0" fontId="29" fillId="0" borderId="22" xfId="8" applyNumberFormat="1" applyFont="1" applyFill="1" applyBorder="1" applyAlignment="1" applyProtection="1">
      <alignment horizontal="center"/>
    </xf>
    <xf numFmtId="0" fontId="3" fillId="0" borderId="0" xfId="4" applyFont="1" applyAlignment="1" applyProtection="1">
      <alignment horizontal="center" vertical="center" wrapText="1"/>
      <protection locked="0"/>
    </xf>
    <xf numFmtId="0" fontId="16" fillId="0" borderId="14" xfId="4" applyFont="1" applyBorder="1" applyAlignment="1" applyProtection="1">
      <alignment horizontal="center" wrapText="1"/>
      <protection locked="0"/>
    </xf>
    <xf numFmtId="0" fontId="3" fillId="6" borderId="64" xfId="4" applyFont="1" applyFill="1" applyBorder="1" applyAlignment="1" applyProtection="1">
      <alignment horizontal="center" vertical="center" wrapText="1"/>
      <protection locked="0"/>
    </xf>
    <xf numFmtId="170" fontId="3" fillId="6" borderId="65" xfId="4" applyNumberFormat="1" applyFont="1" applyFill="1" applyBorder="1" applyAlignment="1" applyProtection="1">
      <alignment horizontal="center" vertical="center" wrapText="1"/>
      <protection locked="0"/>
    </xf>
    <xf numFmtId="0" fontId="3" fillId="6" borderId="65" xfId="4" applyFont="1" applyFill="1" applyBorder="1" applyAlignment="1" applyProtection="1">
      <alignment horizontal="center" vertical="center" wrapText="1"/>
      <protection locked="0"/>
    </xf>
    <xf numFmtId="0" fontId="3" fillId="6" borderId="71" xfId="4" applyFont="1" applyFill="1" applyBorder="1" applyAlignment="1" applyProtection="1">
      <alignment horizontal="center" vertical="center" wrapText="1"/>
      <protection locked="0"/>
    </xf>
    <xf numFmtId="0" fontId="3" fillId="6" borderId="66" xfId="4" applyFont="1" applyFill="1" applyBorder="1" applyAlignment="1" applyProtection="1">
      <alignment horizontal="center" vertical="center" wrapText="1"/>
      <protection locked="0"/>
    </xf>
    <xf numFmtId="0" fontId="3" fillId="6" borderId="22" xfId="4" applyFont="1" applyFill="1" applyBorder="1" applyAlignment="1" applyProtection="1">
      <alignment horizontal="center" vertical="center" wrapText="1"/>
      <protection locked="0"/>
    </xf>
    <xf numFmtId="0" fontId="3" fillId="6" borderId="72" xfId="4" quotePrefix="1" applyFont="1" applyFill="1" applyBorder="1" applyAlignment="1" applyProtection="1">
      <alignment horizontal="center"/>
      <protection locked="0"/>
    </xf>
    <xf numFmtId="0" fontId="3" fillId="6" borderId="56" xfId="4" quotePrefix="1" applyFont="1" applyFill="1" applyBorder="1" applyAlignment="1" applyProtection="1">
      <alignment horizontal="center"/>
      <protection locked="0"/>
    </xf>
    <xf numFmtId="0" fontId="3" fillId="6" borderId="57" xfId="4" quotePrefix="1" applyFont="1" applyFill="1" applyBorder="1" applyAlignment="1" applyProtection="1">
      <alignment horizontal="center"/>
      <protection locked="0"/>
    </xf>
    <xf numFmtId="0" fontId="3" fillId="6" borderId="59" xfId="4" quotePrefix="1" applyFont="1" applyFill="1" applyBorder="1" applyAlignment="1" applyProtection="1">
      <alignment horizontal="center"/>
      <protection locked="0"/>
    </xf>
    <xf numFmtId="0" fontId="3" fillId="6" borderId="72" xfId="4" applyFont="1" applyFill="1" applyBorder="1" applyAlignment="1" applyProtection="1">
      <alignment horizontal="center" wrapText="1"/>
      <protection locked="0"/>
    </xf>
    <xf numFmtId="0" fontId="3" fillId="6" borderId="65" xfId="4" quotePrefix="1" applyFont="1" applyFill="1" applyBorder="1" applyAlignment="1" applyProtection="1">
      <alignment horizontal="center"/>
      <protection locked="0"/>
    </xf>
    <xf numFmtId="0" fontId="3" fillId="6" borderId="66" xfId="4" quotePrefix="1" applyFont="1" applyFill="1" applyBorder="1" applyAlignment="1" applyProtection="1">
      <alignment horizontal="center"/>
      <protection locked="0"/>
    </xf>
    <xf numFmtId="0" fontId="6" fillId="0" borderId="4" xfId="4" applyBorder="1" applyAlignment="1" applyProtection="1">
      <alignment horizontal="center" vertical="center"/>
      <protection locked="0"/>
    </xf>
    <xf numFmtId="0" fontId="6" fillId="0" borderId="34" xfId="4" applyBorder="1" applyAlignment="1" applyProtection="1">
      <alignment vertical="center" wrapText="1"/>
      <protection locked="0"/>
    </xf>
    <xf numFmtId="168" fontId="6" fillId="2" borderId="51" xfId="8" applyNumberFormat="1" applyFont="1" applyFill="1" applyBorder="1" applyProtection="1">
      <protection locked="0"/>
    </xf>
    <xf numFmtId="168" fontId="6" fillId="2" borderId="5" xfId="8" applyNumberFormat="1" applyFont="1" applyFill="1" applyBorder="1" applyProtection="1">
      <protection locked="0"/>
    </xf>
    <xf numFmtId="168" fontId="6" fillId="2" borderId="33" xfId="8" applyNumberFormat="1" applyFont="1" applyFill="1" applyBorder="1" applyProtection="1">
      <protection locked="0"/>
    </xf>
    <xf numFmtId="168" fontId="6" fillId="0" borderId="33" xfId="8" applyNumberFormat="1" applyFont="1" applyFill="1" applyBorder="1" applyProtection="1"/>
    <xf numFmtId="43" fontId="6" fillId="2" borderId="51" xfId="9" applyFont="1" applyFill="1" applyBorder="1" applyProtection="1">
      <protection locked="0"/>
    </xf>
    <xf numFmtId="10" fontId="6" fillId="0" borderId="33" xfId="10" applyNumberFormat="1" applyFont="1" applyFill="1" applyBorder="1" applyProtection="1"/>
    <xf numFmtId="168" fontId="3" fillId="0" borderId="51" xfId="4" applyNumberFormat="1" applyFont="1" applyBorder="1"/>
    <xf numFmtId="168" fontId="6" fillId="0" borderId="5" xfId="8" applyNumberFormat="1" applyFont="1" applyFill="1" applyBorder="1" applyProtection="1"/>
    <xf numFmtId="168" fontId="3" fillId="0" borderId="45" xfId="4" applyNumberFormat="1" applyFont="1" applyBorder="1"/>
    <xf numFmtId="9" fontId="3" fillId="0" borderId="41" xfId="3" applyFont="1" applyBorder="1"/>
    <xf numFmtId="0" fontId="6" fillId="0" borderId="33" xfId="4" applyBorder="1" applyAlignment="1" applyProtection="1">
      <alignment vertical="center" wrapText="1"/>
      <protection locked="0"/>
    </xf>
    <xf numFmtId="10" fontId="6" fillId="0" borderId="5" xfId="10" applyNumberFormat="1" applyFont="1" applyBorder="1" applyProtection="1"/>
    <xf numFmtId="9" fontId="3" fillId="0" borderId="43" xfId="3" applyFont="1" applyBorder="1"/>
    <xf numFmtId="43" fontId="6" fillId="2" borderId="52" xfId="9" applyFont="1" applyFill="1" applyBorder="1" applyProtection="1">
      <protection locked="0"/>
    </xf>
    <xf numFmtId="168" fontId="3" fillId="0" borderId="43" xfId="4" applyNumberFormat="1" applyFont="1" applyBorder="1"/>
    <xf numFmtId="9" fontId="3" fillId="0" borderId="73" xfId="3" applyFont="1" applyBorder="1"/>
    <xf numFmtId="0" fontId="6" fillId="0" borderId="34" xfId="4" applyBorder="1" applyAlignment="1" applyProtection="1">
      <alignment vertical="center"/>
      <protection locked="0"/>
    </xf>
    <xf numFmtId="10" fontId="6" fillId="0" borderId="7" xfId="10" applyNumberFormat="1" applyFont="1" applyBorder="1" applyProtection="1"/>
    <xf numFmtId="168" fontId="3" fillId="0" borderId="52" xfId="4" applyNumberFormat="1" applyFont="1" applyBorder="1"/>
    <xf numFmtId="0" fontId="6" fillId="0" borderId="31" xfId="4" applyBorder="1" applyAlignment="1" applyProtection="1">
      <alignment vertical="center" wrapText="1"/>
      <protection locked="0"/>
    </xf>
    <xf numFmtId="43" fontId="6" fillId="2" borderId="53" xfId="9" applyFont="1" applyFill="1" applyBorder="1" applyProtection="1">
      <protection locked="0"/>
    </xf>
    <xf numFmtId="10" fontId="6" fillId="0" borderId="11" xfId="10" applyNumberFormat="1" applyFont="1" applyBorder="1" applyProtection="1"/>
    <xf numFmtId="168" fontId="3" fillId="0" borderId="53" xfId="4" applyNumberFormat="1" applyFont="1" applyBorder="1"/>
    <xf numFmtId="168" fontId="3" fillId="0" borderId="44" xfId="4" applyNumberFormat="1" applyFont="1" applyBorder="1"/>
    <xf numFmtId="9" fontId="3" fillId="0" borderId="63" xfId="3" applyFont="1" applyBorder="1"/>
    <xf numFmtId="0" fontId="6" fillId="0" borderId="64" xfId="4" applyBorder="1" applyAlignment="1" applyProtection="1">
      <alignment horizontal="center"/>
      <protection locked="0"/>
    </xf>
    <xf numFmtId="0" fontId="3" fillId="0" borderId="71" xfId="4" applyFont="1" applyBorder="1" applyProtection="1">
      <protection locked="0"/>
    </xf>
    <xf numFmtId="168" fontId="3" fillId="0" borderId="64" xfId="4" applyNumberFormat="1" applyFont="1" applyBorder="1"/>
    <xf numFmtId="168" fontId="3" fillId="0" borderId="74" xfId="4" applyNumberFormat="1" applyFont="1" applyBorder="1"/>
    <xf numFmtId="168" fontId="3" fillId="0" borderId="22" xfId="4" applyNumberFormat="1" applyFont="1" applyBorder="1"/>
    <xf numFmtId="9" fontId="3" fillId="0" borderId="22" xfId="3" applyFont="1" applyBorder="1"/>
    <xf numFmtId="168" fontId="3" fillId="0" borderId="0" xfId="4" applyNumberFormat="1" applyFont="1" applyProtection="1">
      <protection locked="0"/>
    </xf>
    <xf numFmtId="0" fontId="6" fillId="0" borderId="72" xfId="4" applyBorder="1" applyAlignment="1" applyProtection="1">
      <alignment horizontal="center"/>
      <protection locked="0"/>
    </xf>
    <xf numFmtId="0" fontId="3" fillId="0" borderId="57" xfId="4" applyFont="1" applyBorder="1" applyProtection="1">
      <protection locked="0"/>
    </xf>
    <xf numFmtId="168" fontId="6" fillId="0" borderId="7" xfId="8" applyNumberFormat="1" applyFont="1" applyFill="1" applyBorder="1" applyProtection="1"/>
    <xf numFmtId="168" fontId="6" fillId="0" borderId="11" xfId="8" applyNumberFormat="1" applyFont="1" applyFill="1" applyBorder="1" applyProtection="1"/>
    <xf numFmtId="0" fontId="3" fillId="6" borderId="15" xfId="4" applyFont="1" applyFill="1" applyBorder="1" applyAlignment="1" applyProtection="1">
      <alignment horizontal="center" vertical="center" wrapText="1"/>
      <protection locked="0"/>
    </xf>
    <xf numFmtId="0" fontId="3" fillId="6" borderId="17" xfId="4" applyFont="1" applyFill="1" applyBorder="1" applyAlignment="1" applyProtection="1">
      <alignment horizontal="center" vertical="center" wrapText="1"/>
      <protection locked="0"/>
    </xf>
    <xf numFmtId="0" fontId="5" fillId="0" borderId="0" xfId="0" applyFont="1" applyAlignment="1">
      <alignment horizontal="center" vertical="top"/>
    </xf>
    <xf numFmtId="0" fontId="6" fillId="0" borderId="0" xfId="0" applyFont="1" applyAlignment="1" applyProtection="1">
      <alignment horizontal="left" vertical="top" wrapText="1"/>
      <protection locked="0"/>
    </xf>
    <xf numFmtId="0" fontId="3" fillId="0" borderId="0" xfId="0" applyFont="1" applyAlignment="1" applyProtection="1">
      <alignment horizontal="left" wrapText="1"/>
      <protection locked="0"/>
    </xf>
    <xf numFmtId="0" fontId="19" fillId="2" borderId="31" xfId="0" applyFont="1" applyFill="1" applyBorder="1" applyAlignment="1" applyProtection="1">
      <alignment horizontal="left" vertical="top"/>
      <protection locked="0"/>
    </xf>
    <xf numFmtId="0" fontId="19" fillId="2" borderId="35" xfId="0" applyFont="1" applyFill="1" applyBorder="1" applyAlignment="1" applyProtection="1">
      <alignment horizontal="left" vertical="top"/>
      <protection locked="0"/>
    </xf>
    <xf numFmtId="0" fontId="19" fillId="2" borderId="33" xfId="0" applyFont="1" applyFill="1" applyBorder="1" applyAlignment="1" applyProtection="1">
      <alignment horizontal="left" vertical="top"/>
      <protection locked="0"/>
    </xf>
    <xf numFmtId="0" fontId="19" fillId="2" borderId="36" xfId="0" applyFont="1" applyFill="1" applyBorder="1" applyAlignment="1" applyProtection="1">
      <alignment horizontal="left" vertical="top"/>
      <protection locked="0"/>
    </xf>
    <xf numFmtId="0" fontId="2" fillId="0" borderId="34" xfId="0" applyFont="1" applyBorder="1"/>
    <xf numFmtId="0" fontId="2" fillId="0" borderId="26" xfId="0" applyFont="1" applyBorder="1"/>
    <xf numFmtId="0" fontId="6" fillId="0" borderId="0" xfId="0" applyFont="1" applyAlignment="1">
      <alignment horizontal="left" vertical="center"/>
    </xf>
    <xf numFmtId="0" fontId="18" fillId="0" borderId="34" xfId="0" applyFont="1" applyBorder="1"/>
    <xf numFmtId="0" fontId="18" fillId="0" borderId="26" xfId="0" applyFont="1" applyBorder="1"/>
    <xf numFmtId="0" fontId="3" fillId="4" borderId="31" xfId="0" applyFont="1" applyFill="1" applyBorder="1" applyAlignment="1">
      <alignment horizontal="center"/>
    </xf>
    <xf numFmtId="0" fontId="3" fillId="4" borderId="10" xfId="0" applyFont="1" applyFill="1" applyBorder="1" applyAlignment="1">
      <alignment horizontal="center"/>
    </xf>
    <xf numFmtId="0" fontId="3" fillId="4" borderId="32" xfId="0" applyFont="1" applyFill="1" applyBorder="1" applyAlignment="1">
      <alignment horizontal="center"/>
    </xf>
    <xf numFmtId="0" fontId="3" fillId="4" borderId="8" xfId="0" applyFont="1" applyFill="1" applyBorder="1" applyAlignment="1">
      <alignment horizontal="center"/>
    </xf>
    <xf numFmtId="0" fontId="3" fillId="4" borderId="33" xfId="0" applyFont="1" applyFill="1" applyBorder="1" applyAlignment="1">
      <alignment horizontal="center"/>
    </xf>
    <xf numFmtId="0" fontId="3" fillId="4" borderId="4" xfId="0" applyFont="1" applyFill="1" applyBorder="1" applyAlignment="1">
      <alignment horizontal="center"/>
    </xf>
    <xf numFmtId="0" fontId="2" fillId="0" borderId="0" xfId="0" applyFont="1" applyAlignment="1">
      <alignment horizontal="left"/>
    </xf>
    <xf numFmtId="0" fontId="6" fillId="0" borderId="0" xfId="0" applyFont="1" applyAlignment="1">
      <alignment horizontal="left" vertical="top" wrapText="1"/>
    </xf>
    <xf numFmtId="0" fontId="15"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3" fillId="4" borderId="7" xfId="0" applyFont="1" applyFill="1" applyBorder="1" applyAlignment="1">
      <alignment horizontal="center"/>
    </xf>
    <xf numFmtId="0" fontId="13" fillId="0" borderId="14" xfId="0" applyFont="1" applyBorder="1" applyAlignment="1">
      <alignment horizontal="center" vertical="center" wrapText="1"/>
    </xf>
    <xf numFmtId="0" fontId="1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23"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4" xfId="4" applyFont="1" applyBorder="1" applyProtection="1">
      <protection locked="0"/>
    </xf>
    <xf numFmtId="0" fontId="3" fillId="0" borderId="26" xfId="4" applyFont="1" applyBorder="1" applyProtection="1">
      <protection locked="0"/>
    </xf>
    <xf numFmtId="0" fontId="3" fillId="0" borderId="35" xfId="4" applyFont="1" applyBorder="1" applyAlignment="1" applyProtection="1">
      <alignment wrapText="1"/>
      <protection locked="0"/>
    </xf>
    <xf numFmtId="0" fontId="3" fillId="6" borderId="34" xfId="4" applyFont="1" applyFill="1" applyBorder="1" applyAlignment="1" applyProtection="1">
      <alignment horizontal="center"/>
      <protection locked="0"/>
    </xf>
    <xf numFmtId="0" fontId="3" fillId="6" borderId="26" xfId="4" applyFont="1" applyFill="1" applyBorder="1" applyAlignment="1" applyProtection="1">
      <alignment horizontal="center"/>
      <protection locked="0"/>
    </xf>
    <xf numFmtId="0" fontId="3" fillId="6" borderId="6" xfId="4" applyFont="1" applyFill="1" applyBorder="1" applyAlignment="1" applyProtection="1">
      <alignment horizontal="center"/>
      <protection locked="0"/>
    </xf>
    <xf numFmtId="0" fontId="3" fillId="0" borderId="34" xfId="4" applyFont="1" applyBorder="1" applyAlignment="1" applyProtection="1">
      <alignment horizontal="left"/>
      <protection locked="0"/>
    </xf>
    <xf numFmtId="0" fontId="3" fillId="0" borderId="26" xfId="4" applyFont="1" applyBorder="1" applyAlignment="1" applyProtection="1">
      <alignment horizontal="left"/>
      <protection locked="0"/>
    </xf>
    <xf numFmtId="0" fontId="3" fillId="0" borderId="6" xfId="4" applyFont="1" applyBorder="1" applyAlignment="1" applyProtection="1">
      <alignment horizontal="left"/>
      <protection locked="0"/>
    </xf>
    <xf numFmtId="0" fontId="6" fillId="0" borderId="0" xfId="4" applyAlignment="1" applyProtection="1">
      <alignment horizontal="left" wrapText="1"/>
      <protection locked="0"/>
    </xf>
    <xf numFmtId="0" fontId="5" fillId="0" borderId="0" xfId="4" applyFont="1" applyAlignment="1" applyProtection="1">
      <alignment horizontal="center" vertical="top"/>
      <protection locked="0"/>
    </xf>
    <xf numFmtId="0" fontId="6" fillId="0" borderId="0" xfId="4" applyAlignment="1" applyProtection="1">
      <alignment horizontal="left" vertical="top" wrapText="1"/>
      <protection locked="0"/>
    </xf>
    <xf numFmtId="0" fontId="6" fillId="0" borderId="34" xfId="4" applyBorder="1" applyAlignment="1" applyProtection="1">
      <alignment horizontal="left" vertical="center"/>
      <protection locked="0"/>
    </xf>
    <xf numFmtId="0" fontId="6" fillId="0" borderId="26" xfId="4" applyBorder="1" applyAlignment="1" applyProtection="1">
      <alignment horizontal="left" vertical="center"/>
      <protection locked="0"/>
    </xf>
    <xf numFmtId="0" fontId="6" fillId="0" borderId="6" xfId="4" applyBorder="1" applyAlignment="1" applyProtection="1">
      <alignment horizontal="left" vertical="center"/>
      <protection locked="0"/>
    </xf>
    <xf numFmtId="1" fontId="6" fillId="0" borderId="7" xfId="4" applyNumberFormat="1" applyBorder="1" applyAlignment="1" applyProtection="1">
      <alignment horizontal="center" vertical="center"/>
      <protection locked="0"/>
    </xf>
    <xf numFmtId="0" fontId="32" fillId="0" borderId="0" xfId="4" applyFont="1" applyAlignment="1" applyProtection="1">
      <alignment horizontal="center" vertical="center"/>
      <protection locked="0"/>
    </xf>
    <xf numFmtId="0" fontId="30" fillId="0" borderId="0" xfId="7" applyAlignment="1" applyProtection="1">
      <alignment horizontal="left" vertical="top"/>
      <protection locked="0"/>
    </xf>
    <xf numFmtId="0" fontId="6" fillId="0" borderId="11" xfId="4" applyBorder="1" applyAlignment="1" applyProtection="1">
      <alignment horizontal="center" vertical="center"/>
      <protection locked="0"/>
    </xf>
    <xf numFmtId="0" fontId="6" fillId="0" borderId="5" xfId="4" applyBorder="1" applyAlignment="1" applyProtection="1">
      <alignment horizontal="center" vertical="center"/>
      <protection locked="0"/>
    </xf>
    <xf numFmtId="0" fontId="6" fillId="0" borderId="11" xfId="4" applyBorder="1" applyAlignment="1" applyProtection="1">
      <alignment horizontal="left" vertical="center"/>
      <protection locked="0"/>
    </xf>
    <xf numFmtId="0" fontId="6" fillId="0" borderId="5" xfId="4" applyBorder="1" applyAlignment="1" applyProtection="1">
      <alignment horizontal="left" vertical="center"/>
      <protection locked="0"/>
    </xf>
    <xf numFmtId="0" fontId="6" fillId="0" borderId="9" xfId="4" applyBorder="1" applyAlignment="1" applyProtection="1">
      <alignment horizontal="center" vertical="center"/>
      <protection locked="0"/>
    </xf>
    <xf numFmtId="0" fontId="6" fillId="0" borderId="9" xfId="4" applyBorder="1" applyAlignment="1" applyProtection="1">
      <alignment horizontal="left" vertical="center"/>
      <protection locked="0"/>
    </xf>
    <xf numFmtId="0" fontId="6" fillId="0" borderId="31" xfId="4" applyBorder="1" applyAlignment="1" applyProtection="1">
      <alignment horizontal="left" vertical="center"/>
      <protection locked="0"/>
    </xf>
    <xf numFmtId="0" fontId="6" fillId="0" borderId="10" xfId="4" applyBorder="1" applyAlignment="1" applyProtection="1">
      <alignment horizontal="left" vertical="center"/>
      <protection locked="0"/>
    </xf>
    <xf numFmtId="0" fontId="6" fillId="0" borderId="33" xfId="4" applyBorder="1" applyAlignment="1" applyProtection="1">
      <alignment horizontal="left" vertical="center"/>
      <protection locked="0"/>
    </xf>
    <xf numFmtId="0" fontId="6" fillId="0" borderId="4" xfId="4" applyBorder="1" applyAlignment="1" applyProtection="1">
      <alignment horizontal="left" vertical="center"/>
      <protection locked="0"/>
    </xf>
    <xf numFmtId="1" fontId="6" fillId="0" borderId="11" xfId="4" applyNumberFormat="1" applyBorder="1" applyAlignment="1" applyProtection="1">
      <alignment horizontal="right" vertical="center"/>
      <protection locked="0"/>
    </xf>
    <xf numFmtId="1" fontId="6" fillId="0" borderId="5" xfId="4" applyNumberFormat="1" applyBorder="1" applyAlignment="1" applyProtection="1">
      <alignment horizontal="right" vertical="center"/>
      <protection locked="0"/>
    </xf>
    <xf numFmtId="1" fontId="6" fillId="0" borderId="31" xfId="4" applyNumberFormat="1" applyBorder="1" applyAlignment="1" applyProtection="1">
      <alignment horizontal="center" vertical="center"/>
      <protection locked="0"/>
    </xf>
    <xf numFmtId="1" fontId="6" fillId="0" borderId="10" xfId="4" applyNumberFormat="1" applyBorder="1" applyAlignment="1" applyProtection="1">
      <alignment horizontal="center" vertical="center"/>
      <protection locked="0"/>
    </xf>
    <xf numFmtId="1" fontId="6" fillId="0" borderId="33" xfId="4" applyNumberFormat="1" applyBorder="1" applyAlignment="1" applyProtection="1">
      <alignment horizontal="center" vertical="center"/>
      <protection locked="0"/>
    </xf>
    <xf numFmtId="1" fontId="6" fillId="0" borderId="4" xfId="4" applyNumberFormat="1" applyBorder="1" applyAlignment="1" applyProtection="1">
      <alignment horizontal="center" vertical="center"/>
      <protection locked="0"/>
    </xf>
    <xf numFmtId="0" fontId="6" fillId="0" borderId="32" xfId="4" applyBorder="1" applyAlignment="1" applyProtection="1">
      <alignment horizontal="left" vertical="center"/>
      <protection locked="0"/>
    </xf>
    <xf numFmtId="0" fontId="6" fillId="0" borderId="8" xfId="4" applyBorder="1" applyAlignment="1" applyProtection="1">
      <alignment horizontal="left" vertical="center"/>
      <protection locked="0"/>
    </xf>
    <xf numFmtId="1" fontId="6" fillId="0" borderId="9" xfId="4" applyNumberFormat="1" applyBorder="1" applyAlignment="1" applyProtection="1">
      <alignment horizontal="right" vertical="center"/>
      <protection locked="0"/>
    </xf>
    <xf numFmtId="1" fontId="6" fillId="0" borderId="32" xfId="4" applyNumberFormat="1" applyBorder="1" applyAlignment="1" applyProtection="1">
      <alignment horizontal="center" vertical="center"/>
      <protection locked="0"/>
    </xf>
    <xf numFmtId="1" fontId="6" fillId="0" borderId="8" xfId="4" applyNumberFormat="1" applyBorder="1" applyAlignment="1" applyProtection="1">
      <alignment horizontal="center" vertical="center"/>
      <protection locked="0"/>
    </xf>
    <xf numFmtId="2" fontId="6" fillId="0" borderId="7" xfId="4" quotePrefix="1" applyNumberFormat="1" applyBorder="1" applyAlignment="1" applyProtection="1">
      <alignment horizontal="center" vertical="center"/>
      <protection locked="0"/>
    </xf>
    <xf numFmtId="0" fontId="6" fillId="0" borderId="35" xfId="4" applyBorder="1" applyAlignment="1" applyProtection="1">
      <alignment horizontal="left" vertical="center"/>
      <protection locked="0"/>
    </xf>
    <xf numFmtId="0" fontId="6" fillId="0" borderId="0" xfId="4" applyAlignment="1" applyProtection="1">
      <alignment horizontal="left" vertical="center"/>
      <protection locked="0"/>
    </xf>
    <xf numFmtId="0" fontId="6" fillId="0" borderId="36" xfId="4" applyBorder="1" applyAlignment="1" applyProtection="1">
      <alignment horizontal="left" vertical="center"/>
      <protection locked="0"/>
    </xf>
    <xf numFmtId="0" fontId="31" fillId="7" borderId="37" xfId="4" applyFont="1" applyFill="1" applyBorder="1" applyAlignment="1" applyProtection="1">
      <alignment horizontal="center" vertical="center" wrapText="1"/>
      <protection locked="0"/>
    </xf>
    <xf numFmtId="0" fontId="31" fillId="7" borderId="67" xfId="4" applyFont="1" applyFill="1" applyBorder="1" applyAlignment="1" applyProtection="1">
      <alignment horizontal="center" vertical="center" wrapText="1"/>
      <protection locked="0"/>
    </xf>
    <xf numFmtId="0" fontId="31" fillId="7" borderId="7" xfId="4" applyFont="1" applyFill="1" applyBorder="1" applyAlignment="1" applyProtection="1">
      <alignment horizontal="center" vertical="center" wrapText="1"/>
      <protection locked="0"/>
    </xf>
    <xf numFmtId="0" fontId="3" fillId="7" borderId="7" xfId="4" applyFont="1" applyFill="1" applyBorder="1" applyAlignment="1" applyProtection="1">
      <alignment horizontal="center" vertical="center"/>
      <protection locked="0"/>
    </xf>
    <xf numFmtId="0" fontId="5" fillId="0" borderId="0" xfId="4" applyFont="1" applyAlignment="1" applyProtection="1">
      <alignment horizontal="center" vertical="center" wrapText="1"/>
      <protection locked="0"/>
    </xf>
    <xf numFmtId="0" fontId="3" fillId="7" borderId="31" xfId="4" applyFont="1" applyFill="1" applyBorder="1" applyAlignment="1" applyProtection="1">
      <alignment horizontal="center" vertical="center"/>
      <protection locked="0"/>
    </xf>
    <xf numFmtId="0" fontId="3" fillId="7" borderId="35" xfId="4" applyFont="1" applyFill="1" applyBorder="1" applyAlignment="1" applyProtection="1">
      <alignment horizontal="center" vertical="center"/>
      <protection locked="0"/>
    </xf>
    <xf numFmtId="0" fontId="3" fillId="7" borderId="10" xfId="4" applyFont="1" applyFill="1" applyBorder="1" applyAlignment="1" applyProtection="1">
      <alignment horizontal="center" vertical="center"/>
      <protection locked="0"/>
    </xf>
    <xf numFmtId="0" fontId="3" fillId="7" borderId="33" xfId="4" applyFont="1" applyFill="1" applyBorder="1" applyAlignment="1" applyProtection="1">
      <alignment horizontal="center" vertical="center"/>
      <protection locked="0"/>
    </xf>
    <xf numFmtId="0" fontId="3" fillId="7" borderId="36" xfId="4" applyFont="1" applyFill="1" applyBorder="1" applyAlignment="1" applyProtection="1">
      <alignment horizontal="center" vertical="center"/>
      <protection locked="0"/>
    </xf>
    <xf numFmtId="0" fontId="3" fillId="7" borderId="4" xfId="4" applyFont="1" applyFill="1" applyBorder="1" applyAlignment="1" applyProtection="1">
      <alignment horizontal="center" vertical="center"/>
      <protection locked="0"/>
    </xf>
    <xf numFmtId="0" fontId="3" fillId="7" borderId="7" xfId="4" applyFont="1" applyFill="1" applyBorder="1" applyAlignment="1" applyProtection="1">
      <alignment horizontal="center" vertical="center" wrapText="1"/>
      <protection locked="0"/>
    </xf>
    <xf numFmtId="0" fontId="3" fillId="7" borderId="11" xfId="4" applyFont="1" applyFill="1" applyBorder="1" applyAlignment="1" applyProtection="1">
      <alignment horizontal="center" vertical="center" wrapText="1"/>
      <protection locked="0"/>
    </xf>
    <xf numFmtId="0" fontId="6" fillId="0" borderId="7" xfId="4" applyBorder="1" applyAlignment="1" applyProtection="1">
      <alignment horizontal="left" vertical="center"/>
      <protection locked="0"/>
    </xf>
    <xf numFmtId="0" fontId="6" fillId="0" borderId="62" xfId="4" applyBorder="1" applyAlignment="1" applyProtection="1">
      <alignment horizontal="left" vertical="center"/>
      <protection locked="0"/>
    </xf>
    <xf numFmtId="0" fontId="6" fillId="0" borderId="65" xfId="4" applyBorder="1" applyAlignment="1" applyProtection="1">
      <alignment horizontal="left" vertical="center"/>
      <protection locked="0"/>
    </xf>
    <xf numFmtId="0" fontId="6" fillId="0" borderId="34" xfId="4" applyBorder="1" applyAlignment="1" applyProtection="1">
      <alignment horizontal="left"/>
      <protection locked="0"/>
    </xf>
    <xf numFmtId="0" fontId="6" fillId="0" borderId="6" xfId="4" applyBorder="1" applyAlignment="1" applyProtection="1">
      <alignment horizontal="left"/>
      <protection locked="0"/>
    </xf>
    <xf numFmtId="0" fontId="6" fillId="0" borderId="44" xfId="4" applyBorder="1" applyAlignment="1" applyProtection="1">
      <alignment horizontal="center" vertical="center"/>
      <protection locked="0"/>
    </xf>
    <xf numFmtId="0" fontId="6" fillId="0" borderId="45" xfId="4" applyBorder="1" applyAlignment="1" applyProtection="1">
      <alignment horizontal="center" vertical="center"/>
      <protection locked="0"/>
    </xf>
    <xf numFmtId="0" fontId="3" fillId="0" borderId="46" xfId="4" applyFont="1" applyBorder="1" applyAlignment="1" applyProtection="1">
      <alignment horizontal="center" vertical="center"/>
      <protection locked="0"/>
    </xf>
    <xf numFmtId="0" fontId="6" fillId="0" borderId="52" xfId="4" applyBorder="1" applyAlignment="1" applyProtection="1">
      <alignment horizontal="center" vertical="center"/>
      <protection locked="0"/>
    </xf>
    <xf numFmtId="0" fontId="6" fillId="0" borderId="55" xfId="4" applyBorder="1" applyAlignment="1" applyProtection="1">
      <alignment horizontal="center" vertical="center"/>
      <protection locked="0"/>
    </xf>
    <xf numFmtId="0" fontId="6" fillId="0" borderId="60" xfId="4" applyBorder="1" applyAlignment="1" applyProtection="1">
      <alignment horizontal="left" vertical="center"/>
      <protection locked="0"/>
    </xf>
    <xf numFmtId="0" fontId="6" fillId="0" borderId="61" xfId="4" applyBorder="1" applyAlignment="1" applyProtection="1">
      <alignment horizontal="left" vertical="center"/>
      <protection locked="0"/>
    </xf>
    <xf numFmtId="0" fontId="6" fillId="0" borderId="2" xfId="4" applyBorder="1" applyAlignment="1" applyProtection="1">
      <alignment horizontal="left" vertical="center"/>
      <protection locked="0"/>
    </xf>
    <xf numFmtId="0" fontId="6" fillId="0" borderId="34" xfId="4" applyBorder="1" applyAlignment="1" applyProtection="1">
      <alignment horizontal="left" vertical="center" wrapText="1"/>
      <protection locked="0"/>
    </xf>
    <xf numFmtId="0" fontId="6" fillId="0" borderId="26" xfId="4" applyBorder="1" applyAlignment="1" applyProtection="1">
      <alignment horizontal="left" vertical="center" wrapText="1"/>
      <protection locked="0"/>
    </xf>
    <xf numFmtId="0" fontId="6" fillId="0" borderId="6" xfId="4" applyBorder="1" applyAlignment="1" applyProtection="1">
      <alignment horizontal="left" vertical="center" wrapText="1"/>
      <protection locked="0"/>
    </xf>
    <xf numFmtId="0" fontId="6" fillId="0" borderId="54" xfId="4" applyBorder="1" applyAlignment="1" applyProtection="1">
      <alignment horizontal="center" vertical="center"/>
      <protection locked="0"/>
    </xf>
    <xf numFmtId="0" fontId="6" fillId="0" borderId="56" xfId="4" applyBorder="1" applyAlignment="1" applyProtection="1">
      <alignment horizontal="center" vertical="center"/>
      <protection locked="0"/>
    </xf>
    <xf numFmtId="0" fontId="6" fillId="0" borderId="57" xfId="4" applyBorder="1" applyAlignment="1" applyProtection="1">
      <alignment horizontal="left" vertical="center"/>
      <protection locked="0"/>
    </xf>
    <xf numFmtId="0" fontId="6" fillId="0" borderId="19" xfId="4" applyBorder="1" applyAlignment="1" applyProtection="1">
      <alignment horizontal="left" vertical="center"/>
      <protection locked="0"/>
    </xf>
    <xf numFmtId="0" fontId="6" fillId="0" borderId="58" xfId="4" applyBorder="1" applyAlignment="1" applyProtection="1">
      <alignment horizontal="left" vertical="center"/>
      <protection locked="0"/>
    </xf>
    <xf numFmtId="0" fontId="6" fillId="0" borderId="59" xfId="4" applyBorder="1" applyAlignment="1" applyProtection="1">
      <alignment horizontal="center" vertical="center"/>
      <protection locked="0"/>
    </xf>
    <xf numFmtId="0" fontId="6" fillId="0" borderId="50" xfId="4" applyBorder="1" applyAlignment="1" applyProtection="1">
      <alignment horizontal="center" vertical="center"/>
      <protection locked="0"/>
    </xf>
    <xf numFmtId="0" fontId="6" fillId="0" borderId="26" xfId="4" applyBorder="1" applyAlignment="1" applyProtection="1">
      <alignment horizontal="left"/>
      <protection locked="0"/>
    </xf>
    <xf numFmtId="0" fontId="6" fillId="0" borderId="31" xfId="4" applyBorder="1" applyAlignment="1" applyProtection="1">
      <alignment horizontal="left"/>
      <protection locked="0"/>
    </xf>
    <xf numFmtId="0" fontId="6" fillId="0" borderId="35" xfId="4" applyBorder="1" applyAlignment="1" applyProtection="1">
      <alignment horizontal="left"/>
      <protection locked="0"/>
    </xf>
    <xf numFmtId="0" fontId="6" fillId="0" borderId="10" xfId="4" applyBorder="1" applyAlignment="1" applyProtection="1">
      <alignment horizontal="left"/>
      <protection locked="0"/>
    </xf>
    <xf numFmtId="0" fontId="3" fillId="0" borderId="51"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53" xfId="4" applyFont="1" applyBorder="1" applyAlignment="1" applyProtection="1">
      <alignment horizontal="center" vertical="center"/>
      <protection locked="0"/>
    </xf>
    <xf numFmtId="0" fontId="3" fillId="0" borderId="55" xfId="4" applyFont="1" applyBorder="1" applyAlignment="1" applyProtection="1">
      <alignment horizontal="center" vertical="center"/>
      <protection locked="0"/>
    </xf>
    <xf numFmtId="0" fontId="6" fillId="0" borderId="47" xfId="4" applyBorder="1" applyAlignment="1" applyProtection="1">
      <alignment horizontal="center" vertical="center"/>
      <protection locked="0"/>
    </xf>
    <xf numFmtId="0" fontId="6" fillId="0" borderId="3" xfId="4" applyBorder="1" applyAlignment="1" applyProtection="1">
      <alignment horizontal="left" vertical="center"/>
      <protection locked="0"/>
    </xf>
    <xf numFmtId="0" fontId="6" fillId="0" borderId="48" xfId="4" applyBorder="1" applyAlignment="1" applyProtection="1">
      <alignment horizontal="left" vertical="center"/>
      <protection locked="0"/>
    </xf>
    <xf numFmtId="0" fontId="6" fillId="0" borderId="49" xfId="4" applyBorder="1" applyAlignment="1" applyProtection="1">
      <alignment horizontal="left" vertical="center"/>
      <protection locked="0"/>
    </xf>
    <xf numFmtId="0" fontId="6" fillId="0" borderId="7" xfId="4" applyBorder="1" applyAlignment="1" applyProtection="1">
      <alignment horizontal="center" vertical="center"/>
      <protection locked="0"/>
    </xf>
    <xf numFmtId="0" fontId="6" fillId="0" borderId="7" xfId="4" applyBorder="1" applyAlignment="1" applyProtection="1">
      <alignment horizontal="left"/>
      <protection locked="0"/>
    </xf>
    <xf numFmtId="0" fontId="3" fillId="7" borderId="11" xfId="4" applyFont="1" applyFill="1" applyBorder="1" applyAlignment="1" applyProtection="1">
      <alignment horizontal="center" vertical="center"/>
      <protection locked="0"/>
    </xf>
    <xf numFmtId="0" fontId="3" fillId="0" borderId="40" xfId="4" applyFont="1" applyBorder="1" applyAlignment="1" applyProtection="1">
      <alignment horizontal="center" vertical="center"/>
      <protection locked="0"/>
    </xf>
    <xf numFmtId="0" fontId="3" fillId="0" borderId="42" xfId="4" applyFont="1" applyBorder="1" applyAlignment="1" applyProtection="1">
      <alignment horizontal="center" vertical="center"/>
      <protection locked="0"/>
    </xf>
    <xf numFmtId="0" fontId="6" fillId="0" borderId="3" xfId="4" applyBorder="1" applyAlignment="1" applyProtection="1">
      <alignment horizontal="center" vertical="center"/>
      <protection locked="0"/>
    </xf>
    <xf numFmtId="0" fontId="6" fillId="0" borderId="3" xfId="4" applyBorder="1" applyAlignment="1" applyProtection="1">
      <alignment horizontal="left"/>
      <protection locked="0"/>
    </xf>
    <xf numFmtId="0" fontId="5" fillId="0" borderId="0" xfId="4" applyFont="1" applyAlignment="1" applyProtection="1">
      <alignment horizontal="center" vertical="center"/>
      <protection locked="0"/>
    </xf>
    <xf numFmtId="0" fontId="3" fillId="7" borderId="34" xfId="4" applyFont="1" applyFill="1" applyBorder="1" applyAlignment="1" applyProtection="1">
      <alignment horizontal="center" vertical="center"/>
      <protection locked="0"/>
    </xf>
    <xf numFmtId="0" fontId="3" fillId="6" borderId="40" xfId="4" applyFont="1" applyFill="1" applyBorder="1" applyAlignment="1" applyProtection="1">
      <alignment vertical="center"/>
      <protection locked="0"/>
    </xf>
    <xf numFmtId="0" fontId="3" fillId="6" borderId="72" xfId="4" applyFont="1" applyFill="1" applyBorder="1" applyAlignment="1" applyProtection="1">
      <alignment vertical="center"/>
      <protection locked="0"/>
    </xf>
    <xf numFmtId="0" fontId="3" fillId="6" borderId="48" xfId="4" applyFont="1" applyFill="1" applyBorder="1" applyAlignment="1" applyProtection="1">
      <alignment vertical="center"/>
      <protection locked="0"/>
    </xf>
    <xf numFmtId="0" fontId="3" fillId="6" borderId="59" xfId="4" applyFont="1" applyFill="1" applyBorder="1" applyAlignment="1" applyProtection="1">
      <alignment vertical="center"/>
      <protection locked="0"/>
    </xf>
    <xf numFmtId="0" fontId="16" fillId="0" borderId="69" xfId="4" applyFont="1" applyBorder="1" applyAlignment="1" applyProtection="1">
      <alignment horizontal="center" vertical="center"/>
      <protection locked="0"/>
    </xf>
    <xf numFmtId="0" fontId="16" fillId="0" borderId="70" xfId="4" applyFont="1" applyBorder="1" applyAlignment="1" applyProtection="1">
      <alignment horizontal="center" vertical="center"/>
      <protection locked="0"/>
    </xf>
    <xf numFmtId="0" fontId="16" fillId="0" borderId="69" xfId="4" applyFont="1" applyBorder="1" applyAlignment="1" applyProtection="1">
      <alignment horizontal="center" wrapText="1"/>
      <protection locked="0"/>
    </xf>
    <xf numFmtId="0" fontId="16" fillId="0" borderId="25" xfId="4" applyFont="1" applyBorder="1" applyAlignment="1" applyProtection="1">
      <alignment horizontal="center" wrapText="1"/>
      <protection locked="0"/>
    </xf>
    <xf numFmtId="0" fontId="3" fillId="6" borderId="50" xfId="4" applyFont="1" applyFill="1" applyBorder="1" applyAlignment="1" applyProtection="1">
      <alignment vertical="center"/>
      <protection locked="0"/>
    </xf>
    <xf numFmtId="0" fontId="16" fillId="0" borderId="15" xfId="4" applyFont="1" applyBorder="1" applyAlignment="1" applyProtection="1">
      <alignment horizontal="center" vertical="center"/>
      <protection locked="0"/>
    </xf>
    <xf numFmtId="0" fontId="16" fillId="0" borderId="16" xfId="4" applyFont="1" applyBorder="1" applyAlignment="1" applyProtection="1">
      <alignment horizontal="center" vertical="center"/>
      <protection locked="0"/>
    </xf>
    <xf numFmtId="0" fontId="16" fillId="0" borderId="17" xfId="4" applyFont="1" applyBorder="1" applyAlignment="1" applyProtection="1">
      <alignment horizontal="center" vertical="center"/>
      <protection locked="0"/>
    </xf>
    <xf numFmtId="0" fontId="16" fillId="0" borderId="15" xfId="4" applyFont="1" applyBorder="1" applyAlignment="1" applyProtection="1">
      <alignment horizontal="center" wrapText="1"/>
      <protection locked="0"/>
    </xf>
    <xf numFmtId="0" fontId="16" fillId="0" borderId="17" xfId="4" applyFont="1" applyBorder="1" applyAlignment="1" applyProtection="1">
      <alignment horizontal="center" wrapText="1"/>
      <protection locked="0"/>
    </xf>
    <xf numFmtId="0" fontId="5" fillId="0" borderId="0" xfId="4" applyFont="1" applyAlignment="1" applyProtection="1">
      <alignment horizontal="center"/>
      <protection locked="0"/>
    </xf>
  </cellXfs>
  <cellStyles count="11">
    <cellStyle name="Comma" xfId="1" builtinId="3"/>
    <cellStyle name="Comma 5" xfId="9" xr:uid="{C2EF4D94-EAE7-44F6-9FBA-D85BA69016C0}"/>
    <cellStyle name="Currency" xfId="2" builtinId="4"/>
    <cellStyle name="Currency 4" xfId="8" xr:uid="{81BE42A4-4DBA-4302-9150-8C79C11EA152}"/>
    <cellStyle name="Currency 6" xfId="6" xr:uid="{90410A9B-3CEB-4705-8DA9-C045A3695D75}"/>
    <cellStyle name="Hyperlink" xfId="7" builtinId="8"/>
    <cellStyle name="Normal" xfId="0" builtinId="0"/>
    <cellStyle name="Normal 12" xfId="5" xr:uid="{AFE8FA68-C083-4F29-845E-D641235CF570}"/>
    <cellStyle name="Normal 2" xfId="4" xr:uid="{0BE76BFC-DBDC-45DA-89B2-92B4AD94CFFC}"/>
    <cellStyle name="Percent" xfId="3" builtinId="5"/>
    <cellStyle name="Percent 5" xfId="10" xr:uid="{A6B6ACD0-F80F-4187-95BA-7A2E5AA386EE}"/>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476250</xdr:colOff>
          <xdr:row>0</xdr:row>
          <xdr:rowOff>0</xdr:rowOff>
        </xdr:from>
        <xdr:to>
          <xdr:col>7</xdr:col>
          <xdr:colOff>533400</xdr:colOff>
          <xdr:row>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2352675</xdr:colOff>
          <xdr:row>0</xdr:row>
          <xdr:rowOff>0</xdr:rowOff>
        </xdr:from>
        <xdr:to>
          <xdr:col>8</xdr:col>
          <xdr:colOff>19050</xdr:colOff>
          <xdr:row>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0</xdr:row>
          <xdr:rowOff>0</xdr:rowOff>
        </xdr:from>
        <xdr:to>
          <xdr:col>7</xdr:col>
          <xdr:colOff>533400</xdr:colOff>
          <xdr:row>0</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233</xdr:row>
          <xdr:rowOff>0</xdr:rowOff>
        </xdr:from>
        <xdr:to>
          <xdr:col>1</xdr:col>
          <xdr:colOff>533400</xdr:colOff>
          <xdr:row>233</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233</xdr:row>
          <xdr:rowOff>0</xdr:rowOff>
        </xdr:from>
        <xdr:to>
          <xdr:col>1</xdr:col>
          <xdr:colOff>533400</xdr:colOff>
          <xdr:row>233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285</xdr:row>
          <xdr:rowOff>0</xdr:rowOff>
        </xdr:from>
        <xdr:to>
          <xdr:col>1</xdr:col>
          <xdr:colOff>533400</xdr:colOff>
          <xdr:row>285</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285</xdr:row>
          <xdr:rowOff>0</xdr:rowOff>
        </xdr:from>
        <xdr:to>
          <xdr:col>1</xdr:col>
          <xdr:colOff>533400</xdr:colOff>
          <xdr:row>285</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337</xdr:row>
          <xdr:rowOff>0</xdr:rowOff>
        </xdr:from>
        <xdr:to>
          <xdr:col>1</xdr:col>
          <xdr:colOff>533400</xdr:colOff>
          <xdr:row>337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337</xdr:row>
          <xdr:rowOff>0</xdr:rowOff>
        </xdr:from>
        <xdr:to>
          <xdr:col>1</xdr:col>
          <xdr:colOff>533400</xdr:colOff>
          <xdr:row>337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5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389</xdr:row>
          <xdr:rowOff>0</xdr:rowOff>
        </xdr:from>
        <xdr:to>
          <xdr:col>1</xdr:col>
          <xdr:colOff>533400</xdr:colOff>
          <xdr:row>389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5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389</xdr:row>
          <xdr:rowOff>0</xdr:rowOff>
        </xdr:from>
        <xdr:to>
          <xdr:col>1</xdr:col>
          <xdr:colOff>533400</xdr:colOff>
          <xdr:row>389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5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442</xdr:row>
          <xdr:rowOff>0</xdr:rowOff>
        </xdr:from>
        <xdr:to>
          <xdr:col>1</xdr:col>
          <xdr:colOff>533400</xdr:colOff>
          <xdr:row>442</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5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442</xdr:row>
          <xdr:rowOff>0</xdr:rowOff>
        </xdr:from>
        <xdr:to>
          <xdr:col>1</xdr:col>
          <xdr:colOff>533400</xdr:colOff>
          <xdr:row>442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5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495</xdr:row>
          <xdr:rowOff>0</xdr:rowOff>
        </xdr:from>
        <xdr:to>
          <xdr:col>1</xdr:col>
          <xdr:colOff>533400</xdr:colOff>
          <xdr:row>495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5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495</xdr:row>
          <xdr:rowOff>0</xdr:rowOff>
        </xdr:from>
        <xdr:to>
          <xdr:col>1</xdr:col>
          <xdr:colOff>533400</xdr:colOff>
          <xdr:row>495</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548</xdr:row>
          <xdr:rowOff>0</xdr:rowOff>
        </xdr:from>
        <xdr:to>
          <xdr:col>1</xdr:col>
          <xdr:colOff>533400</xdr:colOff>
          <xdr:row>548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548</xdr:row>
          <xdr:rowOff>0</xdr:rowOff>
        </xdr:from>
        <xdr:to>
          <xdr:col>1</xdr:col>
          <xdr:colOff>533400</xdr:colOff>
          <xdr:row>548</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5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601</xdr:row>
          <xdr:rowOff>0</xdr:rowOff>
        </xdr:from>
        <xdr:to>
          <xdr:col>1</xdr:col>
          <xdr:colOff>533400</xdr:colOff>
          <xdr:row>601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5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601</xdr:row>
          <xdr:rowOff>0</xdr:rowOff>
        </xdr:from>
        <xdr:to>
          <xdr:col>1</xdr:col>
          <xdr:colOff>533400</xdr:colOff>
          <xdr:row>601</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5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5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5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5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5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5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5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5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5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5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5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5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652</xdr:row>
          <xdr:rowOff>0</xdr:rowOff>
        </xdr:from>
        <xdr:to>
          <xdr:col>1</xdr:col>
          <xdr:colOff>533400</xdr:colOff>
          <xdr:row>652</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5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181</xdr:row>
          <xdr:rowOff>0</xdr:rowOff>
        </xdr:from>
        <xdr:to>
          <xdr:col>1</xdr:col>
          <xdr:colOff>533400</xdr:colOff>
          <xdr:row>181</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5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181</xdr:row>
          <xdr:rowOff>0</xdr:rowOff>
        </xdr:from>
        <xdr:to>
          <xdr:col>1</xdr:col>
          <xdr:colOff>533400</xdr:colOff>
          <xdr:row>181</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5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75</xdr:row>
          <xdr:rowOff>0</xdr:rowOff>
        </xdr:from>
        <xdr:to>
          <xdr:col>1</xdr:col>
          <xdr:colOff>533400</xdr:colOff>
          <xdr:row>76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5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75</xdr:row>
          <xdr:rowOff>0</xdr:rowOff>
        </xdr:from>
        <xdr:to>
          <xdr:col>1</xdr:col>
          <xdr:colOff>533400</xdr:colOff>
          <xdr:row>76</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128</xdr:row>
          <xdr:rowOff>0</xdr:rowOff>
        </xdr:from>
        <xdr:to>
          <xdr:col>1</xdr:col>
          <xdr:colOff>533400</xdr:colOff>
          <xdr:row>128</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5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128</xdr:row>
          <xdr:rowOff>0</xdr:rowOff>
        </xdr:from>
        <xdr:to>
          <xdr:col>1</xdr:col>
          <xdr:colOff>533400</xdr:colOff>
          <xdr:row>128</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5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xdr:row>
          <xdr:rowOff>0</xdr:rowOff>
        </xdr:from>
        <xdr:to>
          <xdr:col>1</xdr:col>
          <xdr:colOff>533400</xdr:colOff>
          <xdr:row>24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5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23</xdr:row>
          <xdr:rowOff>0</xdr:rowOff>
        </xdr:from>
        <xdr:to>
          <xdr:col>1</xdr:col>
          <xdr:colOff>533400</xdr:colOff>
          <xdr:row>24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5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22</xdr:row>
          <xdr:rowOff>0</xdr:rowOff>
        </xdr:from>
        <xdr:to>
          <xdr:col>1</xdr:col>
          <xdr:colOff>533400</xdr:colOff>
          <xdr:row>23</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5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22</xdr:row>
          <xdr:rowOff>0</xdr:rowOff>
        </xdr:from>
        <xdr:to>
          <xdr:col>1</xdr:col>
          <xdr:colOff>533400</xdr:colOff>
          <xdr:row>23</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5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8" Type="http://schemas.openxmlformats.org/officeDocument/2006/relationships/ctrlProp" Target="../ctrlProps/ctrlProp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20" Type="http://schemas.openxmlformats.org/officeDocument/2006/relationships/ctrlProp" Target="../ctrlProps/ctrlProp18.xml"/><Relationship Id="rId41"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DAC29-FF7E-479A-8945-758721A37093}">
  <dimension ref="A1:R65"/>
  <sheetViews>
    <sheetView tabSelected="1" zoomScale="85" zoomScaleNormal="85" workbookViewId="0">
      <selection activeCell="B54" sqref="B54"/>
    </sheetView>
  </sheetViews>
  <sheetFormatPr defaultColWidth="9.42578125" defaultRowHeight="15" x14ac:dyDescent="0.25"/>
  <cols>
    <col min="1" max="1" width="38.42578125" style="1" customWidth="1"/>
    <col min="2" max="2" width="32.42578125" style="1" customWidth="1"/>
    <col min="3" max="6" width="12.28515625" style="1" customWidth="1"/>
    <col min="7" max="20" width="13.5703125" style="1" customWidth="1"/>
    <col min="21" max="16384" width="9.42578125" style="1"/>
  </cols>
  <sheetData>
    <row r="1" spans="1:18" x14ac:dyDescent="0.25">
      <c r="L1" s="2" t="s">
        <v>0</v>
      </c>
      <c r="M1" s="3" t="s">
        <v>1</v>
      </c>
    </row>
    <row r="2" spans="1:18" x14ac:dyDescent="0.25">
      <c r="L2" s="2" t="s">
        <v>2</v>
      </c>
      <c r="M2" s="4" t="s">
        <v>3</v>
      </c>
    </row>
    <row r="3" spans="1:18" x14ac:dyDescent="0.25">
      <c r="L3" s="2" t="s">
        <v>4</v>
      </c>
      <c r="M3" s="4">
        <v>1</v>
      </c>
    </row>
    <row r="4" spans="1:18" x14ac:dyDescent="0.25">
      <c r="L4" s="2" t="s">
        <v>5</v>
      </c>
      <c r="M4" s="4">
        <v>1</v>
      </c>
    </row>
    <row r="5" spans="1:18" x14ac:dyDescent="0.25">
      <c r="L5" s="2" t="s">
        <v>6</v>
      </c>
      <c r="M5" s="5"/>
    </row>
    <row r="6" spans="1:18" x14ac:dyDescent="0.25">
      <c r="L6" s="2"/>
      <c r="M6" s="6"/>
    </row>
    <row r="7" spans="1:18" x14ac:dyDescent="0.25">
      <c r="L7" s="2" t="s">
        <v>7</v>
      </c>
      <c r="M7" s="5">
        <v>46010</v>
      </c>
    </row>
    <row r="8" spans="1:18" x14ac:dyDescent="0.25">
      <c r="L8" s="7"/>
      <c r="M8" s="7"/>
    </row>
    <row r="9" spans="1:18" ht="18" x14ac:dyDescent="0.25">
      <c r="A9" s="315" t="s">
        <v>8</v>
      </c>
      <c r="B9" s="315"/>
      <c r="C9" s="315"/>
      <c r="D9" s="315"/>
      <c r="E9" s="315"/>
      <c r="F9" s="315"/>
      <c r="G9" s="315"/>
      <c r="H9" s="315"/>
      <c r="I9" s="315"/>
      <c r="J9" s="315"/>
      <c r="K9" s="315"/>
      <c r="L9" s="315"/>
      <c r="M9" s="315"/>
      <c r="N9" s="315"/>
      <c r="O9" s="315"/>
      <c r="P9" s="315"/>
      <c r="Q9" s="315"/>
      <c r="R9" s="8"/>
    </row>
    <row r="10" spans="1:18" ht="18" x14ac:dyDescent="0.25">
      <c r="A10" s="315" t="s">
        <v>9</v>
      </c>
      <c r="B10" s="315"/>
      <c r="C10" s="315"/>
      <c r="D10" s="315"/>
      <c r="E10" s="315"/>
      <c r="F10" s="315"/>
      <c r="G10" s="315"/>
      <c r="H10" s="315"/>
      <c r="I10" s="315"/>
      <c r="J10" s="315"/>
      <c r="K10" s="315"/>
      <c r="L10" s="315"/>
      <c r="M10" s="315"/>
      <c r="N10" s="315"/>
      <c r="O10" s="315"/>
      <c r="P10" s="315"/>
      <c r="Q10" s="315"/>
      <c r="R10" s="8"/>
    </row>
    <row r="12" spans="1:18" ht="15.75" thickBot="1" x14ac:dyDescent="0.3">
      <c r="A12" s="9"/>
      <c r="B12" s="9"/>
      <c r="C12" s="9"/>
      <c r="D12" s="9"/>
      <c r="E12" s="9"/>
      <c r="F12" s="9"/>
      <c r="G12" s="9"/>
      <c r="H12" s="9"/>
      <c r="I12" s="9"/>
      <c r="J12" s="9"/>
      <c r="K12" s="9"/>
      <c r="L12" s="9"/>
      <c r="M12" s="9"/>
      <c r="N12" s="9"/>
      <c r="O12" s="9"/>
      <c r="P12" s="9"/>
      <c r="Q12" s="9"/>
    </row>
    <row r="13" spans="1:18" x14ac:dyDescent="0.25">
      <c r="A13" s="10" t="s">
        <v>10</v>
      </c>
      <c r="B13" s="11">
        <f t="shared" ref="B13:L13" si="0">C13-1</f>
        <v>2020</v>
      </c>
      <c r="C13" s="11">
        <f t="shared" si="0"/>
        <v>2021</v>
      </c>
      <c r="D13" s="11">
        <f t="shared" si="0"/>
        <v>2022</v>
      </c>
      <c r="E13" s="11">
        <f t="shared" si="0"/>
        <v>2023</v>
      </c>
      <c r="F13" s="11">
        <f t="shared" si="0"/>
        <v>2024</v>
      </c>
      <c r="G13" s="11">
        <f t="shared" si="0"/>
        <v>2025</v>
      </c>
      <c r="H13" s="11">
        <f t="shared" si="0"/>
        <v>2026</v>
      </c>
      <c r="I13" s="11">
        <f t="shared" si="0"/>
        <v>2027</v>
      </c>
      <c r="J13" s="11">
        <f t="shared" si="0"/>
        <v>2028</v>
      </c>
      <c r="K13" s="11">
        <f t="shared" si="0"/>
        <v>2029</v>
      </c>
      <c r="L13" s="11">
        <f t="shared" si="0"/>
        <v>2030</v>
      </c>
      <c r="M13" s="11">
        <v>2031</v>
      </c>
    </row>
    <row r="14" spans="1:18" x14ac:dyDescent="0.25">
      <c r="A14" s="12" t="s">
        <v>11</v>
      </c>
      <c r="B14" s="13" t="s">
        <v>12</v>
      </c>
      <c r="C14" s="13" t="s">
        <v>12</v>
      </c>
      <c r="D14" s="13" t="s">
        <v>12</v>
      </c>
      <c r="E14" s="13" t="s">
        <v>12</v>
      </c>
      <c r="F14" s="13" t="s">
        <v>12</v>
      </c>
      <c r="G14" s="13" t="s">
        <v>12</v>
      </c>
      <c r="H14" s="13" t="s">
        <v>12</v>
      </c>
      <c r="I14" s="13" t="s">
        <v>12</v>
      </c>
      <c r="J14" s="13" t="s">
        <v>12</v>
      </c>
      <c r="K14" s="13" t="s">
        <v>12</v>
      </c>
      <c r="L14" s="13" t="s">
        <v>12</v>
      </c>
      <c r="M14" s="13" t="s">
        <v>12</v>
      </c>
    </row>
    <row r="15" spans="1:18" x14ac:dyDescent="0.25">
      <c r="A15" s="14" t="s">
        <v>13</v>
      </c>
      <c r="B15" s="15"/>
      <c r="C15" s="15"/>
      <c r="D15" s="15"/>
      <c r="E15" s="15"/>
      <c r="F15" s="15"/>
      <c r="G15" s="15"/>
      <c r="H15" s="15"/>
      <c r="I15" s="15"/>
      <c r="J15" s="15"/>
      <c r="K15" s="15"/>
      <c r="L15" s="15"/>
      <c r="M15" s="15"/>
    </row>
    <row r="16" spans="1:18" x14ac:dyDescent="0.25">
      <c r="A16" s="14" t="s">
        <v>14</v>
      </c>
      <c r="B16" s="16">
        <v>6.5256159599999961</v>
      </c>
      <c r="C16" s="16">
        <v>11.847944780000002</v>
      </c>
      <c r="D16" s="16">
        <v>15.066358839999989</v>
      </c>
      <c r="E16" s="16">
        <v>35.354156569999986</v>
      </c>
      <c r="F16" s="16">
        <v>15.339425699999994</v>
      </c>
      <c r="G16" s="17">
        <v>9.44415615546</v>
      </c>
      <c r="H16" s="17">
        <v>6.6115055038800001</v>
      </c>
      <c r="I16" s="17">
        <v>7.6170533300000001</v>
      </c>
      <c r="J16" s="17">
        <v>8.6948937900000001</v>
      </c>
      <c r="K16" s="17">
        <v>8.8252366500000008</v>
      </c>
      <c r="L16" s="17">
        <v>9.027105220000001</v>
      </c>
      <c r="M16" s="17">
        <v>8.9134414900000003</v>
      </c>
    </row>
    <row r="17" spans="1:13" x14ac:dyDescent="0.25">
      <c r="A17" s="14" t="s">
        <v>15</v>
      </c>
      <c r="B17" s="18">
        <v>11.181821536999999</v>
      </c>
      <c r="C17" s="18">
        <v>17.101958199999995</v>
      </c>
      <c r="D17" s="18">
        <v>16.114536859999983</v>
      </c>
      <c r="E17" s="18">
        <v>16.521244439999997</v>
      </c>
      <c r="F17" s="18">
        <v>10.896089220000004</v>
      </c>
      <c r="G17" s="19">
        <v>15.480675000020002</v>
      </c>
      <c r="H17" s="19">
        <v>12.596013003680001</v>
      </c>
      <c r="I17" s="19">
        <v>16.785466710000001</v>
      </c>
      <c r="J17" s="19">
        <v>17.747592170000001</v>
      </c>
      <c r="K17" s="19">
        <v>18.681933079999997</v>
      </c>
      <c r="L17" s="19">
        <v>19.86727338</v>
      </c>
      <c r="M17" s="19">
        <v>20.345330239999999</v>
      </c>
    </row>
    <row r="18" spans="1:13" x14ac:dyDescent="0.25">
      <c r="A18" s="14" t="s">
        <v>16</v>
      </c>
      <c r="B18" s="20">
        <v>3.1444832600000003</v>
      </c>
      <c r="C18" s="20">
        <v>3.0104180599999997</v>
      </c>
      <c r="D18" s="20">
        <v>10.157932499999998</v>
      </c>
      <c r="E18" s="20">
        <v>5.0619307399999993</v>
      </c>
      <c r="F18" s="20">
        <v>16.323490169999999</v>
      </c>
      <c r="G18" s="21">
        <v>14.023730890040001</v>
      </c>
      <c r="H18" s="21">
        <v>24.899254947119999</v>
      </c>
      <c r="I18" s="21">
        <v>73.561394390000004</v>
      </c>
      <c r="J18" s="21">
        <v>37.241392700000006</v>
      </c>
      <c r="K18" s="21">
        <v>27.00484342</v>
      </c>
      <c r="L18" s="21">
        <v>32.226311299999999</v>
      </c>
      <c r="M18" s="21">
        <v>36.366328549999999</v>
      </c>
    </row>
    <row r="19" spans="1:13" x14ac:dyDescent="0.25">
      <c r="A19" s="14" t="s">
        <v>17</v>
      </c>
      <c r="B19" s="20">
        <v>1.2424311899999998</v>
      </c>
      <c r="C19" s="20">
        <v>1.1145878300000001</v>
      </c>
      <c r="D19" s="20">
        <v>0.84920535999999991</v>
      </c>
      <c r="E19" s="20">
        <v>1.7359747299999999</v>
      </c>
      <c r="F19" s="20">
        <v>2.17199279</v>
      </c>
      <c r="G19" s="21">
        <v>1.70366000008</v>
      </c>
      <c r="H19" s="21">
        <v>1.6097831073599997</v>
      </c>
      <c r="I19" s="21">
        <v>1.9294194299999998</v>
      </c>
      <c r="J19" s="21">
        <v>2.4079499699999998</v>
      </c>
      <c r="K19" s="21">
        <v>8.8718798200000002</v>
      </c>
      <c r="L19" s="21">
        <v>9.07481531</v>
      </c>
      <c r="M19" s="21">
        <v>8.9605508300000007</v>
      </c>
    </row>
    <row r="20" spans="1:13" x14ac:dyDescent="0.25">
      <c r="A20" s="14"/>
      <c r="B20" s="22"/>
      <c r="C20" s="22"/>
      <c r="D20" s="22"/>
      <c r="E20" s="22"/>
      <c r="F20" s="22"/>
      <c r="G20" s="21"/>
      <c r="H20" s="21"/>
      <c r="I20" s="21"/>
      <c r="J20" s="21"/>
      <c r="K20" s="21"/>
      <c r="L20" s="21"/>
      <c r="M20" s="21"/>
    </row>
    <row r="21" spans="1:13" s="2" customFormat="1" ht="12.75" x14ac:dyDescent="0.2">
      <c r="A21" s="23" t="s">
        <v>18</v>
      </c>
      <c r="B21" s="24">
        <f t="shared" ref="B21:M21" si="1">SUM(B16:B20)</f>
        <v>22.094351946999996</v>
      </c>
      <c r="C21" s="24">
        <f t="shared" si="1"/>
        <v>33.074908869999994</v>
      </c>
      <c r="D21" s="24">
        <f t="shared" si="1"/>
        <v>42.188033559999965</v>
      </c>
      <c r="E21" s="24">
        <f t="shared" si="1"/>
        <v>58.673306479999987</v>
      </c>
      <c r="F21" s="24">
        <f t="shared" si="1"/>
        <v>44.730997879999997</v>
      </c>
      <c r="G21" s="24">
        <f t="shared" si="1"/>
        <v>40.652222045599999</v>
      </c>
      <c r="H21" s="24">
        <f t="shared" si="1"/>
        <v>45.716556562040005</v>
      </c>
      <c r="I21" s="24">
        <f t="shared" si="1"/>
        <v>99.893333859999998</v>
      </c>
      <c r="J21" s="24">
        <f t="shared" si="1"/>
        <v>66.091828630000009</v>
      </c>
      <c r="K21" s="24">
        <f t="shared" si="1"/>
        <v>63.383892970000005</v>
      </c>
      <c r="L21" s="24">
        <f t="shared" si="1"/>
        <v>70.195505210000007</v>
      </c>
      <c r="M21" s="24">
        <f t="shared" si="1"/>
        <v>74.585651110000001</v>
      </c>
    </row>
    <row r="22" spans="1:13" x14ac:dyDescent="0.25">
      <c r="A22" s="23" t="s">
        <v>19</v>
      </c>
      <c r="B22" s="17">
        <v>15.078837689999993</v>
      </c>
      <c r="C22" s="17">
        <v>19.13523284</v>
      </c>
      <c r="D22" s="17">
        <v>22.441357030000002</v>
      </c>
      <c r="E22" s="17">
        <v>35.24706142000003</v>
      </c>
      <c r="F22" s="17">
        <v>22.928486550000006</v>
      </c>
      <c r="G22" s="17">
        <v>17.827410484400001</v>
      </c>
      <c r="H22" s="17">
        <v>21.565875283319997</v>
      </c>
      <c r="I22" s="17">
        <v>66.167355029999996</v>
      </c>
      <c r="J22" s="17">
        <v>40.269778289999998</v>
      </c>
      <c r="K22" s="17">
        <v>33.283954940000001</v>
      </c>
      <c r="L22" s="17">
        <v>37.865005889999999</v>
      </c>
      <c r="M22" s="17">
        <v>41.148531990000002</v>
      </c>
    </row>
    <row r="23" spans="1:13" s="2" customFormat="1" ht="12.75" x14ac:dyDescent="0.2">
      <c r="A23" s="23" t="s">
        <v>20</v>
      </c>
      <c r="B23" s="24">
        <f>B21-B22</f>
        <v>7.0155142570000031</v>
      </c>
      <c r="C23" s="24">
        <f t="shared" ref="B23:D23" si="2">C21-C22</f>
        <v>13.939676029999994</v>
      </c>
      <c r="D23" s="24">
        <f t="shared" si="2"/>
        <v>19.746676529999963</v>
      </c>
      <c r="E23" s="24">
        <f>E21-E22</f>
        <v>23.426245059999957</v>
      </c>
      <c r="F23" s="24">
        <f>F21-F22</f>
        <v>21.802511329999991</v>
      </c>
      <c r="G23" s="24">
        <f>G21-G22</f>
        <v>22.824811561199997</v>
      </c>
      <c r="H23" s="24">
        <f t="shared" ref="H23:M23" si="3">H21-H22</f>
        <v>24.150681278720008</v>
      </c>
      <c r="I23" s="24">
        <f t="shared" si="3"/>
        <v>33.725978830000003</v>
      </c>
      <c r="J23" s="24">
        <f t="shared" si="3"/>
        <v>25.822050340000011</v>
      </c>
      <c r="K23" s="24">
        <f t="shared" si="3"/>
        <v>30.099938030000004</v>
      </c>
      <c r="L23" s="24">
        <f t="shared" si="3"/>
        <v>32.330499320000008</v>
      </c>
      <c r="M23" s="24">
        <f t="shared" si="3"/>
        <v>33.437119119999998</v>
      </c>
    </row>
    <row r="24" spans="1:13" x14ac:dyDescent="0.25">
      <c r="A24" s="25" t="s">
        <v>21</v>
      </c>
      <c r="B24" s="26"/>
      <c r="C24" s="26"/>
      <c r="D24" s="26"/>
      <c r="E24" s="26"/>
      <c r="F24" s="26"/>
      <c r="G24" s="26"/>
      <c r="H24" s="26"/>
      <c r="I24" s="26"/>
      <c r="J24" s="26"/>
      <c r="K24" s="26"/>
      <c r="L24" s="26"/>
      <c r="M24" s="26"/>
    </row>
    <row r="25" spans="1:13" x14ac:dyDescent="0.25">
      <c r="A25" s="14" t="s">
        <v>22</v>
      </c>
      <c r="B25" s="16">
        <v>3.572949244783898</v>
      </c>
      <c r="C25" s="16">
        <v>2.0038976678220979</v>
      </c>
      <c r="D25" s="16">
        <v>4.6310471919314748</v>
      </c>
      <c r="E25" s="17">
        <v>3.995621544823071</v>
      </c>
      <c r="F25" s="17">
        <v>8.4630265499999968</v>
      </c>
      <c r="G25" s="17">
        <v>8.2218818100199993</v>
      </c>
      <c r="H25" s="17">
        <v>13.637364696559999</v>
      </c>
      <c r="I25" s="17">
        <v>19.58161595</v>
      </c>
      <c r="J25" s="17">
        <v>26.554336450000001</v>
      </c>
      <c r="K25" s="17">
        <v>20.984268049999997</v>
      </c>
      <c r="L25" s="17">
        <v>24.309607</v>
      </c>
      <c r="M25" s="17">
        <v>18.45390871</v>
      </c>
    </row>
    <row r="26" spans="1:13" x14ac:dyDescent="0.25">
      <c r="A26" s="14" t="s">
        <v>23</v>
      </c>
      <c r="B26" s="18">
        <v>4.2275198182863978</v>
      </c>
      <c r="C26" s="18">
        <v>6.903951562739862</v>
      </c>
      <c r="D26" s="18">
        <v>4.1535292962328034</v>
      </c>
      <c r="E26" s="19">
        <v>1.8052116003689846</v>
      </c>
      <c r="F26" s="19">
        <v>0.9315186900000002</v>
      </c>
      <c r="G26" s="19">
        <v>0.52642471000000002</v>
      </c>
      <c r="H26" s="19">
        <v>0</v>
      </c>
      <c r="I26" s="19">
        <v>0.71882568999999996</v>
      </c>
      <c r="J26" s="19">
        <v>9.6649154299999989</v>
      </c>
      <c r="K26" s="19">
        <v>16.654992780000001</v>
      </c>
      <c r="L26" s="19">
        <v>24.615934700000004</v>
      </c>
      <c r="M26" s="19">
        <v>32.49691876</v>
      </c>
    </row>
    <row r="27" spans="1:13" x14ac:dyDescent="0.25">
      <c r="A27" s="14" t="s">
        <v>24</v>
      </c>
      <c r="B27" s="20">
        <v>4.5709678440443691</v>
      </c>
      <c r="C27" s="20">
        <v>7.6714875211261333</v>
      </c>
      <c r="D27" s="20">
        <v>7.2345769940984574</v>
      </c>
      <c r="E27" s="21">
        <v>5.3734163081552273</v>
      </c>
      <c r="F27" s="21">
        <v>4.7834128599999994</v>
      </c>
      <c r="G27" s="21">
        <v>2.7796069300000004</v>
      </c>
      <c r="H27" s="21">
        <v>1.0078320008399999</v>
      </c>
      <c r="I27" s="21">
        <v>2.5796257900000001</v>
      </c>
      <c r="J27" s="21">
        <v>10.340597500000001</v>
      </c>
      <c r="K27" s="21">
        <v>13.254273850000002</v>
      </c>
      <c r="L27" s="21">
        <v>14.740624670000001</v>
      </c>
      <c r="M27" s="21">
        <v>14.80248634</v>
      </c>
    </row>
    <row r="28" spans="1:13" x14ac:dyDescent="0.25">
      <c r="A28" s="14" t="s">
        <v>25</v>
      </c>
      <c r="B28" s="20">
        <v>2.5953507162042357</v>
      </c>
      <c r="C28" s="20">
        <v>1.9167144795509725</v>
      </c>
      <c r="D28" s="20">
        <v>8.2539328173067013</v>
      </c>
      <c r="E28" s="21">
        <v>6.5074437566738332</v>
      </c>
      <c r="F28" s="21">
        <v>10.79319598</v>
      </c>
      <c r="G28" s="21">
        <v>9.7102661155400014</v>
      </c>
      <c r="H28" s="21">
        <v>7.5571467395200012</v>
      </c>
      <c r="I28" s="21">
        <v>8.4297039999999992</v>
      </c>
      <c r="J28" s="21">
        <v>7.0968780000000002</v>
      </c>
      <c r="K28" s="21">
        <v>5.13102298</v>
      </c>
      <c r="L28" s="21">
        <v>5.0982260000000004</v>
      </c>
      <c r="M28" s="21">
        <v>4.4716570000000004</v>
      </c>
    </row>
    <row r="29" spans="1:13" x14ac:dyDescent="0.25">
      <c r="A29" s="14"/>
      <c r="B29" s="22"/>
      <c r="C29" s="22"/>
      <c r="D29" s="22"/>
      <c r="E29" s="21"/>
      <c r="F29" s="21"/>
      <c r="G29" s="21"/>
      <c r="H29" s="21"/>
      <c r="I29" s="21"/>
      <c r="J29" s="21"/>
      <c r="K29" s="21"/>
      <c r="L29" s="21"/>
      <c r="M29" s="21"/>
    </row>
    <row r="30" spans="1:13" s="2" customFormat="1" ht="12.75" x14ac:dyDescent="0.2">
      <c r="A30" s="23" t="s">
        <v>26</v>
      </c>
      <c r="B30" s="24">
        <f t="shared" ref="B30:M30" si="4">SUM(B25:B29)</f>
        <v>14.966787623318899</v>
      </c>
      <c r="C30" s="24">
        <f t="shared" si="4"/>
        <v>18.496051231239065</v>
      </c>
      <c r="D30" s="24">
        <f t="shared" si="4"/>
        <v>24.273086299569439</v>
      </c>
      <c r="E30" s="24">
        <f t="shared" si="4"/>
        <v>17.681693210021116</v>
      </c>
      <c r="F30" s="24">
        <f t="shared" si="4"/>
        <v>24.971154079999998</v>
      </c>
      <c r="G30" s="24">
        <f t="shared" si="4"/>
        <v>21.238179565560003</v>
      </c>
      <c r="H30" s="24">
        <f t="shared" si="4"/>
        <v>22.20234343692</v>
      </c>
      <c r="I30" s="24">
        <f t="shared" si="4"/>
        <v>31.309771429999998</v>
      </c>
      <c r="J30" s="24">
        <f t="shared" si="4"/>
        <v>53.656727380000007</v>
      </c>
      <c r="K30" s="24">
        <f t="shared" si="4"/>
        <v>56.024557659999999</v>
      </c>
      <c r="L30" s="24">
        <f t="shared" si="4"/>
        <v>68.76439237000001</v>
      </c>
      <c r="M30" s="24">
        <f t="shared" si="4"/>
        <v>70.224970810000002</v>
      </c>
    </row>
    <row r="31" spans="1:13" x14ac:dyDescent="0.25">
      <c r="A31" s="23" t="s">
        <v>27</v>
      </c>
      <c r="B31" s="21">
        <v>0</v>
      </c>
      <c r="C31" s="21">
        <v>-0.81077999999999995</v>
      </c>
      <c r="D31" s="21">
        <v>1.1691E-2</v>
      </c>
      <c r="E31" s="21">
        <v>0.41783751000000002</v>
      </c>
      <c r="F31" s="21">
        <v>0.64558841999999994</v>
      </c>
      <c r="G31" s="21">
        <v>1.0645878700000002</v>
      </c>
      <c r="H31" s="21">
        <v>0</v>
      </c>
      <c r="I31" s="21">
        <v>0</v>
      </c>
      <c r="J31" s="21">
        <v>0</v>
      </c>
      <c r="K31" s="21">
        <v>0</v>
      </c>
      <c r="L31" s="21">
        <v>0</v>
      </c>
      <c r="M31" s="21">
        <v>0</v>
      </c>
    </row>
    <row r="32" spans="1:13" s="2" customFormat="1" ht="12.75" x14ac:dyDescent="0.2">
      <c r="A32" s="23" t="s">
        <v>20</v>
      </c>
      <c r="B32" s="24">
        <f t="shared" ref="B32:D32" si="5">B30-B31</f>
        <v>14.966787623318899</v>
      </c>
      <c r="C32" s="24">
        <f t="shared" si="5"/>
        <v>19.306831231239066</v>
      </c>
      <c r="D32" s="24">
        <f t="shared" si="5"/>
        <v>24.26139529956944</v>
      </c>
      <c r="E32" s="24">
        <f>E30-E31</f>
        <v>17.263855700021118</v>
      </c>
      <c r="F32" s="24">
        <f>F30-F31</f>
        <v>24.325565659999999</v>
      </c>
      <c r="G32" s="24">
        <f>G30-G31</f>
        <v>20.173591695560003</v>
      </c>
      <c r="H32" s="24">
        <f t="shared" ref="H32:M32" si="6">H30-H31</f>
        <v>22.20234343692</v>
      </c>
      <c r="I32" s="24">
        <f t="shared" si="6"/>
        <v>31.309771429999998</v>
      </c>
      <c r="J32" s="24">
        <f t="shared" si="6"/>
        <v>53.656727380000007</v>
      </c>
      <c r="K32" s="24">
        <f t="shared" si="6"/>
        <v>56.024557659999999</v>
      </c>
      <c r="L32" s="24">
        <f t="shared" si="6"/>
        <v>68.76439237000001</v>
      </c>
      <c r="M32" s="24">
        <f t="shared" si="6"/>
        <v>70.224970810000002</v>
      </c>
    </row>
    <row r="33" spans="1:13" x14ac:dyDescent="0.25">
      <c r="A33" s="25" t="s">
        <v>28</v>
      </c>
      <c r="B33" s="26"/>
      <c r="C33" s="26"/>
      <c r="D33" s="26"/>
      <c r="E33" s="26"/>
      <c r="F33" s="26"/>
      <c r="G33" s="26"/>
      <c r="H33" s="26"/>
      <c r="I33" s="26"/>
      <c r="J33" s="26"/>
      <c r="K33" s="26"/>
      <c r="L33" s="26"/>
      <c r="M33" s="26"/>
    </row>
    <row r="34" spans="1:13" x14ac:dyDescent="0.25">
      <c r="A34" s="14" t="s">
        <v>29</v>
      </c>
      <c r="B34" s="16">
        <v>4.3738956838344158</v>
      </c>
      <c r="C34" s="16">
        <v>8.1948619911991383</v>
      </c>
      <c r="D34" s="16">
        <v>17.458418369040796</v>
      </c>
      <c r="E34" s="16">
        <v>0.7760035232175998</v>
      </c>
      <c r="F34" s="16">
        <v>10.77159586</v>
      </c>
      <c r="G34" s="17">
        <v>1.6823999999999999</v>
      </c>
      <c r="H34" s="17">
        <v>29.533700200560002</v>
      </c>
      <c r="I34" s="17">
        <v>35.812614809999999</v>
      </c>
      <c r="J34" s="17">
        <v>20.987020939999997</v>
      </c>
      <c r="K34" s="17">
        <v>30.639675920000002</v>
      </c>
      <c r="L34" s="17">
        <v>21.562123410000002</v>
      </c>
      <c r="M34" s="17">
        <v>38.326038980000007</v>
      </c>
    </row>
    <row r="35" spans="1:13" x14ac:dyDescent="0.25">
      <c r="A35" s="14" t="s">
        <v>30</v>
      </c>
      <c r="B35" s="18">
        <v>1.6336783968466888</v>
      </c>
      <c r="C35" s="18">
        <v>4.1529292375617874</v>
      </c>
      <c r="D35" s="18">
        <v>4.6339306013897668</v>
      </c>
      <c r="E35" s="18">
        <v>4.0661723267612864</v>
      </c>
      <c r="F35" s="18">
        <v>8.8394904400000041</v>
      </c>
      <c r="G35" s="19">
        <v>9.5288080700000002</v>
      </c>
      <c r="H35" s="19">
        <v>1.2603837308400003</v>
      </c>
      <c r="I35" s="19">
        <v>8.7539847399999999</v>
      </c>
      <c r="J35" s="19">
        <v>10.70491676</v>
      </c>
      <c r="K35" s="19">
        <v>9.0797804099999997</v>
      </c>
      <c r="L35" s="19">
        <v>9.0011913499999991</v>
      </c>
      <c r="M35" s="19">
        <v>30.264211260000003</v>
      </c>
    </row>
    <row r="36" spans="1:13" x14ac:dyDescent="0.25">
      <c r="A36" s="14" t="s">
        <v>31</v>
      </c>
      <c r="B36" s="20">
        <v>0.67780546000000019</v>
      </c>
      <c r="C36" s="20">
        <v>0.96248975000000003</v>
      </c>
      <c r="D36" s="20">
        <v>4.6529329999999987E-2</v>
      </c>
      <c r="E36" s="20">
        <v>7.6823199999999994E-3</v>
      </c>
      <c r="F36" s="20">
        <v>1.457981E-2</v>
      </c>
      <c r="G36" s="21">
        <v>0</v>
      </c>
      <c r="H36" s="21">
        <v>0</v>
      </c>
      <c r="I36" s="21">
        <v>0</v>
      </c>
      <c r="J36" s="21">
        <v>8.1428259999999995</v>
      </c>
      <c r="K36" s="21">
        <v>7.0841939600000003</v>
      </c>
      <c r="L36" s="21">
        <v>4.8308252699999992</v>
      </c>
      <c r="M36" s="21">
        <v>3.5774988799999998</v>
      </c>
    </row>
    <row r="37" spans="1:13" x14ac:dyDescent="0.25">
      <c r="A37" s="14"/>
      <c r="B37" s="20"/>
      <c r="C37" s="20"/>
      <c r="D37" s="20"/>
      <c r="E37" s="20"/>
      <c r="F37" s="20"/>
      <c r="G37" s="21"/>
      <c r="H37" s="21"/>
      <c r="I37" s="21"/>
      <c r="J37" s="21"/>
      <c r="K37" s="21"/>
      <c r="L37" s="21"/>
      <c r="M37" s="21"/>
    </row>
    <row r="38" spans="1:13" x14ac:dyDescent="0.25">
      <c r="A38" s="14"/>
      <c r="B38" s="22"/>
      <c r="C38" s="22"/>
      <c r="D38" s="22"/>
      <c r="E38" s="22"/>
      <c r="F38" s="22"/>
      <c r="G38" s="21"/>
      <c r="H38" s="21"/>
      <c r="I38" s="21"/>
      <c r="J38" s="21"/>
      <c r="K38" s="21"/>
      <c r="L38" s="21"/>
      <c r="M38" s="21"/>
    </row>
    <row r="39" spans="1:13" s="2" customFormat="1" ht="12.75" x14ac:dyDescent="0.2">
      <c r="A39" s="23" t="s">
        <v>32</v>
      </c>
      <c r="B39" s="24">
        <f t="shared" ref="B39:M39" si="7">SUM(B34:B38)</f>
        <v>6.6853795406811045</v>
      </c>
      <c r="C39" s="24">
        <f t="shared" si="7"/>
        <v>13.310280978760925</v>
      </c>
      <c r="D39" s="24">
        <f t="shared" si="7"/>
        <v>22.138878300430562</v>
      </c>
      <c r="E39" s="24">
        <f t="shared" si="7"/>
        <v>4.8498581699788863</v>
      </c>
      <c r="F39" s="24">
        <f t="shared" si="7"/>
        <v>19.625666110000004</v>
      </c>
      <c r="G39" s="24">
        <f t="shared" si="7"/>
        <v>11.21120807</v>
      </c>
      <c r="H39" s="24">
        <f t="shared" si="7"/>
        <v>30.794083931400003</v>
      </c>
      <c r="I39" s="24">
        <f t="shared" si="7"/>
        <v>44.566599549999999</v>
      </c>
      <c r="J39" s="24">
        <f t="shared" si="7"/>
        <v>39.834763699999996</v>
      </c>
      <c r="K39" s="24">
        <f t="shared" si="7"/>
        <v>46.80365029</v>
      </c>
      <c r="L39" s="24">
        <f t="shared" si="7"/>
        <v>35.394140030000003</v>
      </c>
      <c r="M39" s="24">
        <f t="shared" si="7"/>
        <v>72.167749120000011</v>
      </c>
    </row>
    <row r="40" spans="1:13" x14ac:dyDescent="0.25">
      <c r="A40" s="23" t="s">
        <v>33</v>
      </c>
      <c r="B40" s="21">
        <v>0</v>
      </c>
      <c r="C40" s="21">
        <v>0.16766824999999999</v>
      </c>
      <c r="D40" s="21">
        <v>0.11661418</v>
      </c>
      <c r="E40" s="21">
        <v>0.32292579999999999</v>
      </c>
      <c r="F40" s="21">
        <v>2.19706892</v>
      </c>
      <c r="G40" s="21">
        <v>0.60499999999999998</v>
      </c>
      <c r="H40" s="21">
        <v>5.0344463199599998</v>
      </c>
      <c r="I40" s="21">
        <v>0</v>
      </c>
      <c r="J40" s="21">
        <v>0</v>
      </c>
      <c r="K40" s="21">
        <v>0</v>
      </c>
      <c r="L40" s="21">
        <v>0</v>
      </c>
      <c r="M40" s="21">
        <v>0</v>
      </c>
    </row>
    <row r="41" spans="1:13" s="2" customFormat="1" ht="12.75" x14ac:dyDescent="0.2">
      <c r="A41" s="23" t="s">
        <v>20</v>
      </c>
      <c r="B41" s="24">
        <f t="shared" ref="B41:D41" si="8">B39-B40</f>
        <v>6.6853795406811045</v>
      </c>
      <c r="C41" s="24">
        <f t="shared" si="8"/>
        <v>13.142612728760925</v>
      </c>
      <c r="D41" s="24">
        <f t="shared" si="8"/>
        <v>22.022264120430563</v>
      </c>
      <c r="E41" s="24">
        <f>E39-E40</f>
        <v>4.5269323699788862</v>
      </c>
      <c r="F41" s="24">
        <f>F39-F40</f>
        <v>17.428597190000005</v>
      </c>
      <c r="G41" s="24">
        <f>G39-G40</f>
        <v>10.606208069999999</v>
      </c>
      <c r="H41" s="24">
        <f t="shared" ref="H41:M41" si="9">H39-H40</f>
        <v>25.759637611440002</v>
      </c>
      <c r="I41" s="24">
        <f t="shared" si="9"/>
        <v>44.566599549999999</v>
      </c>
      <c r="J41" s="24">
        <f t="shared" si="9"/>
        <v>39.834763699999996</v>
      </c>
      <c r="K41" s="24">
        <f t="shared" si="9"/>
        <v>46.80365029</v>
      </c>
      <c r="L41" s="24">
        <f t="shared" si="9"/>
        <v>35.394140030000003</v>
      </c>
      <c r="M41" s="24">
        <f t="shared" si="9"/>
        <v>72.167749120000011</v>
      </c>
    </row>
    <row r="42" spans="1:13" x14ac:dyDescent="0.25">
      <c r="A42" s="25" t="s">
        <v>34</v>
      </c>
      <c r="B42" s="27"/>
      <c r="C42" s="27"/>
      <c r="D42" s="27"/>
      <c r="E42" s="27"/>
      <c r="F42" s="27"/>
      <c r="G42" s="27"/>
      <c r="H42" s="27"/>
      <c r="I42" s="27"/>
      <c r="J42" s="27"/>
      <c r="K42" s="27"/>
      <c r="L42" s="27"/>
      <c r="M42" s="27"/>
    </row>
    <row r="43" spans="1:13" x14ac:dyDescent="0.25">
      <c r="A43" s="14" t="s">
        <v>35</v>
      </c>
      <c r="B43" s="16">
        <v>0.79145610000000011</v>
      </c>
      <c r="C43" s="16">
        <v>0.82835574000000001</v>
      </c>
      <c r="D43" s="16">
        <v>5.3629686300000001</v>
      </c>
      <c r="E43" s="28">
        <v>1.3661723700000001</v>
      </c>
      <c r="F43" s="28">
        <v>0.67429331000000003</v>
      </c>
      <c r="G43" s="28">
        <v>0.20999999995999999</v>
      </c>
      <c r="H43" s="28">
        <v>0.50000000004</v>
      </c>
      <c r="I43" s="28">
        <v>5.1731992</v>
      </c>
      <c r="J43" s="28">
        <v>1.9760831999999999</v>
      </c>
      <c r="K43" s="28">
        <v>5.4183157800000004</v>
      </c>
      <c r="L43" s="28">
        <v>1.4096795600000001</v>
      </c>
      <c r="M43" s="28">
        <v>0.79386602000000006</v>
      </c>
    </row>
    <row r="44" spans="1:13" x14ac:dyDescent="0.25">
      <c r="A44" s="14" t="s">
        <v>36</v>
      </c>
      <c r="B44" s="18">
        <v>0.80035162000000004</v>
      </c>
      <c r="C44" s="18">
        <v>1.6262207799999999</v>
      </c>
      <c r="D44" s="18">
        <v>2.3295871400000001</v>
      </c>
      <c r="E44" s="29">
        <v>1.7877495399999999</v>
      </c>
      <c r="F44" s="29">
        <v>1.23872808</v>
      </c>
      <c r="G44" s="29">
        <v>1.9999999999799998</v>
      </c>
      <c r="H44" s="29">
        <v>1.7400000000000002</v>
      </c>
      <c r="I44" s="29">
        <v>3.9678</v>
      </c>
      <c r="J44" s="29">
        <v>3.3708960000000001</v>
      </c>
      <c r="K44" s="29">
        <v>4.6374440000000003</v>
      </c>
      <c r="L44" s="29">
        <v>2.9603640000000002</v>
      </c>
      <c r="M44" s="29">
        <v>2.9093035</v>
      </c>
    </row>
    <row r="45" spans="1:13" x14ac:dyDescent="0.25">
      <c r="A45" s="14" t="s">
        <v>37</v>
      </c>
      <c r="B45" s="20">
        <v>4.2283089300000007</v>
      </c>
      <c r="C45" s="20">
        <v>2.7131131000000002</v>
      </c>
      <c r="D45" s="20">
        <v>3.3015079499999995</v>
      </c>
      <c r="E45" s="30">
        <v>3.0302218199999995</v>
      </c>
      <c r="F45" s="30">
        <v>2.3489482400000004</v>
      </c>
      <c r="G45" s="30">
        <v>1.44200000009</v>
      </c>
      <c r="H45" s="30">
        <v>1.3293999999600001</v>
      </c>
      <c r="I45" s="30">
        <v>2.6387399999999999</v>
      </c>
      <c r="J45" s="30">
        <v>2.1216356999999997</v>
      </c>
      <c r="K45" s="30">
        <v>1.9534039000000001</v>
      </c>
      <c r="L45" s="30">
        <v>2.0411357999999997</v>
      </c>
      <c r="M45" s="30">
        <v>1.4946753700000002</v>
      </c>
    </row>
    <row r="46" spans="1:13" x14ac:dyDescent="0.25">
      <c r="A46" s="14" t="s">
        <v>38</v>
      </c>
      <c r="B46" s="20">
        <v>0.16256585999999998</v>
      </c>
      <c r="C46" s="20">
        <v>0.17446064999999997</v>
      </c>
      <c r="D46" s="20">
        <v>0.45894407999999998</v>
      </c>
      <c r="E46" s="30">
        <v>0.43388371000000003</v>
      </c>
      <c r="F46" s="30">
        <v>0.35508937000000002</v>
      </c>
      <c r="G46" s="30">
        <v>0.47520000000000001</v>
      </c>
      <c r="H46" s="30">
        <v>0.19202605572000001</v>
      </c>
      <c r="I46" s="30">
        <v>1.12537416</v>
      </c>
      <c r="J46" s="30">
        <v>1.2603499199999999</v>
      </c>
      <c r="K46" s="30">
        <v>1.3511638799999999</v>
      </c>
      <c r="L46" s="30">
        <v>0.83665336999999995</v>
      </c>
      <c r="M46" s="30">
        <v>0.83419367999999994</v>
      </c>
    </row>
    <row r="47" spans="1:13" x14ac:dyDescent="0.25">
      <c r="A47" s="14" t="s">
        <v>39</v>
      </c>
      <c r="B47" s="20">
        <v>0.54002228000000019</v>
      </c>
      <c r="C47" s="20">
        <v>1.69399115</v>
      </c>
      <c r="D47" s="20">
        <v>1.0070345299999999</v>
      </c>
      <c r="E47" s="30">
        <v>0.78709225000000005</v>
      </c>
      <c r="F47" s="30">
        <v>0.69562686000000007</v>
      </c>
      <c r="G47" s="30">
        <v>2.0199999999800005</v>
      </c>
      <c r="H47" s="30">
        <v>1.3249999999200002</v>
      </c>
      <c r="I47" s="30">
        <v>0.82874999999999999</v>
      </c>
      <c r="J47" s="30">
        <v>1.69065</v>
      </c>
      <c r="K47" s="30">
        <v>3.4489000000000001</v>
      </c>
      <c r="L47" s="30">
        <v>5.2766999999999999</v>
      </c>
      <c r="M47" s="30">
        <v>6.2795687500000001</v>
      </c>
    </row>
    <row r="48" spans="1:13" s="2" customFormat="1" ht="12.75" x14ac:dyDescent="0.2">
      <c r="A48" s="23" t="s">
        <v>40</v>
      </c>
      <c r="B48" s="24">
        <f t="shared" ref="B48:M48" si="10">SUM(B43:B47)</f>
        <v>6.5227047900000015</v>
      </c>
      <c r="C48" s="24">
        <f t="shared" si="10"/>
        <v>7.0361414199999999</v>
      </c>
      <c r="D48" s="24">
        <f t="shared" si="10"/>
        <v>12.46004233</v>
      </c>
      <c r="E48" s="24">
        <f t="shared" si="10"/>
        <v>7.4051196899999994</v>
      </c>
      <c r="F48" s="24">
        <f t="shared" si="10"/>
        <v>5.3126858600000002</v>
      </c>
      <c r="G48" s="24">
        <f t="shared" si="10"/>
        <v>6.1472000000100007</v>
      </c>
      <c r="H48" s="24">
        <f t="shared" si="10"/>
        <v>5.0864260556400005</v>
      </c>
      <c r="I48" s="24">
        <f t="shared" si="10"/>
        <v>13.733863359999999</v>
      </c>
      <c r="J48" s="24">
        <f t="shared" si="10"/>
        <v>10.41961482</v>
      </c>
      <c r="K48" s="24">
        <f t="shared" si="10"/>
        <v>16.80922756</v>
      </c>
      <c r="L48" s="24">
        <f t="shared" si="10"/>
        <v>12.524532730000001</v>
      </c>
      <c r="M48" s="24">
        <f t="shared" si="10"/>
        <v>12.31160732</v>
      </c>
    </row>
    <row r="49" spans="1:18" x14ac:dyDescent="0.25">
      <c r="A49" s="23" t="s">
        <v>41</v>
      </c>
      <c r="B49" s="21">
        <v>0</v>
      </c>
      <c r="C49" s="21">
        <v>0</v>
      </c>
      <c r="D49" s="21">
        <v>8.12055E-2</v>
      </c>
      <c r="E49" s="21">
        <v>7.6809050000000004E-2</v>
      </c>
      <c r="F49" s="21">
        <v>0</v>
      </c>
      <c r="G49" s="21"/>
      <c r="H49" s="21"/>
      <c r="I49" s="21"/>
      <c r="J49" s="21"/>
      <c r="K49" s="21"/>
      <c r="L49" s="21"/>
      <c r="M49" s="21"/>
    </row>
    <row r="50" spans="1:18" s="2" customFormat="1" ht="12.75" x14ac:dyDescent="0.2">
      <c r="A50" s="23" t="s">
        <v>20</v>
      </c>
      <c r="B50" s="24">
        <f t="shared" ref="B50:D50" si="11">B48-B49</f>
        <v>6.5227047900000015</v>
      </c>
      <c r="C50" s="24">
        <f t="shared" si="11"/>
        <v>7.0361414199999999</v>
      </c>
      <c r="D50" s="24">
        <f t="shared" si="11"/>
        <v>12.378836830000001</v>
      </c>
      <c r="E50" s="24">
        <f>E48-E49</f>
        <v>7.3283106399999998</v>
      </c>
      <c r="F50" s="24">
        <f>F48-F49</f>
        <v>5.3126858600000002</v>
      </c>
      <c r="G50" s="24">
        <f>G48-G49</f>
        <v>6.1472000000100007</v>
      </c>
      <c r="H50" s="24">
        <f t="shared" ref="H50:M50" si="12">H48-H49</f>
        <v>5.0864260556400005</v>
      </c>
      <c r="I50" s="24">
        <f t="shared" si="12"/>
        <v>13.733863359999999</v>
      </c>
      <c r="J50" s="24">
        <f t="shared" si="12"/>
        <v>10.41961482</v>
      </c>
      <c r="K50" s="24">
        <f t="shared" si="12"/>
        <v>16.80922756</v>
      </c>
      <c r="L50" s="24">
        <f t="shared" si="12"/>
        <v>12.524532730000001</v>
      </c>
      <c r="M50" s="24">
        <f t="shared" si="12"/>
        <v>12.31160732</v>
      </c>
    </row>
    <row r="51" spans="1:18" ht="15.75" thickBot="1" x14ac:dyDescent="0.3">
      <c r="A51" s="25" t="s">
        <v>42</v>
      </c>
      <c r="B51" s="31">
        <f>(107167.15-451441.09)/1000000</f>
        <v>-0.34427394000000006</v>
      </c>
      <c r="C51" s="31">
        <f>(-108431.66-42583.88)/1000000</f>
        <v>-0.15101554</v>
      </c>
      <c r="D51" s="31">
        <f>0.43/1000000</f>
        <v>4.3000000000000001E-7</v>
      </c>
      <c r="E51" s="31"/>
      <c r="F51" s="31"/>
      <c r="G51" s="31"/>
      <c r="H51" s="31"/>
      <c r="I51" s="31"/>
      <c r="J51" s="31"/>
      <c r="K51" s="31"/>
      <c r="L51" s="31"/>
      <c r="M51" s="31"/>
    </row>
    <row r="52" spans="1:18" s="2" customFormat="1" ht="14.25" thickTop="1" thickBot="1" x14ac:dyDescent="0.25">
      <c r="A52" s="32" t="s">
        <v>43</v>
      </c>
      <c r="B52" s="33">
        <f t="shared" ref="B52:M52" si="13">SUMPRODUCT(--($A15:$A51="Sub-Total"), B$15:B$51)+B51</f>
        <v>34.846112271000003</v>
      </c>
      <c r="C52" s="33">
        <f t="shared" si="13"/>
        <v>53.27424586999998</v>
      </c>
      <c r="D52" s="33">
        <f t="shared" si="13"/>
        <v>78.409173209999963</v>
      </c>
      <c r="E52" s="33">
        <f t="shared" si="13"/>
        <v>52.54534376999996</v>
      </c>
      <c r="F52" s="33">
        <f t="shared" si="13"/>
        <v>68.869360039999989</v>
      </c>
      <c r="G52" s="33">
        <f t="shared" si="13"/>
        <v>59.751811326770003</v>
      </c>
      <c r="H52" s="33">
        <f t="shared" si="13"/>
        <v>77.199088382720007</v>
      </c>
      <c r="I52" s="33">
        <f t="shared" si="13"/>
        <v>123.33621316999999</v>
      </c>
      <c r="J52" s="33">
        <f t="shared" si="13"/>
        <v>129.73315624</v>
      </c>
      <c r="K52" s="33">
        <f t="shared" si="13"/>
        <v>149.73737354000002</v>
      </c>
      <c r="L52" s="33">
        <f t="shared" si="13"/>
        <v>149.01356445000002</v>
      </c>
      <c r="M52" s="33">
        <f t="shared" si="13"/>
        <v>188.14144637000004</v>
      </c>
    </row>
    <row r="53" spans="1:18" ht="39" thickBot="1" x14ac:dyDescent="0.3">
      <c r="A53" s="34" t="s">
        <v>44</v>
      </c>
      <c r="B53" s="31">
        <f>-(107167.15-451441.09)/1000000</f>
        <v>0.34427394000000006</v>
      </c>
      <c r="C53" s="31">
        <f>-(-108431.66)/1000000</f>
        <v>0.10843166</v>
      </c>
      <c r="D53" s="31">
        <f>-0.43/1000000</f>
        <v>-4.3000000000000001E-7</v>
      </c>
      <c r="E53" s="31"/>
      <c r="F53" s="31"/>
      <c r="G53" s="31"/>
      <c r="H53" s="31"/>
      <c r="I53" s="31"/>
      <c r="J53" s="31"/>
      <c r="K53" s="31"/>
      <c r="L53" s="31"/>
      <c r="M53" s="31"/>
    </row>
    <row r="54" spans="1:18" ht="16.5" thickTop="1" thickBot="1" x14ac:dyDescent="0.3">
      <c r="A54" s="35" t="s">
        <v>43</v>
      </c>
      <c r="B54" s="33">
        <f>B52+B53</f>
        <v>35.190386211000003</v>
      </c>
      <c r="C54" s="33">
        <f t="shared" ref="B54:M54" si="14">C52+C53</f>
        <v>53.382677529999981</v>
      </c>
      <c r="D54" s="33">
        <f t="shared" si="14"/>
        <v>78.409172779999963</v>
      </c>
      <c r="E54" s="33">
        <f t="shared" si="14"/>
        <v>52.54534376999996</v>
      </c>
      <c r="F54" s="33">
        <f t="shared" si="14"/>
        <v>68.869360039999989</v>
      </c>
      <c r="G54" s="33">
        <f t="shared" si="14"/>
        <v>59.751811326770003</v>
      </c>
      <c r="H54" s="33">
        <f t="shared" si="14"/>
        <v>77.199088382720007</v>
      </c>
      <c r="I54" s="33">
        <f t="shared" si="14"/>
        <v>123.33621316999999</v>
      </c>
      <c r="J54" s="33">
        <f t="shared" si="14"/>
        <v>129.73315624</v>
      </c>
      <c r="K54" s="33">
        <f t="shared" si="14"/>
        <v>149.73737354000002</v>
      </c>
      <c r="L54" s="33">
        <f t="shared" si="14"/>
        <v>149.01356445000002</v>
      </c>
      <c r="M54" s="33">
        <f t="shared" si="14"/>
        <v>188.14144637000004</v>
      </c>
    </row>
    <row r="56" spans="1:18" x14ac:dyDescent="0.25">
      <c r="A56" s="36" t="s">
        <v>45</v>
      </c>
      <c r="B56" s="37"/>
      <c r="C56" s="36"/>
      <c r="D56" s="36"/>
      <c r="E56" s="36"/>
      <c r="F56" s="36"/>
      <c r="G56" s="36"/>
      <c r="H56" s="36"/>
      <c r="I56" s="36"/>
      <c r="J56" s="36"/>
      <c r="P56" s="38"/>
    </row>
    <row r="58" spans="1:18" ht="28.15" customHeight="1" x14ac:dyDescent="0.25">
      <c r="A58" s="316" t="s">
        <v>46</v>
      </c>
      <c r="B58" s="316"/>
      <c r="C58" s="316"/>
      <c r="D58" s="316"/>
      <c r="E58" s="316"/>
      <c r="F58" s="316"/>
      <c r="G58" s="316"/>
      <c r="H58" s="316"/>
      <c r="I58" s="316"/>
      <c r="J58" s="316"/>
      <c r="K58" s="316"/>
      <c r="L58" s="316"/>
      <c r="M58" s="316"/>
      <c r="N58" s="316"/>
      <c r="O58" s="316"/>
      <c r="P58" s="316"/>
      <c r="Q58" s="316"/>
    </row>
    <row r="59" spans="1:18" ht="28.5" customHeight="1" x14ac:dyDescent="0.25">
      <c r="A59" s="316" t="s">
        <v>47</v>
      </c>
      <c r="B59" s="316"/>
      <c r="C59" s="316"/>
      <c r="D59" s="316"/>
      <c r="E59" s="316"/>
      <c r="F59" s="316"/>
      <c r="G59" s="316"/>
      <c r="H59" s="316"/>
      <c r="I59" s="316"/>
      <c r="J59" s="316"/>
      <c r="K59" s="316"/>
      <c r="L59" s="316"/>
      <c r="M59" s="316"/>
      <c r="N59" s="316"/>
      <c r="O59" s="316"/>
      <c r="P59" s="316"/>
      <c r="Q59" s="316"/>
      <c r="R59" s="39"/>
    </row>
    <row r="60" spans="1:18" ht="27" customHeight="1" x14ac:dyDescent="0.25">
      <c r="A60" s="316" t="s">
        <v>48</v>
      </c>
      <c r="B60" s="316"/>
      <c r="C60" s="316"/>
      <c r="D60" s="316"/>
      <c r="E60" s="316"/>
      <c r="F60" s="316"/>
      <c r="G60" s="316"/>
      <c r="H60" s="316"/>
      <c r="I60" s="316"/>
      <c r="J60" s="316"/>
      <c r="K60" s="316"/>
      <c r="L60" s="316"/>
      <c r="M60" s="316"/>
      <c r="N60" s="316"/>
      <c r="O60" s="316"/>
      <c r="P60" s="316"/>
      <c r="Q60" s="316"/>
    </row>
    <row r="62" spans="1:18" x14ac:dyDescent="0.25">
      <c r="A62" s="317"/>
      <c r="B62" s="317"/>
      <c r="C62" s="317"/>
      <c r="D62" s="317"/>
      <c r="E62" s="317"/>
      <c r="F62" s="317"/>
      <c r="G62" s="317"/>
      <c r="H62" s="317"/>
      <c r="I62" s="317"/>
      <c r="J62" s="317"/>
      <c r="K62" s="317"/>
      <c r="L62" s="317"/>
      <c r="M62" s="317"/>
      <c r="N62" s="317"/>
      <c r="O62" s="317"/>
      <c r="P62" s="317"/>
      <c r="Q62" s="317"/>
      <c r="R62" s="317"/>
    </row>
    <row r="63" spans="1:18" x14ac:dyDescent="0.25">
      <c r="A63" s="317"/>
      <c r="B63" s="317"/>
      <c r="C63" s="317"/>
      <c r="D63" s="317"/>
      <c r="E63" s="317"/>
      <c r="F63" s="317"/>
      <c r="G63" s="317"/>
      <c r="H63" s="317"/>
      <c r="I63" s="317"/>
      <c r="J63" s="317"/>
      <c r="K63" s="317"/>
      <c r="L63" s="317"/>
      <c r="M63" s="317"/>
      <c r="N63" s="317"/>
      <c r="O63" s="317"/>
      <c r="P63" s="317"/>
      <c r="Q63" s="317"/>
      <c r="R63" s="317"/>
    </row>
    <row r="65" spans="1:10" x14ac:dyDescent="0.25">
      <c r="A65" s="2"/>
      <c r="B65" s="2"/>
      <c r="C65" s="2"/>
      <c r="D65" s="2"/>
      <c r="E65" s="2"/>
      <c r="F65" s="2"/>
      <c r="G65" s="2"/>
      <c r="H65" s="2"/>
      <c r="I65" s="2"/>
      <c r="J65" s="2"/>
    </row>
  </sheetData>
  <mergeCells count="6">
    <mergeCell ref="A62:R63"/>
    <mergeCell ref="A9:Q9"/>
    <mergeCell ref="A10:Q10"/>
    <mergeCell ref="A58:Q58"/>
    <mergeCell ref="A59:Q59"/>
    <mergeCell ref="A60:Q60"/>
  </mergeCells>
  <dataValidations count="1">
    <dataValidation type="list" allowBlank="1" showInputMessage="1" showErrorMessage="1" sqref="B14:M14" xr:uid="{9726816C-F5B6-4DA4-BFD8-22A28FBB1D05}">
      <formula1>"CGAAP, MIFRS, 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8DD3-247A-4CA3-9DBA-5E946C5655BF}">
  <dimension ref="A1:AY50"/>
  <sheetViews>
    <sheetView topLeftCell="A9" workbookViewId="0">
      <selection activeCell="A37" sqref="A37"/>
    </sheetView>
  </sheetViews>
  <sheetFormatPr defaultColWidth="9.42578125" defaultRowHeight="15" x14ac:dyDescent="0.25"/>
  <cols>
    <col min="1" max="1" width="39" customWidth="1"/>
    <col min="2" max="17" width="9.42578125" hidden="1" customWidth="1"/>
    <col min="18" max="18" width="11.42578125" hidden="1" customWidth="1"/>
    <col min="19" max="20" width="9.42578125" hidden="1" customWidth="1"/>
    <col min="21" max="21" width="11.42578125" hidden="1" customWidth="1"/>
    <col min="22" max="23" width="9.42578125" hidden="1" customWidth="1"/>
    <col min="24" max="24" width="11.42578125" hidden="1" customWidth="1"/>
    <col min="25" max="25" width="9.42578125" hidden="1" customWidth="1"/>
    <col min="26" max="44" width="8.28515625" customWidth="1"/>
    <col min="47" max="48" width="5.5703125" bestFit="1" customWidth="1"/>
    <col min="50" max="50" width="10.42578125" customWidth="1"/>
  </cols>
  <sheetData>
    <row r="1" spans="1:51" x14ac:dyDescent="0.25">
      <c r="AW1" s="40" t="s">
        <v>0</v>
      </c>
      <c r="AY1" s="3" t="s">
        <v>1</v>
      </c>
    </row>
    <row r="2" spans="1:51" x14ac:dyDescent="0.25">
      <c r="AW2" s="40" t="s">
        <v>2</v>
      </c>
      <c r="AY2" s="4" t="s">
        <v>3</v>
      </c>
    </row>
    <row r="3" spans="1:51" x14ac:dyDescent="0.25">
      <c r="AW3" s="40" t="s">
        <v>4</v>
      </c>
      <c r="AY3" s="4">
        <v>1</v>
      </c>
    </row>
    <row r="4" spans="1:51" x14ac:dyDescent="0.25">
      <c r="AW4" s="40" t="s">
        <v>5</v>
      </c>
      <c r="AY4" s="4">
        <v>1</v>
      </c>
    </row>
    <row r="5" spans="1:51" x14ac:dyDescent="0.25">
      <c r="A5" s="41"/>
      <c r="AW5" s="40" t="s">
        <v>6</v>
      </c>
      <c r="AY5" s="42"/>
    </row>
    <row r="6" spans="1:51" x14ac:dyDescent="0.25">
      <c r="AW6" s="40" t="s">
        <v>7</v>
      </c>
      <c r="AY6" s="5">
        <v>46010</v>
      </c>
    </row>
    <row r="7" spans="1:51" x14ac:dyDescent="0.25">
      <c r="A7" s="43" t="s">
        <v>49</v>
      </c>
      <c r="AS7" s="40" t="s">
        <v>50</v>
      </c>
      <c r="AY7" s="44" t="s">
        <v>51</v>
      </c>
    </row>
    <row r="8" spans="1:51" x14ac:dyDescent="0.25">
      <c r="A8" s="45" t="s">
        <v>52</v>
      </c>
      <c r="Q8" s="46"/>
      <c r="T8" s="46"/>
      <c r="AS8" t="str">
        <f>"Number of months of 'actual' data in bridge years ("&amp;AO14&amp;" &amp; "&amp;AR14&amp;")"</f>
        <v>Number of months of 'actual' data in bridge years (2025 &amp; 2026)</v>
      </c>
      <c r="AY8" s="44">
        <v>0</v>
      </c>
    </row>
    <row r="9" spans="1:51" ht="18" x14ac:dyDescent="0.25">
      <c r="A9" s="315" t="s">
        <v>53</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row>
    <row r="10" spans="1:51" ht="18" x14ac:dyDescent="0.25">
      <c r="A10" s="346" t="s">
        <v>54</v>
      </c>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row>
    <row r="11" spans="1:51" x14ac:dyDescent="0.25">
      <c r="A11" s="47" t="s">
        <v>55</v>
      </c>
    </row>
    <row r="12" spans="1:51" ht="16.5" thickBot="1" x14ac:dyDescent="0.3">
      <c r="A12" s="48">
        <v>2027</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H12" s="47"/>
      <c r="AK12" s="47"/>
      <c r="AN12" s="47"/>
      <c r="AQ12" s="47"/>
      <c r="AT12" s="47"/>
    </row>
    <row r="13" spans="1:51" s="46" customFormat="1" ht="13.5" thickBot="1" x14ac:dyDescent="0.25">
      <c r="A13" s="347" t="s">
        <v>56</v>
      </c>
      <c r="B13" s="350" t="s">
        <v>57</v>
      </c>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0" t="s">
        <v>58</v>
      </c>
      <c r="AP13" s="351"/>
      <c r="AQ13" s="351"/>
      <c r="AR13" s="351"/>
      <c r="AS13" s="351"/>
      <c r="AT13" s="352"/>
      <c r="AU13" s="350" t="s">
        <v>59</v>
      </c>
      <c r="AV13" s="351"/>
      <c r="AW13" s="351"/>
      <c r="AX13" s="351"/>
      <c r="AY13" s="352"/>
    </row>
    <row r="14" spans="1:51" s="46" customFormat="1" ht="13.5" thickBot="1" x14ac:dyDescent="0.25">
      <c r="A14" s="348"/>
      <c r="B14" s="344">
        <f t="shared" ref="B14" si="0">E14-1</f>
        <v>2012</v>
      </c>
      <c r="C14" s="344"/>
      <c r="D14" s="345"/>
      <c r="E14" s="343">
        <f t="shared" ref="E14" si="1">H14-1</f>
        <v>2013</v>
      </c>
      <c r="F14" s="344"/>
      <c r="G14" s="345"/>
      <c r="H14" s="343">
        <f t="shared" ref="H14" si="2">K14-1</f>
        <v>2014</v>
      </c>
      <c r="I14" s="344"/>
      <c r="J14" s="345"/>
      <c r="K14" s="343">
        <f t="shared" ref="K14" si="3">N14-1</f>
        <v>2015</v>
      </c>
      <c r="L14" s="344"/>
      <c r="M14" s="345"/>
      <c r="N14" s="343">
        <f t="shared" ref="N14" si="4">Q14-1</f>
        <v>2016</v>
      </c>
      <c r="O14" s="344"/>
      <c r="P14" s="345"/>
      <c r="Q14" s="343">
        <f>T14-1</f>
        <v>2017</v>
      </c>
      <c r="R14" s="344"/>
      <c r="S14" s="345"/>
      <c r="T14" s="343">
        <f>W14-1</f>
        <v>2018</v>
      </c>
      <c r="U14" s="344"/>
      <c r="V14" s="345"/>
      <c r="W14" s="343">
        <f>Z14-1</f>
        <v>2019</v>
      </c>
      <c r="X14" s="344"/>
      <c r="Y14" s="345"/>
      <c r="Z14" s="343">
        <f>AC14-1</f>
        <v>2020</v>
      </c>
      <c r="AA14" s="344"/>
      <c r="AB14" s="345"/>
      <c r="AC14" s="343">
        <f>AF14-1</f>
        <v>2021</v>
      </c>
      <c r="AD14" s="344"/>
      <c r="AE14" s="345"/>
      <c r="AF14" s="343">
        <f>AI14-1</f>
        <v>2022</v>
      </c>
      <c r="AG14" s="344"/>
      <c r="AH14" s="345"/>
      <c r="AI14" s="343">
        <f>AL14-1</f>
        <v>2023</v>
      </c>
      <c r="AJ14" s="344"/>
      <c r="AK14" s="345"/>
      <c r="AL14" s="343">
        <f>AO14-1</f>
        <v>2024</v>
      </c>
      <c r="AM14" s="344"/>
      <c r="AN14" s="345"/>
      <c r="AO14" s="343">
        <f>AR14-1</f>
        <v>2025</v>
      </c>
      <c r="AP14" s="344"/>
      <c r="AQ14" s="345"/>
      <c r="AR14" s="343">
        <f>AU14-1</f>
        <v>2026</v>
      </c>
      <c r="AS14" s="344"/>
      <c r="AT14" s="345"/>
      <c r="AU14" s="341">
        <f>A12</f>
        <v>2027</v>
      </c>
      <c r="AV14" s="341">
        <f>AU14+1</f>
        <v>2028</v>
      </c>
      <c r="AW14" s="341">
        <f>AV14+1</f>
        <v>2029</v>
      </c>
      <c r="AX14" s="341">
        <f t="shared" ref="AX14:AY14" si="5">AW14+1</f>
        <v>2030</v>
      </c>
      <c r="AY14" s="341">
        <f t="shared" si="5"/>
        <v>2031</v>
      </c>
    </row>
    <row r="15" spans="1:51" s="46" customFormat="1" thickBot="1" x14ac:dyDescent="0.25">
      <c r="A15" s="348"/>
      <c r="B15" s="49" t="s">
        <v>60</v>
      </c>
      <c r="C15" s="49" t="s">
        <v>57</v>
      </c>
      <c r="D15" s="49" t="s">
        <v>61</v>
      </c>
      <c r="E15" s="49" t="s">
        <v>60</v>
      </c>
      <c r="F15" s="49" t="s">
        <v>57</v>
      </c>
      <c r="G15" s="49" t="s">
        <v>61</v>
      </c>
      <c r="H15" s="49" t="s">
        <v>60</v>
      </c>
      <c r="I15" s="49" t="s">
        <v>57</v>
      </c>
      <c r="J15" s="49" t="s">
        <v>61</v>
      </c>
      <c r="K15" s="49" t="s">
        <v>60</v>
      </c>
      <c r="L15" s="49" t="s">
        <v>57</v>
      </c>
      <c r="M15" s="49" t="s">
        <v>61</v>
      </c>
      <c r="N15" s="49" t="s">
        <v>60</v>
      </c>
      <c r="O15" s="49" t="s">
        <v>57</v>
      </c>
      <c r="P15" s="49" t="s">
        <v>61</v>
      </c>
      <c r="Q15" s="49" t="s">
        <v>60</v>
      </c>
      <c r="R15" s="49" t="s">
        <v>57</v>
      </c>
      <c r="S15" s="49" t="s">
        <v>61</v>
      </c>
      <c r="T15" s="49" t="s">
        <v>60</v>
      </c>
      <c r="U15" s="49" t="s">
        <v>57</v>
      </c>
      <c r="V15" s="49" t="s">
        <v>61</v>
      </c>
      <c r="W15" s="49" t="s">
        <v>60</v>
      </c>
      <c r="X15" s="49" t="s">
        <v>57</v>
      </c>
      <c r="Y15" s="49" t="s">
        <v>61</v>
      </c>
      <c r="Z15" s="49" t="s">
        <v>60</v>
      </c>
      <c r="AA15" s="49" t="s">
        <v>57</v>
      </c>
      <c r="AB15" s="49" t="s">
        <v>61</v>
      </c>
      <c r="AC15" s="49" t="s">
        <v>60</v>
      </c>
      <c r="AD15" s="49" t="s">
        <v>57</v>
      </c>
      <c r="AE15" s="49" t="s">
        <v>61</v>
      </c>
      <c r="AF15" s="49" t="s">
        <v>60</v>
      </c>
      <c r="AG15" s="49" t="s">
        <v>57</v>
      </c>
      <c r="AH15" s="49" t="s">
        <v>61</v>
      </c>
      <c r="AI15" s="49" t="s">
        <v>60</v>
      </c>
      <c r="AJ15" s="50" t="s">
        <v>57</v>
      </c>
      <c r="AK15" s="49" t="s">
        <v>61</v>
      </c>
      <c r="AL15" s="50" t="s">
        <v>60</v>
      </c>
      <c r="AM15" s="50" t="s">
        <v>57</v>
      </c>
      <c r="AN15" s="49" t="s">
        <v>61</v>
      </c>
      <c r="AO15" s="49" t="s">
        <v>60</v>
      </c>
      <c r="AP15" s="49" t="s">
        <v>57</v>
      </c>
      <c r="AQ15" s="49" t="s">
        <v>61</v>
      </c>
      <c r="AR15" s="50" t="s">
        <v>60</v>
      </c>
      <c r="AS15" s="50" t="s">
        <v>62</v>
      </c>
      <c r="AT15" s="49" t="s">
        <v>61</v>
      </c>
      <c r="AU15" s="342"/>
      <c r="AV15" s="342"/>
      <c r="AW15" s="342"/>
      <c r="AX15" s="342"/>
      <c r="AY15" s="342"/>
    </row>
    <row r="16" spans="1:51" s="46" customFormat="1" ht="13.5" thickBot="1" x14ac:dyDescent="0.25">
      <c r="A16" s="349"/>
      <c r="B16" s="339" t="s">
        <v>63</v>
      </c>
      <c r="C16" s="336"/>
      <c r="D16" s="51" t="s">
        <v>64</v>
      </c>
      <c r="E16" s="335" t="s">
        <v>63</v>
      </c>
      <c r="F16" s="336"/>
      <c r="G16" s="51" t="s">
        <v>64</v>
      </c>
      <c r="H16" s="335" t="s">
        <v>63</v>
      </c>
      <c r="I16" s="336"/>
      <c r="J16" s="51" t="s">
        <v>64</v>
      </c>
      <c r="K16" s="335" t="s">
        <v>63</v>
      </c>
      <c r="L16" s="336"/>
      <c r="M16" s="51" t="s">
        <v>64</v>
      </c>
      <c r="N16" s="335" t="s">
        <v>63</v>
      </c>
      <c r="O16" s="336"/>
      <c r="P16" s="51" t="s">
        <v>64</v>
      </c>
      <c r="Q16" s="335" t="s">
        <v>63</v>
      </c>
      <c r="R16" s="336"/>
      <c r="S16" s="51" t="s">
        <v>64</v>
      </c>
      <c r="T16" s="335" t="s">
        <v>63</v>
      </c>
      <c r="U16" s="336"/>
      <c r="V16" s="51" t="s">
        <v>64</v>
      </c>
      <c r="W16" s="335" t="s">
        <v>65</v>
      </c>
      <c r="X16" s="336"/>
      <c r="Y16" s="51" t="s">
        <v>64</v>
      </c>
      <c r="Z16" s="335" t="s">
        <v>65</v>
      </c>
      <c r="AA16" s="336"/>
      <c r="AB16" s="51" t="s">
        <v>64</v>
      </c>
      <c r="AC16" s="337" t="s">
        <v>65</v>
      </c>
      <c r="AD16" s="339"/>
      <c r="AE16" s="51" t="s">
        <v>64</v>
      </c>
      <c r="AF16" s="335" t="s">
        <v>65</v>
      </c>
      <c r="AG16" s="336"/>
      <c r="AH16" s="51" t="s">
        <v>64</v>
      </c>
      <c r="AI16" s="335" t="s">
        <v>65</v>
      </c>
      <c r="AJ16" s="336"/>
      <c r="AK16" s="51" t="s">
        <v>64</v>
      </c>
      <c r="AL16" s="335" t="s">
        <v>65</v>
      </c>
      <c r="AM16" s="336"/>
      <c r="AN16" s="51" t="s">
        <v>64</v>
      </c>
      <c r="AO16" s="335" t="s">
        <v>65</v>
      </c>
      <c r="AP16" s="336"/>
      <c r="AQ16" s="51" t="s">
        <v>64</v>
      </c>
      <c r="AR16" s="335" t="s">
        <v>65</v>
      </c>
      <c r="AS16" s="336"/>
      <c r="AT16" s="51" t="s">
        <v>64</v>
      </c>
      <c r="AU16" s="337" t="s">
        <v>65</v>
      </c>
      <c r="AV16" s="338"/>
      <c r="AW16" s="338"/>
      <c r="AX16" s="338"/>
      <c r="AY16" s="339"/>
    </row>
    <row r="17" spans="1:51" s="46" customFormat="1" ht="16.5" thickBot="1" x14ac:dyDescent="0.25">
      <c r="A17" s="52" t="s">
        <v>13</v>
      </c>
      <c r="B17" s="53"/>
      <c r="C17" s="54"/>
      <c r="D17" s="55" t="str">
        <f>IF(ISERROR((C17-B17)/B17),"--",(C17-B17)/B17)</f>
        <v>--</v>
      </c>
      <c r="E17" s="53"/>
      <c r="F17" s="54"/>
      <c r="G17" s="55" t="str">
        <f>IF(ISERROR((F17-E17)/E17),"--",(F17-E17)/E17)</f>
        <v>--</v>
      </c>
      <c r="H17" s="53"/>
      <c r="I17" s="54"/>
      <c r="J17" s="55" t="str">
        <f>IF(ISERROR((I17-H17)/H17),"--",(I17-H17)/H17)</f>
        <v>--</v>
      </c>
      <c r="K17" s="53"/>
      <c r="L17" s="54"/>
      <c r="M17" s="55" t="str">
        <f>IF(ISERROR((L17-K17)/K17),"--",(L17-K17)/K17)</f>
        <v>--</v>
      </c>
      <c r="N17" s="53"/>
      <c r="O17" s="54"/>
      <c r="P17" s="55" t="str">
        <f>IF(ISERROR((O17-N17)/N17),"--",(O17-N17)/N17)</f>
        <v>--</v>
      </c>
      <c r="Q17" s="53"/>
      <c r="R17" s="54"/>
      <c r="S17" s="55" t="str">
        <f>IF(ISERROR((R17-Q17)/Q17),"--",(R17-Q17)/Q17)</f>
        <v>--</v>
      </c>
      <c r="T17" s="53"/>
      <c r="U17" s="54"/>
      <c r="V17" s="55" t="str">
        <f>IF(ISERROR((U17-T17)/T17),"--",(U17-T17)/T17)</f>
        <v>--</v>
      </c>
      <c r="W17" s="53"/>
      <c r="X17" s="56"/>
      <c r="Y17" s="55"/>
      <c r="Z17" s="53"/>
      <c r="AA17" s="57">
        <v>22.094351946999996</v>
      </c>
      <c r="AB17" s="55" t="str">
        <f>IF(ISERROR((AA17-Z17)/Z17),"--",(AA17-Z17)/Z17)</f>
        <v>--</v>
      </c>
      <c r="AC17" s="53"/>
      <c r="AD17" s="57">
        <v>33.074908869999994</v>
      </c>
      <c r="AE17" s="55" t="str">
        <f>IF(ISERROR((AD17-AC17)/AC17),"--",(AD17-AC17)/AC17)</f>
        <v>--</v>
      </c>
      <c r="AF17" s="53"/>
      <c r="AG17" s="57">
        <v>42.188033559999965</v>
      </c>
      <c r="AH17" s="55" t="str">
        <f>IF(ISERROR((AG17-AF17)/AF17),"--",(AG17-AF17)/AF17)</f>
        <v>--</v>
      </c>
      <c r="AI17" s="53"/>
      <c r="AJ17" s="57">
        <v>58.673306479999987</v>
      </c>
      <c r="AK17" s="55" t="str">
        <f>IF(ISERROR((AJ17-AI17)/AI17),"--",(AJ17-AI17)/AI17)</f>
        <v>--</v>
      </c>
      <c r="AL17" s="58"/>
      <c r="AM17" s="57">
        <v>44.730997879999997</v>
      </c>
      <c r="AN17" s="55" t="str">
        <f>IF(ISERROR((AM17-AL17)/AL17),"--",(AM17-AL17)/AL17)</f>
        <v>--</v>
      </c>
      <c r="AO17" s="59">
        <v>40.652222045599999</v>
      </c>
      <c r="AP17" s="60"/>
      <c r="AQ17" s="55">
        <f>IF(ISERROR((AP17-AO17)/AO17),"--",(AP17-AO17)/AO17)</f>
        <v>-1</v>
      </c>
      <c r="AR17" s="59">
        <v>45.716556562040005</v>
      </c>
      <c r="AS17" s="60"/>
      <c r="AT17" s="55">
        <f>IF(ISERROR((AS17-AR17)/AR17),"--",(AS17-AR17)/AR17)</f>
        <v>-1</v>
      </c>
      <c r="AU17" s="57">
        <v>99.893333859999998</v>
      </c>
      <c r="AV17" s="57">
        <v>66.091828630000009</v>
      </c>
      <c r="AW17" s="57">
        <v>63.383892970000005</v>
      </c>
      <c r="AX17" s="57">
        <v>70.195505210000007</v>
      </c>
      <c r="AY17" s="57">
        <v>74.585651110000001</v>
      </c>
    </row>
    <row r="18" spans="1:51" s="46" customFormat="1" ht="16.5" thickBot="1" x14ac:dyDescent="0.25">
      <c r="A18" s="52" t="s">
        <v>21</v>
      </c>
      <c r="B18" s="53"/>
      <c r="C18" s="54"/>
      <c r="D18" s="61" t="str">
        <f t="shared" ref="D18:D24" si="6">IF(ISERROR((C18-B18)/B18),"--",(C18-B18)/B18)</f>
        <v>--</v>
      </c>
      <c r="E18" s="53"/>
      <c r="F18" s="54"/>
      <c r="G18" s="61" t="str">
        <f t="shared" ref="G18:G24" si="7">IF(ISERROR((F18-E18)/E18),"--",(F18-E18)/E18)</f>
        <v>--</v>
      </c>
      <c r="H18" s="53"/>
      <c r="I18" s="54"/>
      <c r="J18" s="61" t="str">
        <f t="shared" ref="J18:J24" si="8">IF(ISERROR((I18-H18)/H18),"--",(I18-H18)/H18)</f>
        <v>--</v>
      </c>
      <c r="K18" s="53"/>
      <c r="L18" s="54"/>
      <c r="M18" s="61" t="str">
        <f t="shared" ref="M18:M24" si="9">IF(ISERROR((L18-K18)/K18),"--",(L18-K18)/K18)</f>
        <v>--</v>
      </c>
      <c r="N18" s="53"/>
      <c r="O18" s="54"/>
      <c r="P18" s="61" t="str">
        <f t="shared" ref="P18:P24" si="10">IF(ISERROR((O18-N18)/N18),"--",(O18-N18)/N18)</f>
        <v>--</v>
      </c>
      <c r="Q18" s="53"/>
      <c r="R18" s="54"/>
      <c r="S18" s="61" t="str">
        <f t="shared" ref="S18:S26" si="11">IF(ISERROR((R18-Q18)/Q18),"--",(R18-Q18)/Q18)</f>
        <v>--</v>
      </c>
      <c r="T18" s="53"/>
      <c r="U18" s="54"/>
      <c r="V18" s="61" t="str">
        <f t="shared" ref="V18:V26" si="12">IF(ISERROR((U18-T18)/T18),"--",(U18-T18)/T18)</f>
        <v>--</v>
      </c>
      <c r="W18" s="53"/>
      <c r="X18" s="56"/>
      <c r="Y18" s="61"/>
      <c r="Z18" s="53"/>
      <c r="AA18" s="57">
        <v>14.966787623318899</v>
      </c>
      <c r="AB18" s="61" t="str">
        <f t="shared" ref="AB18:AB26" si="13">IF(ISERROR((AA18-Z18)/Z18),"--",(AA18-Z18)/Z18)</f>
        <v>--</v>
      </c>
      <c r="AC18" s="53"/>
      <c r="AD18" s="57">
        <v>18.496051231239065</v>
      </c>
      <c r="AE18" s="61" t="str">
        <f t="shared" ref="AE18:AE24" si="14">IF(ISERROR((AD18-AC18)/AC18),"--",(AD18-AC18)/AC18)</f>
        <v>--</v>
      </c>
      <c r="AF18" s="53"/>
      <c r="AG18" s="57">
        <v>24.273086299569439</v>
      </c>
      <c r="AH18" s="61" t="str">
        <f t="shared" ref="AH18:AH24" si="15">IF(ISERROR((AG18-AF18)/AF18),"--",(AG18-AF18)/AF18)</f>
        <v>--</v>
      </c>
      <c r="AI18" s="53"/>
      <c r="AJ18" s="57">
        <v>17.681693210021116</v>
      </c>
      <c r="AK18" s="61" t="str">
        <f t="shared" ref="AK18:AK24" si="16">IF(ISERROR((AJ18-AI18)/AI18),"--",(AJ18-AI18)/AI18)</f>
        <v>--</v>
      </c>
      <c r="AL18" s="58"/>
      <c r="AM18" s="57">
        <v>24.971154079999998</v>
      </c>
      <c r="AN18" s="61" t="str">
        <f t="shared" ref="AN18:AN24" si="17">IF(ISERROR((AM18-AL18)/AL18),"--",(AM18-AL18)/AL18)</f>
        <v>--</v>
      </c>
      <c r="AO18" s="59">
        <v>21.238179565560003</v>
      </c>
      <c r="AP18" s="60"/>
      <c r="AQ18" s="61">
        <f t="shared" ref="AQ18:AQ24" si="18">IF(ISERROR((AP18-AO18)/AO18),"--",(AP18-AO18)/AO18)</f>
        <v>-1</v>
      </c>
      <c r="AR18" s="59">
        <v>22.20234343692</v>
      </c>
      <c r="AS18" s="60"/>
      <c r="AT18" s="61">
        <f t="shared" ref="AT18:AT24" si="19">IF(ISERROR((AS18-AR18)/AR18),"--",(AS18-AR18)/AR18)</f>
        <v>-1</v>
      </c>
      <c r="AU18" s="57">
        <v>31.309771429999998</v>
      </c>
      <c r="AV18" s="57">
        <v>53.656727380000007</v>
      </c>
      <c r="AW18" s="57">
        <v>56.024557659999999</v>
      </c>
      <c r="AX18" s="57">
        <v>68.76439237000001</v>
      </c>
      <c r="AY18" s="57">
        <v>70.224970810000002</v>
      </c>
    </row>
    <row r="19" spans="1:51" s="46" customFormat="1" ht="16.5" thickBot="1" x14ac:dyDescent="0.25">
      <c r="A19" s="52" t="s">
        <v>28</v>
      </c>
      <c r="B19" s="53"/>
      <c r="C19" s="54"/>
      <c r="D19" s="61" t="str">
        <f t="shared" si="6"/>
        <v>--</v>
      </c>
      <c r="E19" s="53"/>
      <c r="F19" s="54"/>
      <c r="G19" s="61" t="str">
        <f t="shared" si="7"/>
        <v>--</v>
      </c>
      <c r="H19" s="53"/>
      <c r="I19" s="54"/>
      <c r="J19" s="61" t="str">
        <f t="shared" si="8"/>
        <v>--</v>
      </c>
      <c r="K19" s="53"/>
      <c r="L19" s="54"/>
      <c r="M19" s="61" t="str">
        <f t="shared" si="9"/>
        <v>--</v>
      </c>
      <c r="N19" s="53"/>
      <c r="O19" s="54"/>
      <c r="P19" s="61" t="str">
        <f t="shared" si="10"/>
        <v>--</v>
      </c>
      <c r="Q19" s="53"/>
      <c r="R19" s="54"/>
      <c r="S19" s="61" t="str">
        <f t="shared" si="11"/>
        <v>--</v>
      </c>
      <c r="T19" s="53"/>
      <c r="U19" s="54"/>
      <c r="V19" s="61" t="str">
        <f t="shared" si="12"/>
        <v>--</v>
      </c>
      <c r="W19" s="53"/>
      <c r="X19" s="56"/>
      <c r="Y19" s="61"/>
      <c r="Z19" s="53"/>
      <c r="AA19" s="57">
        <v>6.6853795406811045</v>
      </c>
      <c r="AB19" s="61" t="str">
        <f t="shared" si="13"/>
        <v>--</v>
      </c>
      <c r="AC19" s="53"/>
      <c r="AD19" s="57">
        <v>13.310280978760925</v>
      </c>
      <c r="AE19" s="61" t="str">
        <f t="shared" si="14"/>
        <v>--</v>
      </c>
      <c r="AF19" s="53"/>
      <c r="AG19" s="57">
        <v>22.138878300430562</v>
      </c>
      <c r="AH19" s="61" t="str">
        <f t="shared" si="15"/>
        <v>--</v>
      </c>
      <c r="AI19" s="53"/>
      <c r="AJ19" s="57">
        <v>4.8498581699788863</v>
      </c>
      <c r="AK19" s="61" t="str">
        <f t="shared" si="16"/>
        <v>--</v>
      </c>
      <c r="AL19" s="58"/>
      <c r="AM19" s="57">
        <v>19.625666110000004</v>
      </c>
      <c r="AN19" s="61" t="str">
        <f t="shared" si="17"/>
        <v>--</v>
      </c>
      <c r="AO19" s="59">
        <v>11.21120807</v>
      </c>
      <c r="AP19" s="60"/>
      <c r="AQ19" s="61">
        <f t="shared" si="18"/>
        <v>-1</v>
      </c>
      <c r="AR19" s="59">
        <v>30.794083931400003</v>
      </c>
      <c r="AS19" s="60"/>
      <c r="AT19" s="61">
        <f t="shared" si="19"/>
        <v>-1</v>
      </c>
      <c r="AU19" s="57">
        <v>44.566599549999999</v>
      </c>
      <c r="AV19" s="57">
        <v>39.834763699999996</v>
      </c>
      <c r="AW19" s="57">
        <v>46.80365029</v>
      </c>
      <c r="AX19" s="57">
        <v>35.394140030000003</v>
      </c>
      <c r="AY19" s="57">
        <v>72.167749120000011</v>
      </c>
    </row>
    <row r="20" spans="1:51" s="46" customFormat="1" ht="16.5" thickBot="1" x14ac:dyDescent="0.25">
      <c r="A20" s="52" t="s">
        <v>34</v>
      </c>
      <c r="B20" s="53"/>
      <c r="C20" s="54"/>
      <c r="D20" s="61" t="str">
        <f t="shared" si="6"/>
        <v>--</v>
      </c>
      <c r="E20" s="53"/>
      <c r="F20" s="54"/>
      <c r="G20" s="61" t="str">
        <f t="shared" si="7"/>
        <v>--</v>
      </c>
      <c r="H20" s="53"/>
      <c r="I20" s="54"/>
      <c r="J20" s="61" t="str">
        <f t="shared" si="8"/>
        <v>--</v>
      </c>
      <c r="K20" s="53"/>
      <c r="L20" s="54"/>
      <c r="M20" s="61" t="str">
        <f t="shared" si="9"/>
        <v>--</v>
      </c>
      <c r="N20" s="53"/>
      <c r="O20" s="54"/>
      <c r="P20" s="61" t="str">
        <f t="shared" si="10"/>
        <v>--</v>
      </c>
      <c r="Q20" s="53"/>
      <c r="R20" s="54"/>
      <c r="S20" s="61" t="str">
        <f t="shared" si="11"/>
        <v>--</v>
      </c>
      <c r="T20" s="53"/>
      <c r="U20" s="54"/>
      <c r="V20" s="61" t="str">
        <f t="shared" si="12"/>
        <v>--</v>
      </c>
      <c r="W20" s="53"/>
      <c r="X20" s="56"/>
      <c r="Y20" s="61"/>
      <c r="Z20" s="53"/>
      <c r="AA20" s="57">
        <v>6.5227047900000015</v>
      </c>
      <c r="AB20" s="61" t="str">
        <f t="shared" si="13"/>
        <v>--</v>
      </c>
      <c r="AC20" s="53"/>
      <c r="AD20" s="57">
        <v>7.0361414199999999</v>
      </c>
      <c r="AE20" s="61" t="str">
        <f t="shared" si="14"/>
        <v>--</v>
      </c>
      <c r="AF20" s="53"/>
      <c r="AG20" s="57">
        <v>12.46004233</v>
      </c>
      <c r="AH20" s="61" t="str">
        <f t="shared" si="15"/>
        <v>--</v>
      </c>
      <c r="AI20" s="53"/>
      <c r="AJ20" s="57">
        <v>7.4051196899999994</v>
      </c>
      <c r="AK20" s="61" t="str">
        <f t="shared" si="16"/>
        <v>--</v>
      </c>
      <c r="AL20" s="58"/>
      <c r="AM20" s="57">
        <v>5.3126858600000002</v>
      </c>
      <c r="AN20" s="61" t="str">
        <f t="shared" si="17"/>
        <v>--</v>
      </c>
      <c r="AO20" s="59">
        <v>6.1472000000100007</v>
      </c>
      <c r="AP20" s="60"/>
      <c r="AQ20" s="61">
        <f t="shared" si="18"/>
        <v>-1</v>
      </c>
      <c r="AR20" s="59">
        <v>5.0864260556400005</v>
      </c>
      <c r="AS20" s="60"/>
      <c r="AT20" s="61">
        <f t="shared" si="19"/>
        <v>-1</v>
      </c>
      <c r="AU20" s="57">
        <v>13.733863359999999</v>
      </c>
      <c r="AV20" s="57">
        <v>10.41961482</v>
      </c>
      <c r="AW20" s="57">
        <v>16.80922756</v>
      </c>
      <c r="AX20" s="57">
        <v>12.524532730000001</v>
      </c>
      <c r="AY20" s="57">
        <v>12.31160732</v>
      </c>
    </row>
    <row r="21" spans="1:51" s="46" customFormat="1" ht="16.5" thickBot="1" x14ac:dyDescent="0.25">
      <c r="A21" s="52" t="s">
        <v>66</v>
      </c>
      <c r="B21" s="53"/>
      <c r="C21" s="54"/>
      <c r="D21" s="61" t="str">
        <f t="shared" si="6"/>
        <v>--</v>
      </c>
      <c r="E21" s="53"/>
      <c r="F21" s="54"/>
      <c r="G21" s="61" t="str">
        <f t="shared" si="7"/>
        <v>--</v>
      </c>
      <c r="H21" s="53"/>
      <c r="I21" s="54"/>
      <c r="J21" s="61" t="str">
        <f t="shared" si="8"/>
        <v>--</v>
      </c>
      <c r="K21" s="53"/>
      <c r="L21" s="54"/>
      <c r="M21" s="61" t="str">
        <f t="shared" si="9"/>
        <v>--</v>
      </c>
      <c r="N21" s="53"/>
      <c r="O21" s="54"/>
      <c r="P21" s="61" t="str">
        <f t="shared" si="10"/>
        <v>--</v>
      </c>
      <c r="Q21" s="53"/>
      <c r="R21" s="54"/>
      <c r="S21" s="61" t="str">
        <f t="shared" si="11"/>
        <v>--</v>
      </c>
      <c r="T21" s="53"/>
      <c r="U21" s="54"/>
      <c r="V21" s="61" t="str">
        <f t="shared" si="12"/>
        <v>--</v>
      </c>
      <c r="W21" s="53"/>
      <c r="X21" s="56"/>
      <c r="Y21" s="61"/>
      <c r="Z21" s="53"/>
      <c r="AA21" s="57">
        <v>0</v>
      </c>
      <c r="AB21" s="61" t="str">
        <f t="shared" si="13"/>
        <v>--</v>
      </c>
      <c r="AC21" s="53"/>
      <c r="AD21" s="57">
        <v>-4.2583880000000005E-2</v>
      </c>
      <c r="AE21" s="61" t="str">
        <f t="shared" si="14"/>
        <v>--</v>
      </c>
      <c r="AF21" s="53"/>
      <c r="AG21" s="57">
        <v>0</v>
      </c>
      <c r="AH21" s="61" t="str">
        <f t="shared" si="15"/>
        <v>--</v>
      </c>
      <c r="AI21" s="53"/>
      <c r="AJ21" s="57">
        <v>0</v>
      </c>
      <c r="AK21" s="61" t="str">
        <f t="shared" si="16"/>
        <v>--</v>
      </c>
      <c r="AL21" s="58"/>
      <c r="AM21" s="57">
        <v>0</v>
      </c>
      <c r="AN21" s="61" t="str">
        <f t="shared" si="17"/>
        <v>--</v>
      </c>
      <c r="AO21" s="59">
        <v>0</v>
      </c>
      <c r="AP21" s="60"/>
      <c r="AQ21" s="61" t="str">
        <f t="shared" si="18"/>
        <v>--</v>
      </c>
      <c r="AR21" s="59">
        <v>0</v>
      </c>
      <c r="AS21" s="60"/>
      <c r="AT21" s="61" t="str">
        <f t="shared" si="19"/>
        <v>--</v>
      </c>
      <c r="AU21" s="57">
        <v>0</v>
      </c>
      <c r="AV21" s="57">
        <v>0</v>
      </c>
      <c r="AW21" s="57">
        <v>0</v>
      </c>
      <c r="AX21" s="57">
        <v>0</v>
      </c>
      <c r="AY21" s="57">
        <v>0</v>
      </c>
    </row>
    <row r="22" spans="1:51" s="46" customFormat="1" ht="16.5" thickBot="1" x14ac:dyDescent="0.25">
      <c r="A22" s="52" t="s">
        <v>67</v>
      </c>
      <c r="B22" s="62">
        <f>SUM(B17:B20)</f>
        <v>0</v>
      </c>
      <c r="C22" s="62"/>
      <c r="D22" s="63" t="str">
        <f t="shared" si="6"/>
        <v>--</v>
      </c>
      <c r="E22" s="62">
        <f>SUM(E17:E20)</f>
        <v>0</v>
      </c>
      <c r="F22" s="62"/>
      <c r="G22" s="63" t="str">
        <f t="shared" si="7"/>
        <v>--</v>
      </c>
      <c r="H22" s="62">
        <f>SUM(H17:H20)</f>
        <v>0</v>
      </c>
      <c r="I22" s="62"/>
      <c r="J22" s="63" t="str">
        <f t="shared" si="8"/>
        <v>--</v>
      </c>
      <c r="K22" s="62">
        <f>SUM(K17:K20)</f>
        <v>0</v>
      </c>
      <c r="L22" s="62"/>
      <c r="M22" s="63" t="str">
        <f t="shared" si="9"/>
        <v>--</v>
      </c>
      <c r="N22" s="62">
        <f>SUM(N17:N20)</f>
        <v>0</v>
      </c>
      <c r="O22" s="62"/>
      <c r="P22" s="63" t="str">
        <f t="shared" si="10"/>
        <v>--</v>
      </c>
      <c r="Q22" s="62">
        <f>SUM(Q17:Q20)</f>
        <v>0</v>
      </c>
      <c r="R22" s="62"/>
      <c r="S22" s="63" t="str">
        <f t="shared" si="11"/>
        <v>--</v>
      </c>
      <c r="T22" s="62">
        <f>SUM(T17:T20)</f>
        <v>0</v>
      </c>
      <c r="U22" s="62"/>
      <c r="V22" s="63" t="str">
        <f t="shared" si="12"/>
        <v>--</v>
      </c>
      <c r="W22" s="62"/>
      <c r="X22" s="64"/>
      <c r="Y22" s="63"/>
      <c r="Z22" s="62">
        <f>SUM(Z17:Z20)</f>
        <v>0</v>
      </c>
      <c r="AA22" s="65">
        <f>SUM(AA17:AA21)</f>
        <v>50.269223900999997</v>
      </c>
      <c r="AB22" s="63" t="str">
        <f t="shared" si="13"/>
        <v>--</v>
      </c>
      <c r="AC22" s="62">
        <f>SUM(AC17:AC21)</f>
        <v>0</v>
      </c>
      <c r="AD22" s="65">
        <f>SUM(AD17:AD21)</f>
        <v>71.874798619999979</v>
      </c>
      <c r="AE22" s="63" t="str">
        <f t="shared" si="14"/>
        <v>--</v>
      </c>
      <c r="AF22" s="62">
        <f>SUM(AF17:AF21)</f>
        <v>0</v>
      </c>
      <c r="AG22" s="65">
        <f>SUM(AG17:AG21)</f>
        <v>101.06004048999998</v>
      </c>
      <c r="AH22" s="63" t="str">
        <f t="shared" si="15"/>
        <v>--</v>
      </c>
      <c r="AI22" s="62">
        <f>SUM(AI17:AI21)</f>
        <v>0</v>
      </c>
      <c r="AJ22" s="65">
        <f>SUM(AJ17:AJ21)</f>
        <v>88.609977549999996</v>
      </c>
      <c r="AK22" s="63" t="str">
        <f t="shared" si="16"/>
        <v>--</v>
      </c>
      <c r="AL22" s="62">
        <f>SUM(AL17:AL21)</f>
        <v>0</v>
      </c>
      <c r="AM22" s="65">
        <f>SUM(AM17:AM21)</f>
        <v>94.640503930000008</v>
      </c>
      <c r="AN22" s="63" t="str">
        <f t="shared" si="17"/>
        <v>--</v>
      </c>
      <c r="AO22" s="65">
        <f>SUM(AO17:AO21)</f>
        <v>79.248809681170002</v>
      </c>
      <c r="AP22" s="66">
        <f>SUM(AP17:AP21)</f>
        <v>0</v>
      </c>
      <c r="AQ22" s="63">
        <f t="shared" si="18"/>
        <v>-1</v>
      </c>
      <c r="AR22" s="65">
        <f>SUM(AR17:AR21)</f>
        <v>103.799409986</v>
      </c>
      <c r="AS22" s="66">
        <f>SUM(AS17:AS21)</f>
        <v>0</v>
      </c>
      <c r="AT22" s="63">
        <f t="shared" si="19"/>
        <v>-1</v>
      </c>
      <c r="AU22" s="65">
        <f t="shared" ref="AU22:AY22" si="20">SUM(AU17:AU21)</f>
        <v>189.50356819999999</v>
      </c>
      <c r="AV22" s="65">
        <f t="shared" si="20"/>
        <v>170.00293453</v>
      </c>
      <c r="AW22" s="65">
        <f t="shared" si="20"/>
        <v>183.02132848000002</v>
      </c>
      <c r="AX22" s="65">
        <f t="shared" si="20"/>
        <v>186.87857034000004</v>
      </c>
      <c r="AY22" s="65">
        <f t="shared" si="20"/>
        <v>229.28997836000002</v>
      </c>
    </row>
    <row r="23" spans="1:51" s="46" customFormat="1" ht="16.5" thickBot="1" x14ac:dyDescent="0.25">
      <c r="A23" s="52" t="s">
        <v>68</v>
      </c>
      <c r="B23" s="67"/>
      <c r="C23" s="68"/>
      <c r="D23" s="69" t="str">
        <f t="shared" si="6"/>
        <v>--</v>
      </c>
      <c r="E23" s="67"/>
      <c r="F23" s="68"/>
      <c r="G23" s="69" t="str">
        <f t="shared" si="7"/>
        <v>--</v>
      </c>
      <c r="H23" s="67"/>
      <c r="I23" s="68"/>
      <c r="J23" s="69" t="str">
        <f t="shared" si="8"/>
        <v>--</v>
      </c>
      <c r="K23" s="67"/>
      <c r="L23" s="68"/>
      <c r="M23" s="69" t="str">
        <f t="shared" si="9"/>
        <v>--</v>
      </c>
      <c r="N23" s="67"/>
      <c r="O23" s="68"/>
      <c r="P23" s="69" t="str">
        <f t="shared" si="10"/>
        <v>--</v>
      </c>
      <c r="Q23" s="67"/>
      <c r="R23" s="68"/>
      <c r="S23" s="69" t="str">
        <f t="shared" si="11"/>
        <v>--</v>
      </c>
      <c r="T23" s="67"/>
      <c r="U23" s="68"/>
      <c r="V23" s="69" t="str">
        <f t="shared" si="12"/>
        <v>--</v>
      </c>
      <c r="W23" s="67"/>
      <c r="X23" s="70"/>
      <c r="Y23" s="69"/>
      <c r="Z23" s="67"/>
      <c r="AA23" s="71">
        <v>15.078837689999993</v>
      </c>
      <c r="AB23" s="69" t="str">
        <f t="shared" si="13"/>
        <v>--</v>
      </c>
      <c r="AC23" s="67"/>
      <c r="AD23" s="71">
        <v>18.492121089999998</v>
      </c>
      <c r="AE23" s="69" t="str">
        <f t="shared" si="14"/>
        <v>--</v>
      </c>
      <c r="AF23" s="67"/>
      <c r="AG23" s="71">
        <v>22.65086771</v>
      </c>
      <c r="AH23" s="69" t="str">
        <f t="shared" si="15"/>
        <v>--</v>
      </c>
      <c r="AI23" s="67"/>
      <c r="AJ23" s="71">
        <v>36.06463378000003</v>
      </c>
      <c r="AK23" s="69" t="str">
        <f t="shared" si="16"/>
        <v>--</v>
      </c>
      <c r="AL23" s="67"/>
      <c r="AM23" s="71">
        <v>25.771143890000005</v>
      </c>
      <c r="AN23" s="69" t="str">
        <f t="shared" si="17"/>
        <v>--</v>
      </c>
      <c r="AO23" s="72">
        <v>19.496998354400002</v>
      </c>
      <c r="AP23" s="73"/>
      <c r="AQ23" s="69">
        <f t="shared" si="18"/>
        <v>-1</v>
      </c>
      <c r="AR23" s="72">
        <v>26.600321603279998</v>
      </c>
      <c r="AS23" s="73"/>
      <c r="AT23" s="69">
        <f t="shared" si="19"/>
        <v>-1</v>
      </c>
      <c r="AU23" s="71">
        <v>66.167355029999996</v>
      </c>
      <c r="AV23" s="71">
        <v>40.269778289999998</v>
      </c>
      <c r="AW23" s="71">
        <v>33.283954940000001</v>
      </c>
      <c r="AX23" s="71">
        <v>37.865005889999999</v>
      </c>
      <c r="AY23" s="71">
        <v>41.148531990000002</v>
      </c>
    </row>
    <row r="24" spans="1:51" s="46" customFormat="1" ht="16.5" thickBot="1" x14ac:dyDescent="0.25">
      <c r="A24" s="74" t="s">
        <v>69</v>
      </c>
      <c r="B24" s="75">
        <f>B22-B23</f>
        <v>0</v>
      </c>
      <c r="C24" s="75"/>
      <c r="D24" s="76" t="str">
        <f t="shared" si="6"/>
        <v>--</v>
      </c>
      <c r="E24" s="77">
        <f>E22-E23</f>
        <v>0</v>
      </c>
      <c r="F24" s="75"/>
      <c r="G24" s="76" t="str">
        <f t="shared" si="7"/>
        <v>--</v>
      </c>
      <c r="H24" s="77">
        <f>H22-H23</f>
        <v>0</v>
      </c>
      <c r="I24" s="75"/>
      <c r="J24" s="76" t="str">
        <f t="shared" si="8"/>
        <v>--</v>
      </c>
      <c r="K24" s="77">
        <f>K22-K23</f>
        <v>0</v>
      </c>
      <c r="L24" s="75"/>
      <c r="M24" s="76" t="str">
        <f t="shared" si="9"/>
        <v>--</v>
      </c>
      <c r="N24" s="77">
        <f>N22-N23</f>
        <v>0</v>
      </c>
      <c r="O24" s="75"/>
      <c r="P24" s="76" t="str">
        <f t="shared" si="10"/>
        <v>--</v>
      </c>
      <c r="Q24" s="77">
        <f>Q22-Q23</f>
        <v>0</v>
      </c>
      <c r="R24" s="75"/>
      <c r="S24" s="76" t="str">
        <f t="shared" si="11"/>
        <v>--</v>
      </c>
      <c r="T24" s="77">
        <f>T22-T23</f>
        <v>0</v>
      </c>
      <c r="U24" s="75"/>
      <c r="V24" s="76" t="str">
        <f t="shared" si="12"/>
        <v>--</v>
      </c>
      <c r="W24" s="77"/>
      <c r="X24" s="78"/>
      <c r="Y24" s="76"/>
      <c r="Z24" s="77">
        <f>Z22-Z23</f>
        <v>0</v>
      </c>
      <c r="AA24" s="79">
        <f>AA22-AA23</f>
        <v>35.190386211000003</v>
      </c>
      <c r="AB24" s="76" t="str">
        <f t="shared" si="13"/>
        <v>--</v>
      </c>
      <c r="AC24" s="77">
        <f>AC22-AC23</f>
        <v>0</v>
      </c>
      <c r="AD24" s="79">
        <f>AD22-AD23</f>
        <v>53.382677529999981</v>
      </c>
      <c r="AE24" s="76" t="str">
        <f t="shared" si="14"/>
        <v>--</v>
      </c>
      <c r="AF24" s="77">
        <f>AF22-AF23</f>
        <v>0</v>
      </c>
      <c r="AG24" s="79">
        <f>AG22-AG23</f>
        <v>78.409172779999977</v>
      </c>
      <c r="AH24" s="76" t="str">
        <f t="shared" si="15"/>
        <v>--</v>
      </c>
      <c r="AI24" s="77">
        <f>AI22-AI23</f>
        <v>0</v>
      </c>
      <c r="AJ24" s="79">
        <f>AJ22-AJ23</f>
        <v>52.545343769999967</v>
      </c>
      <c r="AK24" s="76" t="str">
        <f t="shared" si="16"/>
        <v>--</v>
      </c>
      <c r="AL24" s="77">
        <f>AL22-AL23</f>
        <v>0</v>
      </c>
      <c r="AM24" s="79">
        <f>AM22-AM23</f>
        <v>68.869360040000004</v>
      </c>
      <c r="AN24" s="76" t="str">
        <f t="shared" si="17"/>
        <v>--</v>
      </c>
      <c r="AO24" s="80">
        <f>AO22-AO23</f>
        <v>59.751811326769996</v>
      </c>
      <c r="AP24" s="81">
        <f>AP22-AP23</f>
        <v>0</v>
      </c>
      <c r="AQ24" s="76">
        <f t="shared" si="18"/>
        <v>-1</v>
      </c>
      <c r="AR24" s="80">
        <f>AR22-AR23</f>
        <v>77.199088382720007</v>
      </c>
      <c r="AS24" s="81">
        <f>AS22-AS23</f>
        <v>0</v>
      </c>
      <c r="AT24" s="76">
        <f t="shared" si="19"/>
        <v>-1</v>
      </c>
      <c r="AU24" s="79">
        <f t="shared" ref="AU24:AY24" si="21">AU22-AU23</f>
        <v>123.33621316999999</v>
      </c>
      <c r="AV24" s="79">
        <f t="shared" si="21"/>
        <v>129.73315624</v>
      </c>
      <c r="AW24" s="79">
        <f t="shared" si="21"/>
        <v>149.73737354000002</v>
      </c>
      <c r="AX24" s="79">
        <f t="shared" si="21"/>
        <v>149.01356445000005</v>
      </c>
      <c r="AY24" s="79">
        <f t="shared" si="21"/>
        <v>188.14144637000001</v>
      </c>
    </row>
    <row r="25" spans="1:51" s="46" customFormat="1" ht="16.5" thickBot="1" x14ac:dyDescent="0.25">
      <c r="A25" s="82" t="s">
        <v>70</v>
      </c>
      <c r="B25" s="83"/>
      <c r="C25" s="84"/>
      <c r="D25" s="85"/>
      <c r="E25" s="86"/>
      <c r="F25" s="87"/>
      <c r="G25" s="85"/>
      <c r="H25" s="88"/>
      <c r="I25" s="84"/>
      <c r="J25" s="85"/>
      <c r="K25" s="88"/>
      <c r="L25" s="89"/>
      <c r="M25" s="90"/>
      <c r="N25" s="88"/>
      <c r="O25" s="89"/>
      <c r="P25" s="90"/>
      <c r="Q25" s="88"/>
      <c r="R25" s="89"/>
      <c r="S25" s="91"/>
      <c r="T25" s="83"/>
      <c r="U25" s="84"/>
      <c r="V25" s="85"/>
      <c r="W25" s="86"/>
      <c r="X25" s="92"/>
      <c r="Y25" s="91"/>
      <c r="Z25" s="86"/>
      <c r="AA25" s="93">
        <v>31.348293609999995</v>
      </c>
      <c r="AB25" s="85"/>
      <c r="AC25" s="88"/>
      <c r="AD25" s="94">
        <v>37.939641799999997</v>
      </c>
      <c r="AE25" s="91"/>
      <c r="AF25" s="83"/>
      <c r="AG25" s="95">
        <v>31.770011309999994</v>
      </c>
      <c r="AH25" s="91"/>
      <c r="AI25" s="86"/>
      <c r="AJ25" s="93">
        <v>37.578852069999996</v>
      </c>
      <c r="AK25" s="85"/>
      <c r="AL25" s="86"/>
      <c r="AM25" s="93">
        <v>63.56656654999999</v>
      </c>
      <c r="AN25" s="85"/>
      <c r="AO25" s="96">
        <v>62.544999220009991</v>
      </c>
      <c r="AP25" s="97"/>
      <c r="AQ25" s="91"/>
      <c r="AR25" s="96">
        <v>69.330227707219976</v>
      </c>
      <c r="AS25" s="98"/>
      <c r="AT25" s="90"/>
      <c r="AU25" s="95">
        <v>126.36479010721997</v>
      </c>
      <c r="AV25" s="94">
        <v>133.69297334721995</v>
      </c>
      <c r="AW25" s="93">
        <v>146.21287957721995</v>
      </c>
      <c r="AX25" s="94">
        <v>167.32088685721988</v>
      </c>
      <c r="AY25" s="94">
        <v>101.07740912721988</v>
      </c>
    </row>
    <row r="26" spans="1:51" s="46" customFormat="1" ht="16.5" thickBot="1" x14ac:dyDescent="0.25">
      <c r="A26" s="52" t="s">
        <v>71</v>
      </c>
      <c r="B26" s="99"/>
      <c r="C26" s="100">
        <v>0</v>
      </c>
      <c r="D26" s="101" t="str">
        <f t="shared" ref="D26" si="22">IF(ISERROR((C26-B26)/B26),"--",(C26-B26)/B26)</f>
        <v>--</v>
      </c>
      <c r="E26" s="99"/>
      <c r="F26" s="100">
        <v>0</v>
      </c>
      <c r="G26" s="101" t="str">
        <f t="shared" ref="G26" si="23">IF(ISERROR((F26-E26)/E26),"--",(F26-E26)/E26)</f>
        <v>--</v>
      </c>
      <c r="H26" s="99"/>
      <c r="I26" s="100">
        <v>0</v>
      </c>
      <c r="J26" s="101" t="str">
        <f t="shared" ref="J26" si="24">IF(ISERROR((I26-H26)/H26),"--",(I26-H26)/H26)</f>
        <v>--</v>
      </c>
      <c r="K26" s="99"/>
      <c r="L26" s="100">
        <v>0</v>
      </c>
      <c r="M26" s="101" t="str">
        <f t="shared" ref="M26" si="25">IF(ISERROR((L26-K26)/K26),"--",(L26-K26)/K26)</f>
        <v>--</v>
      </c>
      <c r="N26" s="99"/>
      <c r="O26" s="100">
        <v>0</v>
      </c>
      <c r="P26" s="101" t="str">
        <f t="shared" ref="P26" si="26">IF(ISERROR((O26-N26)/N26),"--",(O26-N26)/N26)</f>
        <v>--</v>
      </c>
      <c r="Q26" s="99"/>
      <c r="R26" s="100">
        <v>0</v>
      </c>
      <c r="S26" s="101" t="str">
        <f t="shared" si="11"/>
        <v>--</v>
      </c>
      <c r="T26" s="99"/>
      <c r="U26" s="100">
        <v>0</v>
      </c>
      <c r="V26" s="101" t="str">
        <f t="shared" si="12"/>
        <v>--</v>
      </c>
      <c r="W26" s="99"/>
      <c r="X26" s="102"/>
      <c r="Y26" s="101"/>
      <c r="Z26" s="99"/>
      <c r="AA26" s="103">
        <v>13.97</v>
      </c>
      <c r="AB26" s="101" t="str">
        <f t="shared" si="13"/>
        <v>--</v>
      </c>
      <c r="AC26" s="99"/>
      <c r="AD26" s="103">
        <v>14.93</v>
      </c>
      <c r="AE26" s="101"/>
      <c r="AF26" s="99"/>
      <c r="AG26" s="103">
        <v>15.71</v>
      </c>
      <c r="AH26" s="101"/>
      <c r="AI26" s="99"/>
      <c r="AJ26" s="103">
        <v>15.55</v>
      </c>
      <c r="AK26" s="101"/>
      <c r="AL26" s="104"/>
      <c r="AM26" s="103">
        <v>20.440000000000001</v>
      </c>
      <c r="AN26" s="101"/>
      <c r="AO26" s="105">
        <v>20.09</v>
      </c>
      <c r="AP26" s="99"/>
      <c r="AQ26" s="101"/>
      <c r="AR26" s="105">
        <v>21.26</v>
      </c>
      <c r="AS26" s="104"/>
      <c r="AT26" s="101"/>
      <c r="AU26" s="105">
        <v>25.16</v>
      </c>
      <c r="AV26" s="105">
        <v>27.66</v>
      </c>
      <c r="AW26" s="105">
        <v>28.32</v>
      </c>
      <c r="AX26" s="105">
        <v>29.1</v>
      </c>
      <c r="AY26" s="105">
        <v>29.88</v>
      </c>
    </row>
    <row r="27" spans="1:51" s="46" customFormat="1" x14ac:dyDescent="0.25">
      <c r="A27" s="333" t="s">
        <v>72</v>
      </c>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row>
    <row r="28" spans="1:51" s="106" customFormat="1" ht="12.75" x14ac:dyDescent="0.2">
      <c r="U28" s="106">
        <f>IF(T14=2013,5,IF(T14=2014,6,IF(T14=2015,7,IF(T14=2016,8,IF(T14=2017,9,IF(T14=2018,10,IF(T14=2019,11,IF(T14=2020,12,IF(T14=2021,13,IF(T14=2022,14,IF(T14=2023,15)))))))))))</f>
        <v>10</v>
      </c>
      <c r="X28" s="106">
        <f>IF(W14=2013,5,IF(W14=2014,6,IF(W14=2015,7,IF(W14=2016,8,IF(W14=2017,9,IF(W14=2018,10,IF(W14=2019,11,IF(W14=2020,12,IF(W14=2021,13,IF(W14=2022,14,IF(W14=2023,15)))))))))))</f>
        <v>11</v>
      </c>
      <c r="AG28" s="106">
        <f>IF(AF14=2013,5,IF(AF14=2014,6,IF(AF14=2015,7,IF(AF14=2016,8,IF(AF14=2017,9,IF(AF14=2018,10,IF(AF14=2019,11,IF(AF14=2020,12,IF(AF14=2021,13,IF(AF14=2022,14,IF(AF14=2023,15)))))))))))</f>
        <v>14</v>
      </c>
      <c r="AJ28" s="106">
        <f>IF(AI14=2013,5,IF(AI14=2014,6,IF(AI14=2015,7,IF(AI14=2016,8,IF(AI14=2017,9,IF(AI14=2018,10,IF(AI14=2019,11,IF(AI14=2020,12,IF(AI14=2021,13,IF(AI14=2022,14,IF(AI14=2023,15)))))))))))</f>
        <v>15</v>
      </c>
      <c r="AM28" s="106" t="b">
        <f>IF(AL14=2013,5,IF(AL14=2014,6,IF(AL14=2015,7,IF(AL14=2016,8,IF(AL14=2017,9,IF(AL14=2018,10,IF(AL14=2019,11,IF(AL14=2020,12,IF(AL14=2021,13,IF(AL14=2022,14,IF(AL14=2023,15)))))))))))</f>
        <v>0</v>
      </c>
    </row>
    <row r="29" spans="1:51" s="110" customFormat="1" ht="12.75" x14ac:dyDescent="0.2">
      <c r="A29" s="107"/>
      <c r="B29" s="340"/>
      <c r="C29" s="108">
        <f>B14</f>
        <v>2012</v>
      </c>
      <c r="D29" s="327"/>
      <c r="E29" s="328"/>
      <c r="F29" s="108">
        <f>C29+1</f>
        <v>2013</v>
      </c>
      <c r="G29" s="327"/>
      <c r="H29" s="328"/>
      <c r="I29" s="108">
        <f>F29+1</f>
        <v>2014</v>
      </c>
      <c r="J29" s="327"/>
      <c r="K29" s="328"/>
      <c r="L29" s="108">
        <f>I29+1</f>
        <v>2015</v>
      </c>
      <c r="M29" s="327"/>
      <c r="N29" s="328"/>
      <c r="O29" s="108">
        <f>L29+1</f>
        <v>2016</v>
      </c>
      <c r="P29" s="327"/>
      <c r="Q29" s="328"/>
      <c r="R29" s="108">
        <f>O29+1</f>
        <v>2017</v>
      </c>
      <c r="S29" s="327"/>
      <c r="T29" s="328"/>
      <c r="U29" s="108">
        <f>R29+1</f>
        <v>2018</v>
      </c>
      <c r="V29" s="327"/>
      <c r="W29" s="328"/>
      <c r="X29" s="108">
        <f>U29+1</f>
        <v>2019</v>
      </c>
      <c r="Y29" s="327"/>
      <c r="Z29" s="328"/>
      <c r="AA29" s="108">
        <f>X29+1</f>
        <v>2020</v>
      </c>
      <c r="AB29" s="327"/>
      <c r="AC29" s="328"/>
      <c r="AD29" s="108">
        <f>AA29+1</f>
        <v>2021</v>
      </c>
      <c r="AE29" s="327"/>
      <c r="AF29" s="328"/>
      <c r="AG29" s="108">
        <f>AD29+1</f>
        <v>2022</v>
      </c>
      <c r="AH29" s="327"/>
      <c r="AI29" s="328"/>
      <c r="AJ29" s="108">
        <f>AG29+1</f>
        <v>2023</v>
      </c>
      <c r="AK29" s="327"/>
      <c r="AL29" s="328"/>
      <c r="AM29" s="108">
        <f>AJ29+1</f>
        <v>2024</v>
      </c>
      <c r="AN29" s="109"/>
      <c r="AO29" s="108">
        <f>AM29+1</f>
        <v>2025</v>
      </c>
      <c r="AP29" s="327"/>
      <c r="AQ29" s="328"/>
      <c r="AR29" s="108">
        <f>AO29+1</f>
        <v>2026</v>
      </c>
      <c r="AS29" s="327"/>
      <c r="AT29" s="328"/>
      <c r="AU29" s="108">
        <f>AU14</f>
        <v>2027</v>
      </c>
      <c r="AV29" s="108">
        <f>AU29+1</f>
        <v>2028</v>
      </c>
      <c r="AW29" s="108">
        <f t="shared" ref="AW29:AY29" si="27">AV29+1</f>
        <v>2029</v>
      </c>
      <c r="AX29" s="108">
        <f t="shared" si="27"/>
        <v>2030</v>
      </c>
      <c r="AY29" s="108">
        <f t="shared" si="27"/>
        <v>2031</v>
      </c>
    </row>
    <row r="30" spans="1:51" s="115" customFormat="1" ht="12.75" x14ac:dyDescent="0.2">
      <c r="A30" s="108" t="s">
        <v>73</v>
      </c>
      <c r="B30" s="340"/>
      <c r="C30" s="111"/>
      <c r="D30" s="329"/>
      <c r="E30" s="330"/>
      <c r="F30" s="111"/>
      <c r="G30" s="329"/>
      <c r="H30" s="330"/>
      <c r="I30" s="111"/>
      <c r="J30" s="329"/>
      <c r="K30" s="330"/>
      <c r="L30" s="111"/>
      <c r="M30" s="329"/>
      <c r="N30" s="330"/>
      <c r="O30" s="111"/>
      <c r="P30" s="329"/>
      <c r="Q30" s="330"/>
      <c r="R30" s="111"/>
      <c r="S30" s="329"/>
      <c r="T30" s="330"/>
      <c r="U30" s="111"/>
      <c r="V30" s="329"/>
      <c r="W30" s="330"/>
      <c r="X30" s="112"/>
      <c r="Y30" s="329"/>
      <c r="Z30" s="330"/>
      <c r="AA30" s="113">
        <v>35.190386211000003</v>
      </c>
      <c r="AB30" s="329"/>
      <c r="AC30" s="330"/>
      <c r="AD30" s="113">
        <v>53.382677529999981</v>
      </c>
      <c r="AE30" s="329"/>
      <c r="AF30" s="330"/>
      <c r="AG30" s="113">
        <v>78.409172779999963</v>
      </c>
      <c r="AH30" s="329"/>
      <c r="AI30" s="330"/>
      <c r="AJ30" s="113">
        <v>52.54534376999996</v>
      </c>
      <c r="AK30" s="329"/>
      <c r="AL30" s="330"/>
      <c r="AM30" s="113">
        <v>68.869360039999989</v>
      </c>
      <c r="AN30" s="114"/>
      <c r="AO30" s="113">
        <v>59.751811326770003</v>
      </c>
      <c r="AP30" s="329"/>
      <c r="AQ30" s="330"/>
      <c r="AR30" s="113">
        <v>77.199088382720007</v>
      </c>
      <c r="AS30" s="329"/>
      <c r="AT30" s="330"/>
      <c r="AU30" s="113">
        <v>123.33621316999999</v>
      </c>
      <c r="AV30" s="113">
        <v>129.73315624</v>
      </c>
      <c r="AW30" s="113">
        <v>149.73737354000002</v>
      </c>
      <c r="AX30" s="113">
        <v>149.01356445000002</v>
      </c>
      <c r="AY30" s="113">
        <v>188.14144637000004</v>
      </c>
    </row>
    <row r="31" spans="1:51" s="115" customFormat="1" x14ac:dyDescent="0.25">
      <c r="A31" s="108" t="s">
        <v>74</v>
      </c>
      <c r="B31" s="340"/>
      <c r="C31" s="116"/>
      <c r="D31" s="331"/>
      <c r="E31" s="332"/>
      <c r="F31" s="116"/>
      <c r="G31" s="331"/>
      <c r="H31" s="332"/>
      <c r="I31" s="116"/>
      <c r="J31" s="331"/>
      <c r="K31" s="332"/>
      <c r="L31" s="116"/>
      <c r="M31" s="331"/>
      <c r="N31" s="332"/>
      <c r="O31" s="116"/>
      <c r="P31" s="331"/>
      <c r="Q31" s="332"/>
      <c r="R31" s="116"/>
      <c r="S31" s="331"/>
      <c r="T31" s="332"/>
      <c r="U31" s="116"/>
      <c r="V31" s="331"/>
      <c r="W31" s="332"/>
      <c r="X31" s="116"/>
      <c r="Y31" s="331"/>
      <c r="Z31" s="332"/>
      <c r="AA31" s="117"/>
      <c r="AB31" s="331"/>
      <c r="AC31" s="332"/>
      <c r="AD31" s="117"/>
      <c r="AE31" s="331"/>
      <c r="AF31" s="332"/>
      <c r="AG31" s="117"/>
      <c r="AH31" s="331"/>
      <c r="AI31" s="332"/>
      <c r="AJ31" s="117"/>
      <c r="AK31" s="331"/>
      <c r="AL31" s="332"/>
      <c r="AM31" s="117"/>
      <c r="AN31" s="118"/>
      <c r="AO31" s="117"/>
      <c r="AP31" s="331"/>
      <c r="AQ31" s="332"/>
      <c r="AR31" s="117"/>
      <c r="AS31" s="331"/>
      <c r="AT31" s="332"/>
      <c r="AU31" s="117"/>
      <c r="AV31" s="117"/>
      <c r="AW31" s="117"/>
      <c r="AX31" s="117"/>
      <c r="AY31" s="117"/>
    </row>
    <row r="32" spans="1:51" s="115" customFormat="1" ht="12.75" x14ac:dyDescent="0.2">
      <c r="A32" s="110"/>
      <c r="AA32" s="119"/>
      <c r="AB32" s="119"/>
      <c r="AC32" s="119"/>
      <c r="AD32" s="119"/>
    </row>
    <row r="33" spans="1:51" s="46" customFormat="1" ht="12.75" x14ac:dyDescent="0.2">
      <c r="X33" s="106"/>
      <c r="AM33" s="106"/>
      <c r="AP33" s="106"/>
    </row>
    <row r="34" spans="1:51" x14ac:dyDescent="0.25">
      <c r="A34" s="333" t="s">
        <v>75</v>
      </c>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row>
    <row r="35" spans="1:51" x14ac:dyDescent="0.25">
      <c r="A35" s="334" t="s">
        <v>76</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row>
    <row r="36" spans="1:51" x14ac:dyDescent="0.25">
      <c r="A36" s="324" t="s">
        <v>77</v>
      </c>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121"/>
      <c r="AN36" s="121"/>
      <c r="AO36" s="121"/>
      <c r="AP36" s="121"/>
      <c r="AQ36" s="121"/>
      <c r="AR36" s="121"/>
      <c r="AS36" s="121"/>
      <c r="AT36" s="121"/>
      <c r="AU36" s="121"/>
      <c r="AV36" s="121"/>
      <c r="AW36" s="121"/>
      <c r="AX36" s="121"/>
      <c r="AY36" s="121"/>
    </row>
    <row r="37" spans="1:51" x14ac:dyDescent="0.25">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row>
    <row r="38" spans="1:51" x14ac:dyDescent="0.25">
      <c r="A38" s="324" t="s">
        <v>78</v>
      </c>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row>
    <row r="39" spans="1:51" x14ac:dyDescent="0.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row>
    <row r="41" spans="1:51" ht="18.75" x14ac:dyDescent="0.3">
      <c r="A41" s="325" t="s">
        <v>79</v>
      </c>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row>
    <row r="42" spans="1:51" x14ac:dyDescent="0.25">
      <c r="A42" s="322" t="s">
        <v>80</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row>
    <row r="43" spans="1:51" x14ac:dyDescent="0.25">
      <c r="A43" s="318"/>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row>
    <row r="44" spans="1:51" x14ac:dyDescent="0.25">
      <c r="A44" s="320"/>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row>
    <row r="45" spans="1:51" x14ac:dyDescent="0.25">
      <c r="A45" s="322" t="s">
        <v>81</v>
      </c>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row>
    <row r="46" spans="1:51" x14ac:dyDescent="0.25">
      <c r="A46" s="318" t="s">
        <v>82</v>
      </c>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row>
    <row r="47" spans="1:51" x14ac:dyDescent="0.25">
      <c r="A47" s="320"/>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1"/>
    </row>
    <row r="48" spans="1:51" x14ac:dyDescent="0.25">
      <c r="A48" s="322" t="s">
        <v>83</v>
      </c>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row>
    <row r="49" spans="1:51" x14ac:dyDescent="0.25">
      <c r="A49" s="318" t="s">
        <v>82</v>
      </c>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row>
    <row r="50" spans="1:51" x14ac:dyDescent="0.25">
      <c r="A50" s="320"/>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row>
  </sheetData>
  <mergeCells count="69">
    <mergeCell ref="AC14:AE14"/>
    <mergeCell ref="A9:AY9"/>
    <mergeCell ref="A10:AY10"/>
    <mergeCell ref="A13:A16"/>
    <mergeCell ref="B13:AN13"/>
    <mergeCell ref="AO13:AT13"/>
    <mergeCell ref="AU13:AY13"/>
    <mergeCell ref="B14:D14"/>
    <mergeCell ref="E14:G14"/>
    <mergeCell ref="H14:J14"/>
    <mergeCell ref="K14:M14"/>
    <mergeCell ref="N14:P14"/>
    <mergeCell ref="Q14:S14"/>
    <mergeCell ref="T14:V14"/>
    <mergeCell ref="W14:Y14"/>
    <mergeCell ref="Z14:AB14"/>
    <mergeCell ref="AV14:AV15"/>
    <mergeCell ref="AW14:AW15"/>
    <mergeCell ref="AX14:AX15"/>
    <mergeCell ref="AY14:AY15"/>
    <mergeCell ref="B16:C16"/>
    <mergeCell ref="E16:F16"/>
    <mergeCell ref="H16:I16"/>
    <mergeCell ref="K16:L16"/>
    <mergeCell ref="N16:O16"/>
    <mergeCell ref="Q16:R16"/>
    <mergeCell ref="AF14:AH14"/>
    <mergeCell ref="AI14:AK14"/>
    <mergeCell ref="AL14:AN14"/>
    <mergeCell ref="AO14:AQ14"/>
    <mergeCell ref="AR14:AT14"/>
    <mergeCell ref="AU14:AU15"/>
    <mergeCell ref="AL16:AM16"/>
    <mergeCell ref="AO16:AP16"/>
    <mergeCell ref="AR16:AS16"/>
    <mergeCell ref="AU16:AY16"/>
    <mergeCell ref="A27:AY27"/>
    <mergeCell ref="T16:U16"/>
    <mergeCell ref="W16:X16"/>
    <mergeCell ref="Z16:AA16"/>
    <mergeCell ref="AC16:AD16"/>
    <mergeCell ref="AF16:AG16"/>
    <mergeCell ref="AI16:AJ16"/>
    <mergeCell ref="A35:AY35"/>
    <mergeCell ref="P29:Q31"/>
    <mergeCell ref="S29:T31"/>
    <mergeCell ref="V29:W31"/>
    <mergeCell ref="Y29:Z31"/>
    <mergeCell ref="AB29:AC31"/>
    <mergeCell ref="AE29:AF31"/>
    <mergeCell ref="B29:B31"/>
    <mergeCell ref="D29:E31"/>
    <mergeCell ref="G29:H31"/>
    <mergeCell ref="J29:K31"/>
    <mergeCell ref="M29:N31"/>
    <mergeCell ref="AH29:AI31"/>
    <mergeCell ref="AK29:AL31"/>
    <mergeCell ref="AP29:AQ31"/>
    <mergeCell ref="AS29:AT31"/>
    <mergeCell ref="A34:AY34"/>
    <mergeCell ref="A46:AY47"/>
    <mergeCell ref="A48:AY48"/>
    <mergeCell ref="A49:AY50"/>
    <mergeCell ref="A36:AL36"/>
    <mergeCell ref="A38:AY38"/>
    <mergeCell ref="A41:AY41"/>
    <mergeCell ref="A42:AY42"/>
    <mergeCell ref="A43:AY44"/>
    <mergeCell ref="A45:AY45"/>
  </mergeCells>
  <dataValidations count="3">
    <dataValidation type="list" allowBlank="1" showInputMessage="1" showErrorMessage="1" sqref="A8" xr:uid="{9071A510-7290-451F-81D0-9CB03F1A66EE}">
      <formula1>"Yes,No"</formula1>
    </dataValidation>
    <dataValidation type="list" allowBlank="1" showInputMessage="1" showErrorMessage="1" sqref="AY8" xr:uid="{390CB223-664F-4E87-80AE-88C90949DA03}">
      <formula1>"0,1,2,3,4,5,6,7,8,9,10,11,12"</formula1>
    </dataValidation>
    <dataValidation type="list" allowBlank="1" showInputMessage="1" showErrorMessage="1" sqref="AY7" xr:uid="{63974528-B4F0-4477-A0D9-147C089403B8}">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6A6B-3C80-4AF0-B24A-506F93F2FC3D}">
  <dimension ref="A1:S845"/>
  <sheetViews>
    <sheetView workbookViewId="0">
      <selection activeCell="A10" sqref="A10:O10"/>
    </sheetView>
  </sheetViews>
  <sheetFormatPr defaultColWidth="9.140625" defaultRowHeight="12.75" x14ac:dyDescent="0.2"/>
  <cols>
    <col min="1" max="1" width="7.5703125" style="122" customWidth="1"/>
    <col min="2" max="2" width="10.42578125" style="122" customWidth="1"/>
    <col min="3" max="3" width="46.7109375" style="123" customWidth="1"/>
    <col min="4" max="4" width="17.28515625" style="123" customWidth="1"/>
    <col min="5" max="6" width="14" style="123" customWidth="1"/>
    <col min="7" max="7" width="17.7109375" style="123" customWidth="1"/>
    <col min="8" max="8" width="14.7109375" style="123" customWidth="1"/>
    <col min="9" max="9" width="13.5703125" style="123" customWidth="1"/>
    <col min="10" max="10" width="1.5703125" style="123" customWidth="1"/>
    <col min="11" max="11" width="14.42578125" style="123" customWidth="1"/>
    <col min="12" max="12" width="15.5703125" style="123" customWidth="1"/>
    <col min="13" max="14" width="15.7109375" style="123" customWidth="1"/>
    <col min="15" max="15" width="15.28515625" style="123" customWidth="1"/>
    <col min="16" max="16" width="16" style="123" customWidth="1"/>
    <col min="17" max="17" width="9.140625" style="123"/>
    <col min="18" max="18" width="11.5703125" style="123" bestFit="1" customWidth="1"/>
    <col min="19" max="16384" width="9.140625" style="123"/>
  </cols>
  <sheetData>
    <row r="1" spans="1:16" x14ac:dyDescent="0.2">
      <c r="N1" s="124" t="s">
        <v>0</v>
      </c>
      <c r="O1" s="3" t="s">
        <v>1</v>
      </c>
    </row>
    <row r="2" spans="1:16" x14ac:dyDescent="0.2">
      <c r="N2" s="124" t="s">
        <v>2</v>
      </c>
      <c r="O2" s="125" t="s">
        <v>3</v>
      </c>
    </row>
    <row r="3" spans="1:16" x14ac:dyDescent="0.2">
      <c r="N3" s="124" t="s">
        <v>4</v>
      </c>
      <c r="O3" s="125">
        <v>1</v>
      </c>
    </row>
    <row r="4" spans="1:16" x14ac:dyDescent="0.2">
      <c r="N4" s="124" t="s">
        <v>5</v>
      </c>
      <c r="O4" s="125">
        <v>1</v>
      </c>
    </row>
    <row r="5" spans="1:16" x14ac:dyDescent="0.2">
      <c r="N5" s="124" t="s">
        <v>6</v>
      </c>
      <c r="O5" s="126"/>
    </row>
    <row r="6" spans="1:16" ht="9" customHeight="1" x14ac:dyDescent="0.2">
      <c r="N6" s="124"/>
      <c r="O6" s="127"/>
    </row>
    <row r="7" spans="1:16" x14ac:dyDescent="0.2">
      <c r="N7" s="124" t="s">
        <v>7</v>
      </c>
      <c r="O7" s="128">
        <v>46010</v>
      </c>
    </row>
    <row r="8" spans="1:16" ht="9" customHeight="1" x14ac:dyDescent="0.2"/>
    <row r="9" spans="1:16" ht="20.25" customHeight="1" x14ac:dyDescent="0.2">
      <c r="A9" s="363" t="s">
        <v>84</v>
      </c>
      <c r="B9" s="363"/>
      <c r="C9" s="363"/>
      <c r="D9" s="363"/>
      <c r="E9" s="363"/>
      <c r="F9" s="363"/>
      <c r="G9" s="363"/>
      <c r="H9" s="363"/>
      <c r="I9" s="363"/>
      <c r="J9" s="363"/>
      <c r="K9" s="363"/>
      <c r="L9" s="363"/>
      <c r="M9" s="363"/>
      <c r="N9" s="363"/>
      <c r="O9" s="363"/>
    </row>
    <row r="10" spans="1:16" ht="21" x14ac:dyDescent="0.2">
      <c r="A10" s="363" t="s">
        <v>85</v>
      </c>
      <c r="B10" s="363"/>
      <c r="C10" s="363"/>
      <c r="D10" s="363"/>
      <c r="E10" s="363"/>
      <c r="F10" s="363"/>
      <c r="G10" s="363"/>
      <c r="H10" s="363"/>
      <c r="I10" s="363"/>
      <c r="J10" s="363"/>
      <c r="K10" s="363"/>
      <c r="L10" s="363"/>
      <c r="M10" s="363"/>
      <c r="N10" s="363"/>
      <c r="O10" s="363"/>
    </row>
    <row r="12" spans="1:16" x14ac:dyDescent="0.2">
      <c r="A12" s="130" t="s">
        <v>45</v>
      </c>
      <c r="P12" s="131"/>
    </row>
    <row r="14" spans="1:16" x14ac:dyDescent="0.2">
      <c r="A14" s="122">
        <v>1</v>
      </c>
      <c r="B14" s="364" t="s">
        <v>86</v>
      </c>
      <c r="C14" s="364"/>
      <c r="D14" s="364"/>
      <c r="E14" s="364"/>
      <c r="F14" s="364"/>
      <c r="G14" s="364"/>
      <c r="H14" s="364"/>
      <c r="I14" s="364"/>
      <c r="J14" s="364"/>
      <c r="K14" s="364"/>
      <c r="L14" s="364"/>
      <c r="M14" s="364"/>
      <c r="N14" s="364"/>
      <c r="O14" s="364"/>
    </row>
    <row r="15" spans="1:16" ht="29.25" customHeight="1" x14ac:dyDescent="0.2">
      <c r="B15" s="364"/>
      <c r="C15" s="364"/>
      <c r="D15" s="364"/>
      <c r="E15" s="364"/>
      <c r="F15" s="364"/>
      <c r="G15" s="364"/>
      <c r="H15" s="364"/>
      <c r="I15" s="364"/>
      <c r="J15" s="364"/>
      <c r="K15" s="364"/>
      <c r="L15" s="364"/>
      <c r="M15" s="364"/>
      <c r="N15" s="364"/>
      <c r="O15" s="364"/>
    </row>
    <row r="16" spans="1:16" ht="12.75" customHeight="1" x14ac:dyDescent="0.2"/>
    <row r="17" spans="1:15" x14ac:dyDescent="0.2">
      <c r="A17" s="122">
        <v>2</v>
      </c>
      <c r="B17" s="364" t="s">
        <v>87</v>
      </c>
      <c r="C17" s="364"/>
      <c r="D17" s="364"/>
      <c r="E17" s="364"/>
      <c r="F17" s="364"/>
      <c r="G17" s="364"/>
      <c r="H17" s="364"/>
      <c r="I17" s="364"/>
      <c r="J17" s="364"/>
      <c r="K17" s="364"/>
      <c r="L17" s="364"/>
      <c r="M17" s="364"/>
      <c r="N17" s="364"/>
      <c r="O17" s="364"/>
    </row>
    <row r="18" spans="1:15" x14ac:dyDescent="0.2">
      <c r="B18" s="364"/>
      <c r="C18" s="364"/>
      <c r="D18" s="364"/>
      <c r="E18" s="364"/>
      <c r="F18" s="364"/>
      <c r="G18" s="364"/>
      <c r="H18" s="364"/>
      <c r="I18" s="364"/>
      <c r="J18" s="364"/>
      <c r="K18" s="364"/>
      <c r="L18" s="364"/>
      <c r="M18" s="364"/>
      <c r="N18" s="364"/>
      <c r="O18" s="364"/>
    </row>
    <row r="20" spans="1:15" x14ac:dyDescent="0.2">
      <c r="A20" s="122">
        <v>3</v>
      </c>
      <c r="B20" s="362" t="s">
        <v>88</v>
      </c>
      <c r="C20" s="362"/>
      <c r="D20" s="362"/>
      <c r="E20" s="362"/>
      <c r="F20" s="362"/>
      <c r="G20" s="362"/>
      <c r="H20" s="362"/>
      <c r="I20" s="362"/>
      <c r="J20" s="362"/>
      <c r="K20" s="362"/>
      <c r="L20" s="362"/>
      <c r="M20" s="362"/>
      <c r="N20" s="362"/>
      <c r="O20" s="362"/>
    </row>
    <row r="22" spans="1:15" x14ac:dyDescent="0.2">
      <c r="A22" s="122">
        <v>4</v>
      </c>
      <c r="B22" s="134" t="s">
        <v>89</v>
      </c>
    </row>
    <row r="24" spans="1:15" ht="30.75" customHeight="1" x14ac:dyDescent="0.2">
      <c r="A24" s="122">
        <v>5</v>
      </c>
      <c r="B24" s="362" t="s">
        <v>90</v>
      </c>
      <c r="C24" s="362"/>
      <c r="D24" s="362"/>
      <c r="E24" s="362"/>
      <c r="F24" s="362"/>
      <c r="G24" s="362"/>
      <c r="H24" s="362"/>
      <c r="I24" s="362"/>
      <c r="J24" s="362"/>
      <c r="K24" s="362"/>
      <c r="L24" s="362"/>
      <c r="M24" s="362"/>
      <c r="N24" s="362"/>
      <c r="O24" s="362"/>
    </row>
    <row r="26" spans="1:15" x14ac:dyDescent="0.2">
      <c r="A26" s="122">
        <v>6</v>
      </c>
      <c r="B26" s="362" t="s">
        <v>91</v>
      </c>
      <c r="C26" s="362"/>
      <c r="D26" s="362"/>
      <c r="E26" s="362"/>
      <c r="F26" s="362"/>
      <c r="G26" s="362"/>
      <c r="H26" s="362"/>
      <c r="I26" s="362"/>
      <c r="J26" s="362"/>
      <c r="K26" s="362"/>
      <c r="L26" s="362"/>
      <c r="M26" s="362"/>
      <c r="N26" s="362"/>
      <c r="O26" s="362"/>
    </row>
    <row r="27" spans="1:15" x14ac:dyDescent="0.2">
      <c r="B27" s="362"/>
      <c r="C27" s="362"/>
      <c r="D27" s="362"/>
      <c r="E27" s="362"/>
      <c r="F27" s="362"/>
      <c r="G27" s="362"/>
      <c r="H27" s="362"/>
      <c r="I27" s="362"/>
      <c r="J27" s="362"/>
      <c r="K27" s="362"/>
      <c r="L27" s="362"/>
      <c r="M27" s="362"/>
      <c r="N27" s="362"/>
      <c r="O27" s="362"/>
    </row>
    <row r="28" spans="1:15" x14ac:dyDescent="0.2">
      <c r="B28" s="362"/>
      <c r="C28" s="362"/>
      <c r="D28" s="362"/>
      <c r="E28" s="362"/>
      <c r="F28" s="362"/>
      <c r="G28" s="362"/>
      <c r="H28" s="362"/>
      <c r="I28" s="362"/>
      <c r="J28" s="362"/>
      <c r="K28" s="362"/>
      <c r="L28" s="362"/>
      <c r="M28" s="362"/>
      <c r="N28" s="362"/>
      <c r="O28" s="362"/>
    </row>
    <row r="30" spans="1:15" ht="12.75" customHeight="1" x14ac:dyDescent="0.2">
      <c r="A30" s="122">
        <v>7</v>
      </c>
      <c r="B30" s="134" t="s">
        <v>92</v>
      </c>
      <c r="C30" s="133"/>
      <c r="D30" s="133"/>
      <c r="E30" s="133"/>
      <c r="F30" s="133"/>
      <c r="G30" s="133"/>
      <c r="H30" s="133"/>
      <c r="I30" s="133"/>
      <c r="J30" s="133"/>
      <c r="K30" s="133"/>
      <c r="L30" s="133"/>
      <c r="M30" s="133"/>
      <c r="N30" s="133"/>
      <c r="O30" s="133"/>
    </row>
    <row r="31" spans="1:15" x14ac:dyDescent="0.2">
      <c r="B31" s="133"/>
      <c r="C31" s="133"/>
      <c r="D31" s="133"/>
      <c r="E31" s="133"/>
      <c r="F31" s="133"/>
      <c r="G31" s="133"/>
      <c r="H31" s="133"/>
      <c r="I31" s="133"/>
      <c r="J31" s="133"/>
      <c r="K31" s="133"/>
      <c r="L31" s="133"/>
      <c r="M31" s="133"/>
      <c r="N31" s="133"/>
      <c r="O31" s="133"/>
    </row>
    <row r="32" spans="1:15" x14ac:dyDescent="0.2">
      <c r="A32" s="122">
        <v>8</v>
      </c>
      <c r="B32" s="134" t="s">
        <v>93</v>
      </c>
      <c r="C32" s="133"/>
      <c r="D32" s="133"/>
      <c r="E32" s="133"/>
      <c r="F32" s="133"/>
      <c r="G32" s="133"/>
      <c r="H32" s="133"/>
      <c r="I32" s="133"/>
      <c r="J32" s="133"/>
      <c r="K32" s="133"/>
      <c r="L32" s="133"/>
      <c r="M32" s="133"/>
      <c r="N32" s="133"/>
      <c r="O32" s="133"/>
    </row>
    <row r="37" spans="1:19" ht="15.75" thickBot="1" x14ac:dyDescent="0.25">
      <c r="E37" s="135" t="s">
        <v>94</v>
      </c>
      <c r="F37" s="136" t="s">
        <v>12</v>
      </c>
    </row>
    <row r="38" spans="1:19" ht="15.75" thickBot="1" x14ac:dyDescent="0.3">
      <c r="E38" s="135" t="s">
        <v>95</v>
      </c>
      <c r="F38" s="137">
        <v>2020</v>
      </c>
      <c r="G38" s="138"/>
      <c r="H38" s="138"/>
      <c r="I38" s="139">
        <f>IF(F38=2014,4,IF(F38=2015,5,IF(F38=2016,6,IF(F38=2017,7,IF(F38=2018,8,IF(F38=2019,9,IF(F38=2020,10)))))))</f>
        <v>10</v>
      </c>
    </row>
    <row r="40" spans="1:19" x14ac:dyDescent="0.2">
      <c r="D40" s="356" t="s">
        <v>96</v>
      </c>
      <c r="E40" s="357"/>
      <c r="F40" s="357"/>
      <c r="G40" s="357"/>
      <c r="H40" s="357"/>
      <c r="I40" s="358"/>
      <c r="K40" s="140"/>
      <c r="L40" s="141" t="s">
        <v>97</v>
      </c>
      <c r="M40" s="141"/>
      <c r="N40" s="142"/>
    </row>
    <row r="41" spans="1:19" ht="30" customHeight="1" x14ac:dyDescent="0.2">
      <c r="A41" s="143" t="s">
        <v>98</v>
      </c>
      <c r="B41" s="143" t="s">
        <v>99</v>
      </c>
      <c r="C41" s="144" t="s">
        <v>100</v>
      </c>
      <c r="D41" s="143" t="s">
        <v>101</v>
      </c>
      <c r="E41" s="145" t="s">
        <v>102</v>
      </c>
      <c r="F41" s="145" t="s">
        <v>103</v>
      </c>
      <c r="G41" s="143" t="s">
        <v>104</v>
      </c>
      <c r="H41" s="143"/>
      <c r="I41" s="143" t="s">
        <v>105</v>
      </c>
      <c r="J41" s="146"/>
      <c r="K41" s="143" t="s">
        <v>101</v>
      </c>
      <c r="L41" s="147" t="s">
        <v>106</v>
      </c>
      <c r="M41" s="147" t="s">
        <v>103</v>
      </c>
      <c r="N41" s="148" t="s">
        <v>104</v>
      </c>
      <c r="O41" s="143" t="s">
        <v>107</v>
      </c>
    </row>
    <row r="42" spans="1:19" ht="15" x14ac:dyDescent="0.25">
      <c r="A42" s="149">
        <v>14.1</v>
      </c>
      <c r="B42" s="150">
        <v>1609</v>
      </c>
      <c r="C42" s="151" t="s">
        <v>108</v>
      </c>
      <c r="D42" s="152">
        <v>1532300</v>
      </c>
      <c r="E42" s="153">
        <v>602400</v>
      </c>
      <c r="F42" s="153"/>
      <c r="G42" s="154">
        <f>D42+E42+F42</f>
        <v>2134700</v>
      </c>
      <c r="H42" s="154"/>
      <c r="I42" s="154">
        <v>0</v>
      </c>
      <c r="J42" s="146"/>
      <c r="K42" s="152">
        <v>0</v>
      </c>
      <c r="L42" s="153">
        <v>-82726.37</v>
      </c>
      <c r="M42" s="153"/>
      <c r="N42" s="154">
        <f>K42+L42+M42</f>
        <v>-82726.37</v>
      </c>
      <c r="O42" s="155">
        <f>G42+N42</f>
        <v>2051973.63</v>
      </c>
      <c r="S42" s="156" t="s">
        <v>332</v>
      </c>
    </row>
    <row r="43" spans="1:19" ht="15" x14ac:dyDescent="0.25">
      <c r="A43" s="149" t="s">
        <v>109</v>
      </c>
      <c r="B43" s="150">
        <v>1610</v>
      </c>
      <c r="C43" s="151" t="s">
        <v>110</v>
      </c>
      <c r="D43" s="152">
        <v>3217878.05</v>
      </c>
      <c r="E43" s="153">
        <v>550872.81000000006</v>
      </c>
      <c r="F43" s="153"/>
      <c r="G43" s="154">
        <f>D43+E43+F43</f>
        <v>3768750.86</v>
      </c>
      <c r="H43" s="154"/>
      <c r="I43" s="154"/>
      <c r="J43" s="146"/>
      <c r="K43" s="152">
        <v>-2109957.41</v>
      </c>
      <c r="L43" s="153">
        <v>-398976.84</v>
      </c>
      <c r="M43" s="153"/>
      <c r="N43" s="154">
        <f>K43+L43+M43</f>
        <v>-2508934.25</v>
      </c>
      <c r="O43" s="155">
        <f>G43+N43</f>
        <v>1259816.6099999999</v>
      </c>
      <c r="S43" s="156"/>
    </row>
    <row r="44" spans="1:19" ht="15" x14ac:dyDescent="0.25">
      <c r="A44" s="150">
        <v>12</v>
      </c>
      <c r="B44" s="150">
        <v>1611</v>
      </c>
      <c r="C44" s="157" t="s">
        <v>111</v>
      </c>
      <c r="D44" s="152">
        <v>11906406.340000002</v>
      </c>
      <c r="E44" s="153">
        <v>2438783.84</v>
      </c>
      <c r="F44" s="153"/>
      <c r="G44" s="154">
        <f>D44+E44+F44</f>
        <v>14345190.180000002</v>
      </c>
      <c r="H44" s="154"/>
      <c r="I44" s="154">
        <v>0</v>
      </c>
      <c r="J44" s="158"/>
      <c r="K44" s="152">
        <v>-9773934.2799999993</v>
      </c>
      <c r="L44" s="153">
        <v>-1424705.9</v>
      </c>
      <c r="M44" s="153"/>
      <c r="N44" s="154">
        <f>K44+L44+M44</f>
        <v>-11198640.18</v>
      </c>
      <c r="O44" s="155">
        <f>G44+N44</f>
        <v>3146550.0000000019</v>
      </c>
      <c r="S44" s="156" t="s">
        <v>333</v>
      </c>
    </row>
    <row r="45" spans="1:19" ht="15" x14ac:dyDescent="0.25">
      <c r="A45" s="150">
        <v>14.1</v>
      </c>
      <c r="B45" s="150">
        <v>1612</v>
      </c>
      <c r="C45" s="151" t="s">
        <v>112</v>
      </c>
      <c r="D45" s="152">
        <v>451930.21</v>
      </c>
      <c r="E45" s="153">
        <v>9268.4</v>
      </c>
      <c r="F45" s="153"/>
      <c r="G45" s="154">
        <f>D45+E45+F45</f>
        <v>461198.61000000004</v>
      </c>
      <c r="H45" s="154"/>
      <c r="I45" s="154">
        <v>0</v>
      </c>
      <c r="J45" s="158"/>
      <c r="K45" s="152">
        <v>-67171.179999999993</v>
      </c>
      <c r="L45" s="153">
        <v>-12243.090000000011</v>
      </c>
      <c r="M45" s="153"/>
      <c r="N45" s="154">
        <f>K45+L45+M45</f>
        <v>-79414.27</v>
      </c>
      <c r="O45" s="155">
        <f>G45+N45</f>
        <v>381784.34</v>
      </c>
      <c r="S45" s="156" t="s">
        <v>334</v>
      </c>
    </row>
    <row r="46" spans="1:19" ht="15" x14ac:dyDescent="0.25">
      <c r="A46" s="150" t="s">
        <v>109</v>
      </c>
      <c r="B46" s="150">
        <v>1805</v>
      </c>
      <c r="C46" s="151" t="s">
        <v>113</v>
      </c>
      <c r="D46" s="152">
        <v>981172.99</v>
      </c>
      <c r="E46" s="153"/>
      <c r="F46" s="153"/>
      <c r="G46" s="154">
        <f>D46+E46+F46</f>
        <v>981172.99</v>
      </c>
      <c r="H46" s="154"/>
      <c r="I46" s="154">
        <v>0</v>
      </c>
      <c r="J46" s="158"/>
      <c r="K46" s="152">
        <v>0</v>
      </c>
      <c r="L46" s="153"/>
      <c r="M46" s="153"/>
      <c r="N46" s="154">
        <f>K46+L46+M46</f>
        <v>0</v>
      </c>
      <c r="O46" s="155">
        <f>G46+N46</f>
        <v>981172.99</v>
      </c>
      <c r="S46" s="156" t="s">
        <v>335</v>
      </c>
    </row>
    <row r="47" spans="1:19" ht="15" x14ac:dyDescent="0.25">
      <c r="A47" s="150">
        <v>47</v>
      </c>
      <c r="B47" s="150">
        <v>1808</v>
      </c>
      <c r="C47" s="151" t="s">
        <v>114</v>
      </c>
      <c r="D47" s="152">
        <v>1398183.11</v>
      </c>
      <c r="E47" s="153"/>
      <c r="F47" s="153"/>
      <c r="G47" s="154">
        <f t="shared" ref="G47:G85" si="0">D47+E47+F47</f>
        <v>1398183.11</v>
      </c>
      <c r="H47" s="154"/>
      <c r="I47" s="154">
        <v>0</v>
      </c>
      <c r="J47" s="158"/>
      <c r="K47" s="152">
        <v>-1173467.6400000001</v>
      </c>
      <c r="L47" s="153">
        <v>-9382.3700000000008</v>
      </c>
      <c r="M47" s="153"/>
      <c r="N47" s="154">
        <f t="shared" ref="N47:N85" si="1">K47+L47+M47</f>
        <v>-1182850.0100000002</v>
      </c>
      <c r="O47" s="155">
        <f t="shared" ref="O47:O85" si="2">G47+N47</f>
        <v>215333.09999999986</v>
      </c>
      <c r="S47" s="156" t="s">
        <v>336</v>
      </c>
    </row>
    <row r="48" spans="1:19" ht="15" x14ac:dyDescent="0.25">
      <c r="A48" s="150"/>
      <c r="B48" s="150">
        <v>1810</v>
      </c>
      <c r="C48" s="151" t="s">
        <v>115</v>
      </c>
      <c r="D48" s="152">
        <v>0</v>
      </c>
      <c r="E48" s="153"/>
      <c r="F48" s="153"/>
      <c r="G48" s="154">
        <f t="shared" si="0"/>
        <v>0</v>
      </c>
      <c r="H48" s="154"/>
      <c r="I48" s="154">
        <v>0</v>
      </c>
      <c r="J48" s="158"/>
      <c r="K48" s="152">
        <v>0</v>
      </c>
      <c r="L48" s="153"/>
      <c r="M48" s="153"/>
      <c r="N48" s="154">
        <f t="shared" si="1"/>
        <v>0</v>
      </c>
      <c r="O48" s="155">
        <f t="shared" si="2"/>
        <v>0</v>
      </c>
      <c r="S48" s="156" t="s">
        <v>337</v>
      </c>
    </row>
    <row r="49" spans="1:19" ht="15" x14ac:dyDescent="0.25">
      <c r="A49" s="150">
        <v>47</v>
      </c>
      <c r="B49" s="150">
        <v>1815</v>
      </c>
      <c r="C49" s="151" t="s">
        <v>116</v>
      </c>
      <c r="D49" s="152">
        <v>225104.49999999997</v>
      </c>
      <c r="E49" s="153"/>
      <c r="F49" s="153"/>
      <c r="G49" s="154">
        <f t="shared" si="0"/>
        <v>225104.49999999997</v>
      </c>
      <c r="H49" s="154"/>
      <c r="I49" s="154">
        <v>0</v>
      </c>
      <c r="J49" s="158"/>
      <c r="K49" s="152">
        <v>-35446</v>
      </c>
      <c r="L49" s="153">
        <v>-6625.6399999999994</v>
      </c>
      <c r="M49" s="153"/>
      <c r="N49" s="154">
        <f t="shared" si="1"/>
        <v>-42071.64</v>
      </c>
      <c r="O49" s="155">
        <f t="shared" si="2"/>
        <v>183032.86</v>
      </c>
      <c r="S49" s="156" t="s">
        <v>338</v>
      </c>
    </row>
    <row r="50" spans="1:19" ht="15" x14ac:dyDescent="0.25">
      <c r="A50" s="150">
        <v>47</v>
      </c>
      <c r="B50" s="150">
        <v>1820</v>
      </c>
      <c r="C50" s="151" t="s">
        <v>117</v>
      </c>
      <c r="D50" s="152">
        <v>57438028.218100004</v>
      </c>
      <c r="E50" s="153">
        <v>2671998.06</v>
      </c>
      <c r="F50" s="153">
        <v>-394257.78</v>
      </c>
      <c r="G50" s="154">
        <f t="shared" si="0"/>
        <v>59715768.498100005</v>
      </c>
      <c r="H50" s="154"/>
      <c r="I50" s="154">
        <v>0</v>
      </c>
      <c r="J50" s="158"/>
      <c r="K50" s="152">
        <v>-7860025.4099999992</v>
      </c>
      <c r="L50" s="153">
        <v>-1804904.58</v>
      </c>
      <c r="M50" s="153">
        <v>21772.739999999998</v>
      </c>
      <c r="N50" s="154">
        <f t="shared" si="1"/>
        <v>-9643157.2499999981</v>
      </c>
      <c r="O50" s="155">
        <f t="shared" si="2"/>
        <v>50072611.248100005</v>
      </c>
      <c r="S50" s="156" t="s">
        <v>339</v>
      </c>
    </row>
    <row r="51" spans="1:19" ht="15" x14ac:dyDescent="0.25">
      <c r="A51" s="150"/>
      <c r="B51" s="150">
        <v>1825</v>
      </c>
      <c r="C51" s="151" t="s">
        <v>118</v>
      </c>
      <c r="D51" s="152">
        <v>0</v>
      </c>
      <c r="E51" s="153"/>
      <c r="F51" s="153"/>
      <c r="G51" s="154">
        <f t="shared" si="0"/>
        <v>0</v>
      </c>
      <c r="H51" s="154"/>
      <c r="I51" s="154">
        <v>0</v>
      </c>
      <c r="J51" s="158"/>
      <c r="K51" s="152">
        <v>0</v>
      </c>
      <c r="L51" s="153"/>
      <c r="M51" s="153"/>
      <c r="N51" s="154">
        <f t="shared" si="1"/>
        <v>0</v>
      </c>
      <c r="O51" s="155">
        <f t="shared" si="2"/>
        <v>0</v>
      </c>
      <c r="S51" s="156" t="s">
        <v>340</v>
      </c>
    </row>
    <row r="52" spans="1:19" ht="15" x14ac:dyDescent="0.25">
      <c r="A52" s="150">
        <v>47</v>
      </c>
      <c r="B52" s="150">
        <v>1830</v>
      </c>
      <c r="C52" s="151" t="s">
        <v>119</v>
      </c>
      <c r="D52" s="152">
        <v>82420240.559999987</v>
      </c>
      <c r="E52" s="153">
        <v>8897823.2899999991</v>
      </c>
      <c r="F52" s="153">
        <v>-206147.44</v>
      </c>
      <c r="G52" s="154">
        <f t="shared" si="0"/>
        <v>91111916.409999996</v>
      </c>
      <c r="H52" s="154"/>
      <c r="I52" s="154">
        <v>0</v>
      </c>
      <c r="J52" s="158"/>
      <c r="K52" s="152">
        <v>-9649914.1699999999</v>
      </c>
      <c r="L52" s="153">
        <v>-2332822.88</v>
      </c>
      <c r="M52" s="153">
        <v>29360.75</v>
      </c>
      <c r="N52" s="154">
        <f t="shared" si="1"/>
        <v>-11953376.300000001</v>
      </c>
      <c r="O52" s="155">
        <f t="shared" si="2"/>
        <v>79158540.109999999</v>
      </c>
      <c r="S52" s="156" t="s">
        <v>341</v>
      </c>
    </row>
    <row r="53" spans="1:19" ht="15" x14ac:dyDescent="0.25">
      <c r="A53" s="150">
        <v>47</v>
      </c>
      <c r="B53" s="150">
        <v>1835</v>
      </c>
      <c r="C53" s="151" t="s">
        <v>120</v>
      </c>
      <c r="D53" s="152">
        <v>61967275.397500001</v>
      </c>
      <c r="E53" s="153">
        <v>5385975.6300000008</v>
      </c>
      <c r="F53" s="153">
        <v>-145140.04</v>
      </c>
      <c r="G53" s="154">
        <f t="shared" si="0"/>
        <v>67208110.987499997</v>
      </c>
      <c r="H53" s="154"/>
      <c r="I53" s="154">
        <v>0</v>
      </c>
      <c r="J53" s="158"/>
      <c r="K53" s="152">
        <v>-8380877.6399999997</v>
      </c>
      <c r="L53" s="153">
        <v>-1833368.29</v>
      </c>
      <c r="M53" s="153">
        <v>66859.27</v>
      </c>
      <c r="N53" s="154">
        <f t="shared" si="1"/>
        <v>-10147386.66</v>
      </c>
      <c r="O53" s="155">
        <f t="shared" si="2"/>
        <v>57060724.327500001</v>
      </c>
      <c r="S53" s="156" t="s">
        <v>342</v>
      </c>
    </row>
    <row r="54" spans="1:19" ht="15" x14ac:dyDescent="0.25">
      <c r="A54" s="150">
        <v>47</v>
      </c>
      <c r="B54" s="150">
        <v>1840</v>
      </c>
      <c r="C54" s="151" t="s">
        <v>121</v>
      </c>
      <c r="D54" s="152">
        <v>43274458.503300004</v>
      </c>
      <c r="E54" s="153">
        <v>4087980.6599999964</v>
      </c>
      <c r="F54" s="153"/>
      <c r="G54" s="154">
        <f t="shared" si="0"/>
        <v>47362439.1633</v>
      </c>
      <c r="H54" s="154"/>
      <c r="I54" s="154">
        <v>0</v>
      </c>
      <c r="J54" s="158"/>
      <c r="K54" s="152">
        <v>-4165051.08</v>
      </c>
      <c r="L54" s="153">
        <v>-828051.45000000019</v>
      </c>
      <c r="M54" s="153"/>
      <c r="N54" s="154">
        <f t="shared" si="1"/>
        <v>-4993102.53</v>
      </c>
      <c r="O54" s="155">
        <f t="shared" si="2"/>
        <v>42369336.633299999</v>
      </c>
      <c r="S54" s="156" t="s">
        <v>343</v>
      </c>
    </row>
    <row r="55" spans="1:19" ht="15" x14ac:dyDescent="0.25">
      <c r="A55" s="150">
        <v>47</v>
      </c>
      <c r="B55" s="150">
        <v>1845</v>
      </c>
      <c r="C55" s="151" t="s">
        <v>122</v>
      </c>
      <c r="D55" s="152">
        <v>66481011.389899999</v>
      </c>
      <c r="E55" s="153">
        <v>7692587.2999999998</v>
      </c>
      <c r="F55" s="153">
        <v>-98562.97</v>
      </c>
      <c r="G55" s="154">
        <f t="shared" si="0"/>
        <v>74075035.719899997</v>
      </c>
      <c r="H55" s="154"/>
      <c r="I55" s="154">
        <v>0</v>
      </c>
      <c r="J55" s="158"/>
      <c r="K55" s="152">
        <v>-7741358.6699999999</v>
      </c>
      <c r="L55" s="153">
        <v>-2011652.95</v>
      </c>
      <c r="M55" s="153">
        <v>32390.54</v>
      </c>
      <c r="N55" s="154">
        <f t="shared" si="1"/>
        <v>-9720621.0800000001</v>
      </c>
      <c r="O55" s="155">
        <f t="shared" si="2"/>
        <v>64354414.639899999</v>
      </c>
      <c r="S55" s="156" t="s">
        <v>344</v>
      </c>
    </row>
    <row r="56" spans="1:19" ht="15" x14ac:dyDescent="0.25">
      <c r="A56" s="150">
        <v>47</v>
      </c>
      <c r="B56" s="150">
        <v>1850</v>
      </c>
      <c r="C56" s="151" t="s">
        <v>123</v>
      </c>
      <c r="D56" s="152">
        <v>51669591.787400007</v>
      </c>
      <c r="E56" s="153">
        <v>6840211.2899999991</v>
      </c>
      <c r="F56" s="153">
        <v>-190103.96000000002</v>
      </c>
      <c r="G56" s="154">
        <f t="shared" si="0"/>
        <v>58319699.117400005</v>
      </c>
      <c r="H56" s="154"/>
      <c r="I56" s="154">
        <v>0</v>
      </c>
      <c r="J56" s="158"/>
      <c r="K56" s="152">
        <v>-9439947.6599999983</v>
      </c>
      <c r="L56" s="153">
        <v>-2094832.8699999999</v>
      </c>
      <c r="M56" s="153">
        <v>52336.43</v>
      </c>
      <c r="N56" s="154">
        <f t="shared" si="1"/>
        <v>-11482444.099999998</v>
      </c>
      <c r="O56" s="155">
        <f t="shared" si="2"/>
        <v>46837255.017400011</v>
      </c>
      <c r="S56" s="156" t="s">
        <v>345</v>
      </c>
    </row>
    <row r="57" spans="1:19" ht="15" x14ac:dyDescent="0.25">
      <c r="A57" s="150">
        <v>47</v>
      </c>
      <c r="B57" s="150">
        <v>1855</v>
      </c>
      <c r="C57" s="151" t="s">
        <v>124</v>
      </c>
      <c r="D57" s="152">
        <v>40829994.409400001</v>
      </c>
      <c r="E57" s="153">
        <v>2260403.5700000003</v>
      </c>
      <c r="F57" s="153"/>
      <c r="G57" s="154">
        <f t="shared" si="0"/>
        <v>43090397.979400001</v>
      </c>
      <c r="H57" s="154"/>
      <c r="I57" s="154">
        <v>0</v>
      </c>
      <c r="J57" s="158"/>
      <c r="K57" s="152">
        <v>-5350884.71</v>
      </c>
      <c r="L57" s="153">
        <v>-1059296.8999999999</v>
      </c>
      <c r="M57" s="153"/>
      <c r="N57" s="154">
        <f t="shared" si="1"/>
        <v>-6410181.6099999994</v>
      </c>
      <c r="O57" s="155">
        <f t="shared" si="2"/>
        <v>36680216.369400002</v>
      </c>
      <c r="S57" s="156" t="s">
        <v>346</v>
      </c>
    </row>
    <row r="58" spans="1:19" ht="15" x14ac:dyDescent="0.25">
      <c r="A58" s="150">
        <v>47</v>
      </c>
      <c r="B58" s="150">
        <v>1860</v>
      </c>
      <c r="C58" s="151" t="s">
        <v>125</v>
      </c>
      <c r="D58" s="152">
        <v>2622344.5100000002</v>
      </c>
      <c r="E58" s="153">
        <v>195097.18</v>
      </c>
      <c r="F58" s="153"/>
      <c r="G58" s="154">
        <f t="shared" si="0"/>
        <v>2817441.6900000004</v>
      </c>
      <c r="H58" s="154"/>
      <c r="I58" s="154">
        <v>0</v>
      </c>
      <c r="J58" s="158"/>
      <c r="K58" s="152">
        <v>-408323.15999999992</v>
      </c>
      <c r="L58" s="153">
        <v>-117161.98</v>
      </c>
      <c r="M58" s="153"/>
      <c r="N58" s="154">
        <f t="shared" si="1"/>
        <v>-525485.1399999999</v>
      </c>
      <c r="O58" s="155">
        <f t="shared" si="2"/>
        <v>2291956.5500000007</v>
      </c>
      <c r="S58" s="156" t="s">
        <v>347</v>
      </c>
    </row>
    <row r="59" spans="1:19" ht="15" x14ac:dyDescent="0.25">
      <c r="A59" s="150">
        <v>47</v>
      </c>
      <c r="B59" s="150">
        <v>1860</v>
      </c>
      <c r="C59" s="151" t="s">
        <v>126</v>
      </c>
      <c r="D59" s="152">
        <v>21180221.538999997</v>
      </c>
      <c r="E59" s="153">
        <v>1092225.04</v>
      </c>
      <c r="F59" s="153">
        <v>-72691.38</v>
      </c>
      <c r="G59" s="154">
        <f t="shared" si="0"/>
        <v>22199755.198999997</v>
      </c>
      <c r="H59" s="154"/>
      <c r="I59" s="154">
        <v>0</v>
      </c>
      <c r="J59" s="158"/>
      <c r="K59" s="152">
        <v>-10496019.949999999</v>
      </c>
      <c r="L59" s="153">
        <v>-1766620.6600000001</v>
      </c>
      <c r="M59" s="153">
        <v>48785.920000000006</v>
      </c>
      <c r="N59" s="154">
        <f t="shared" si="1"/>
        <v>-12213854.689999999</v>
      </c>
      <c r="O59" s="155">
        <f t="shared" si="2"/>
        <v>9985900.5089999977</v>
      </c>
      <c r="S59" s="156" t="s">
        <v>347</v>
      </c>
    </row>
    <row r="60" spans="1:19" ht="15" x14ac:dyDescent="0.25">
      <c r="A60" s="150">
        <v>47</v>
      </c>
      <c r="B60" s="150">
        <v>1865</v>
      </c>
      <c r="C60" s="151" t="s">
        <v>127</v>
      </c>
      <c r="D60" s="152">
        <v>81548.159999999989</v>
      </c>
      <c r="E60" s="153"/>
      <c r="F60" s="153"/>
      <c r="G60" s="154">
        <f t="shared" si="0"/>
        <v>81548.159999999989</v>
      </c>
      <c r="H60" s="154"/>
      <c r="I60" s="154"/>
      <c r="J60" s="158"/>
      <c r="K60" s="152">
        <v>-81548.160000000003</v>
      </c>
      <c r="L60" s="153"/>
      <c r="M60" s="153"/>
      <c r="N60" s="154">
        <f t="shared" si="1"/>
        <v>-81548.160000000003</v>
      </c>
      <c r="O60" s="155">
        <f t="shared" si="2"/>
        <v>0</v>
      </c>
      <c r="S60" s="156"/>
    </row>
    <row r="61" spans="1:19" ht="15" x14ac:dyDescent="0.25">
      <c r="A61" s="150" t="s">
        <v>109</v>
      </c>
      <c r="B61" s="150">
        <v>1905</v>
      </c>
      <c r="C61" s="151" t="s">
        <v>113</v>
      </c>
      <c r="D61" s="152">
        <v>1195031.3199999998</v>
      </c>
      <c r="E61" s="153"/>
      <c r="F61" s="153"/>
      <c r="G61" s="154">
        <f t="shared" si="0"/>
        <v>1195031.3199999998</v>
      </c>
      <c r="H61" s="154"/>
      <c r="I61" s="154">
        <v>0</v>
      </c>
      <c r="J61" s="158"/>
      <c r="K61" s="152">
        <v>0</v>
      </c>
      <c r="L61" s="153"/>
      <c r="M61" s="153"/>
      <c r="N61" s="154">
        <f t="shared" si="1"/>
        <v>0</v>
      </c>
      <c r="O61" s="155">
        <f t="shared" si="2"/>
        <v>1195031.3199999998</v>
      </c>
      <c r="S61" s="156" t="s">
        <v>348</v>
      </c>
    </row>
    <row r="62" spans="1:19" ht="15" x14ac:dyDescent="0.25">
      <c r="A62" s="150">
        <v>1</v>
      </c>
      <c r="B62" s="150">
        <v>1908</v>
      </c>
      <c r="C62" s="151" t="s">
        <v>128</v>
      </c>
      <c r="D62" s="152">
        <v>23448481.300000001</v>
      </c>
      <c r="E62" s="153">
        <v>668904.32999999996</v>
      </c>
      <c r="F62" s="153"/>
      <c r="G62" s="154">
        <f t="shared" si="0"/>
        <v>24117385.629999999</v>
      </c>
      <c r="H62" s="154"/>
      <c r="I62" s="154">
        <v>0</v>
      </c>
      <c r="J62" s="158"/>
      <c r="K62" s="152">
        <v>-7968041.2399999993</v>
      </c>
      <c r="L62" s="153">
        <v>-1038660.8200000001</v>
      </c>
      <c r="M62" s="153"/>
      <c r="N62" s="154">
        <f t="shared" si="1"/>
        <v>-9006702.0599999987</v>
      </c>
      <c r="O62" s="155">
        <f t="shared" si="2"/>
        <v>15110683.57</v>
      </c>
      <c r="S62" s="156" t="s">
        <v>349</v>
      </c>
    </row>
    <row r="63" spans="1:19" ht="15" x14ac:dyDescent="0.25">
      <c r="A63" s="150"/>
      <c r="B63" s="150">
        <v>1910</v>
      </c>
      <c r="C63" s="151" t="s">
        <v>115</v>
      </c>
      <c r="D63" s="152">
        <v>0</v>
      </c>
      <c r="E63" s="153"/>
      <c r="F63" s="153"/>
      <c r="G63" s="154">
        <f t="shared" si="0"/>
        <v>0</v>
      </c>
      <c r="H63" s="154"/>
      <c r="I63" s="154">
        <v>0</v>
      </c>
      <c r="J63" s="158"/>
      <c r="K63" s="152">
        <v>0</v>
      </c>
      <c r="L63" s="153"/>
      <c r="M63" s="153"/>
      <c r="N63" s="154">
        <f t="shared" si="1"/>
        <v>0</v>
      </c>
      <c r="O63" s="155">
        <f t="shared" si="2"/>
        <v>0</v>
      </c>
      <c r="S63" s="156" t="s">
        <v>350</v>
      </c>
    </row>
    <row r="64" spans="1:19" ht="15" x14ac:dyDescent="0.25">
      <c r="A64" s="150">
        <v>8</v>
      </c>
      <c r="B64" s="150">
        <v>1915</v>
      </c>
      <c r="C64" s="151" t="s">
        <v>129</v>
      </c>
      <c r="D64" s="152">
        <v>2132026.4899999998</v>
      </c>
      <c r="E64" s="153">
        <v>116791.70999999996</v>
      </c>
      <c r="F64" s="153"/>
      <c r="G64" s="154">
        <f t="shared" si="0"/>
        <v>2248818.1999999997</v>
      </c>
      <c r="H64" s="154"/>
      <c r="I64" s="154">
        <v>0</v>
      </c>
      <c r="J64" s="158"/>
      <c r="K64" s="152">
        <v>-1491117.38</v>
      </c>
      <c r="L64" s="153">
        <v>-110767.30000000005</v>
      </c>
      <c r="M64" s="153"/>
      <c r="N64" s="154">
        <f t="shared" si="1"/>
        <v>-1601884.68</v>
      </c>
      <c r="O64" s="155">
        <f t="shared" si="2"/>
        <v>646933.51999999979</v>
      </c>
      <c r="S64" s="156" t="s">
        <v>351</v>
      </c>
    </row>
    <row r="65" spans="1:19" ht="15" x14ac:dyDescent="0.25">
      <c r="A65" s="150"/>
      <c r="B65" s="150">
        <v>1915</v>
      </c>
      <c r="C65" s="151" t="s">
        <v>130</v>
      </c>
      <c r="D65" s="152">
        <v>0</v>
      </c>
      <c r="E65" s="153"/>
      <c r="F65" s="153"/>
      <c r="G65" s="154">
        <f t="shared" si="0"/>
        <v>0</v>
      </c>
      <c r="H65" s="154"/>
      <c r="I65" s="154">
        <v>0</v>
      </c>
      <c r="J65" s="158"/>
      <c r="K65" s="152">
        <v>0</v>
      </c>
      <c r="L65" s="153"/>
      <c r="M65" s="153"/>
      <c r="N65" s="154">
        <f t="shared" si="1"/>
        <v>0</v>
      </c>
      <c r="O65" s="155">
        <f t="shared" si="2"/>
        <v>0</v>
      </c>
      <c r="S65" s="156" t="s">
        <v>351</v>
      </c>
    </row>
    <row r="66" spans="1:19" ht="15" x14ac:dyDescent="0.25">
      <c r="A66" s="150">
        <v>50</v>
      </c>
      <c r="B66" s="150">
        <v>1920</v>
      </c>
      <c r="C66" s="151" t="s">
        <v>131</v>
      </c>
      <c r="D66" s="152">
        <v>4551684.75</v>
      </c>
      <c r="E66" s="153">
        <v>1556192.95</v>
      </c>
      <c r="F66" s="153"/>
      <c r="G66" s="154">
        <f t="shared" si="0"/>
        <v>6107877.7000000002</v>
      </c>
      <c r="H66" s="154"/>
      <c r="I66" s="154">
        <v>0</v>
      </c>
      <c r="J66" s="158"/>
      <c r="K66" s="152">
        <v>-3187589.0700000003</v>
      </c>
      <c r="L66" s="153">
        <v>-721917.03999999992</v>
      </c>
      <c r="M66" s="153"/>
      <c r="N66" s="154">
        <f t="shared" si="1"/>
        <v>-3909506.1100000003</v>
      </c>
      <c r="O66" s="155">
        <f t="shared" si="2"/>
        <v>2198371.59</v>
      </c>
      <c r="S66" s="156" t="s">
        <v>352</v>
      </c>
    </row>
    <row r="67" spans="1:19" ht="15" x14ac:dyDescent="0.25">
      <c r="A67" s="150"/>
      <c r="B67" s="150">
        <v>1920</v>
      </c>
      <c r="C67" s="151" t="s">
        <v>132</v>
      </c>
      <c r="D67" s="152">
        <v>0</v>
      </c>
      <c r="E67" s="153"/>
      <c r="F67" s="153"/>
      <c r="G67" s="154">
        <f t="shared" si="0"/>
        <v>0</v>
      </c>
      <c r="H67" s="154"/>
      <c r="I67" s="154">
        <v>0</v>
      </c>
      <c r="J67" s="158"/>
      <c r="K67" s="152">
        <v>0</v>
      </c>
      <c r="L67" s="153"/>
      <c r="M67" s="153"/>
      <c r="N67" s="154">
        <f t="shared" si="1"/>
        <v>0</v>
      </c>
      <c r="O67" s="155">
        <f t="shared" si="2"/>
        <v>0</v>
      </c>
      <c r="S67" s="156" t="s">
        <v>352</v>
      </c>
    </row>
    <row r="68" spans="1:19" ht="15" x14ac:dyDescent="0.25">
      <c r="A68" s="150"/>
      <c r="B68" s="150">
        <v>1920</v>
      </c>
      <c r="C68" s="151" t="s">
        <v>133</v>
      </c>
      <c r="D68" s="152">
        <v>0</v>
      </c>
      <c r="E68" s="153"/>
      <c r="F68" s="153"/>
      <c r="G68" s="154">
        <f t="shared" si="0"/>
        <v>0</v>
      </c>
      <c r="H68" s="154"/>
      <c r="I68" s="154">
        <v>0</v>
      </c>
      <c r="J68" s="158"/>
      <c r="K68" s="152">
        <v>0</v>
      </c>
      <c r="L68" s="153"/>
      <c r="M68" s="153"/>
      <c r="N68" s="154">
        <f t="shared" si="1"/>
        <v>0</v>
      </c>
      <c r="O68" s="155">
        <f t="shared" si="2"/>
        <v>0</v>
      </c>
      <c r="S68" s="156" t="s">
        <v>352</v>
      </c>
    </row>
    <row r="69" spans="1:19" ht="15" x14ac:dyDescent="0.25">
      <c r="A69" s="150">
        <v>10</v>
      </c>
      <c r="B69" s="150">
        <v>1930</v>
      </c>
      <c r="C69" s="151" t="s">
        <v>134</v>
      </c>
      <c r="D69" s="152">
        <v>9290464.1199999992</v>
      </c>
      <c r="E69" s="153">
        <v>784692.74</v>
      </c>
      <c r="F69" s="153"/>
      <c r="G69" s="154">
        <f t="shared" si="0"/>
        <v>10075156.859999999</v>
      </c>
      <c r="H69" s="154"/>
      <c r="I69" s="154">
        <v>0</v>
      </c>
      <c r="J69" s="158"/>
      <c r="K69" s="152">
        <v>-3795910.7699999996</v>
      </c>
      <c r="L69" s="153">
        <v>-870984.36</v>
      </c>
      <c r="M69" s="153"/>
      <c r="N69" s="154">
        <f t="shared" si="1"/>
        <v>-4666895.13</v>
      </c>
      <c r="O69" s="155">
        <f t="shared" si="2"/>
        <v>5408261.7299999995</v>
      </c>
      <c r="S69" s="156" t="s">
        <v>353</v>
      </c>
    </row>
    <row r="70" spans="1:19" ht="15" x14ac:dyDescent="0.25">
      <c r="A70" s="150">
        <v>8</v>
      </c>
      <c r="B70" s="150">
        <v>1935</v>
      </c>
      <c r="C70" s="151" t="s">
        <v>135</v>
      </c>
      <c r="D70" s="152">
        <v>108757.92</v>
      </c>
      <c r="E70" s="153"/>
      <c r="F70" s="153"/>
      <c r="G70" s="154">
        <f t="shared" si="0"/>
        <v>108757.92</v>
      </c>
      <c r="H70" s="154"/>
      <c r="I70" s="154">
        <v>0</v>
      </c>
      <c r="J70" s="158"/>
      <c r="K70" s="152">
        <v>-34874.710000000006</v>
      </c>
      <c r="L70" s="153">
        <v>-12370.879999999997</v>
      </c>
      <c r="M70" s="153"/>
      <c r="N70" s="154">
        <f t="shared" si="1"/>
        <v>-47245.590000000004</v>
      </c>
      <c r="O70" s="155">
        <f t="shared" si="2"/>
        <v>61512.329999999994</v>
      </c>
      <c r="S70" s="156" t="s">
        <v>354</v>
      </c>
    </row>
    <row r="71" spans="1:19" ht="15" x14ac:dyDescent="0.25">
      <c r="A71" s="150">
        <v>8</v>
      </c>
      <c r="B71" s="150">
        <v>1940</v>
      </c>
      <c r="C71" s="151" t="s">
        <v>136</v>
      </c>
      <c r="D71" s="152">
        <v>2459571.2400000002</v>
      </c>
      <c r="E71" s="153">
        <v>155293.14999999991</v>
      </c>
      <c r="F71" s="153"/>
      <c r="G71" s="154">
        <f t="shared" si="0"/>
        <v>2614864.39</v>
      </c>
      <c r="H71" s="154"/>
      <c r="I71" s="154">
        <v>0</v>
      </c>
      <c r="J71" s="158"/>
      <c r="K71" s="152">
        <v>-1107076.3299999998</v>
      </c>
      <c r="L71" s="153">
        <v>-216095.74</v>
      </c>
      <c r="M71" s="153"/>
      <c r="N71" s="154">
        <f t="shared" si="1"/>
        <v>-1323172.0699999998</v>
      </c>
      <c r="O71" s="155">
        <f t="shared" si="2"/>
        <v>1291692.3200000003</v>
      </c>
      <c r="S71" s="156" t="s">
        <v>355</v>
      </c>
    </row>
    <row r="72" spans="1:19" ht="15" x14ac:dyDescent="0.25">
      <c r="A72" s="150">
        <v>8</v>
      </c>
      <c r="B72" s="150">
        <v>1945</v>
      </c>
      <c r="C72" s="151" t="s">
        <v>137</v>
      </c>
      <c r="D72" s="152">
        <v>163262.62</v>
      </c>
      <c r="E72" s="153"/>
      <c r="F72" s="153"/>
      <c r="G72" s="154">
        <f t="shared" si="0"/>
        <v>163262.62</v>
      </c>
      <c r="H72" s="154"/>
      <c r="I72" s="154">
        <v>0</v>
      </c>
      <c r="J72" s="158"/>
      <c r="K72" s="152">
        <v>-103142.82</v>
      </c>
      <c r="L72" s="153">
        <v>-17944.239999999991</v>
      </c>
      <c r="M72" s="153"/>
      <c r="N72" s="154">
        <f t="shared" si="1"/>
        <v>-121087.06</v>
      </c>
      <c r="O72" s="155">
        <f t="shared" si="2"/>
        <v>42175.56</v>
      </c>
      <c r="S72" s="156" t="s">
        <v>356</v>
      </c>
    </row>
    <row r="73" spans="1:19" ht="15" x14ac:dyDescent="0.25">
      <c r="A73" s="150"/>
      <c r="B73" s="150">
        <v>1950</v>
      </c>
      <c r="C73" s="151" t="s">
        <v>138</v>
      </c>
      <c r="D73" s="152">
        <v>0</v>
      </c>
      <c r="E73" s="153"/>
      <c r="F73" s="153"/>
      <c r="G73" s="154">
        <f t="shared" si="0"/>
        <v>0</v>
      </c>
      <c r="H73" s="154"/>
      <c r="I73" s="154">
        <v>0</v>
      </c>
      <c r="J73" s="158"/>
      <c r="K73" s="152">
        <v>0</v>
      </c>
      <c r="L73" s="153"/>
      <c r="M73" s="153"/>
      <c r="N73" s="154">
        <f t="shared" si="1"/>
        <v>0</v>
      </c>
      <c r="O73" s="155">
        <f t="shared" si="2"/>
        <v>0</v>
      </c>
      <c r="S73" s="156" t="s">
        <v>357</v>
      </c>
    </row>
    <row r="74" spans="1:19" ht="15" x14ac:dyDescent="0.25">
      <c r="A74" s="150">
        <v>8</v>
      </c>
      <c r="B74" s="150">
        <v>1955</v>
      </c>
      <c r="C74" s="151" t="s">
        <v>139</v>
      </c>
      <c r="D74" s="152">
        <v>1843773.0599999996</v>
      </c>
      <c r="E74" s="153">
        <v>142871.43999999994</v>
      </c>
      <c r="F74" s="153"/>
      <c r="G74" s="154">
        <f t="shared" si="0"/>
        <v>1986644.4999999995</v>
      </c>
      <c r="H74" s="154"/>
      <c r="I74" s="154">
        <v>0</v>
      </c>
      <c r="J74" s="158"/>
      <c r="K74" s="152">
        <v>-940772.92</v>
      </c>
      <c r="L74" s="153">
        <v>-192132.21999999986</v>
      </c>
      <c r="M74" s="153"/>
      <c r="N74" s="154">
        <f t="shared" si="1"/>
        <v>-1132905.1399999999</v>
      </c>
      <c r="O74" s="155">
        <f t="shared" si="2"/>
        <v>853739.35999999964</v>
      </c>
      <c r="S74" s="156" t="s">
        <v>358</v>
      </c>
    </row>
    <row r="75" spans="1:19" ht="15" x14ac:dyDescent="0.25">
      <c r="A75" s="150"/>
      <c r="B75" s="150">
        <v>1955</v>
      </c>
      <c r="C75" s="151" t="s">
        <v>140</v>
      </c>
      <c r="D75" s="152">
        <v>0</v>
      </c>
      <c r="E75" s="153"/>
      <c r="F75" s="153"/>
      <c r="G75" s="154">
        <f t="shared" si="0"/>
        <v>0</v>
      </c>
      <c r="H75" s="154"/>
      <c r="I75" s="154">
        <v>0</v>
      </c>
      <c r="J75" s="158"/>
      <c r="K75" s="152">
        <v>0</v>
      </c>
      <c r="L75" s="153"/>
      <c r="M75" s="153"/>
      <c r="N75" s="154">
        <f t="shared" si="1"/>
        <v>0</v>
      </c>
      <c r="O75" s="155">
        <f t="shared" si="2"/>
        <v>0</v>
      </c>
      <c r="S75" s="156" t="s">
        <v>358</v>
      </c>
    </row>
    <row r="76" spans="1:19" ht="15" x14ac:dyDescent="0.25">
      <c r="A76" s="150">
        <v>8</v>
      </c>
      <c r="B76" s="150">
        <v>1960</v>
      </c>
      <c r="C76" s="151" t="s">
        <v>141</v>
      </c>
      <c r="D76" s="152">
        <v>400286.90999999992</v>
      </c>
      <c r="E76" s="153">
        <v>20923.460000000021</v>
      </c>
      <c r="F76" s="153"/>
      <c r="G76" s="154">
        <f t="shared" si="0"/>
        <v>421210.36999999994</v>
      </c>
      <c r="H76" s="154"/>
      <c r="I76" s="154">
        <v>0</v>
      </c>
      <c r="J76" s="158"/>
      <c r="K76" s="152">
        <v>-162883.76999999996</v>
      </c>
      <c r="L76" s="153">
        <v>-36899.010000000009</v>
      </c>
      <c r="M76" s="153"/>
      <c r="N76" s="154">
        <f t="shared" si="1"/>
        <v>-199782.77999999997</v>
      </c>
      <c r="O76" s="155">
        <f t="shared" si="2"/>
        <v>221427.58999999997</v>
      </c>
      <c r="S76" s="156" t="s">
        <v>359</v>
      </c>
    </row>
    <row r="77" spans="1:19" ht="15" x14ac:dyDescent="0.25">
      <c r="A77" s="150"/>
      <c r="B77" s="150">
        <v>1970</v>
      </c>
      <c r="C77" s="151" t="s">
        <v>142</v>
      </c>
      <c r="D77" s="152">
        <v>0</v>
      </c>
      <c r="E77" s="153"/>
      <c r="F77" s="153"/>
      <c r="G77" s="154">
        <f t="shared" si="0"/>
        <v>0</v>
      </c>
      <c r="H77" s="154"/>
      <c r="I77" s="154">
        <v>0</v>
      </c>
      <c r="J77" s="158"/>
      <c r="K77" s="152">
        <v>0</v>
      </c>
      <c r="L77" s="153"/>
      <c r="M77" s="153"/>
      <c r="N77" s="154">
        <f t="shared" si="1"/>
        <v>0</v>
      </c>
      <c r="O77" s="155">
        <f t="shared" si="2"/>
        <v>0</v>
      </c>
      <c r="S77" s="156" t="s">
        <v>360</v>
      </c>
    </row>
    <row r="78" spans="1:19" ht="15" x14ac:dyDescent="0.25">
      <c r="A78" s="150"/>
      <c r="B78" s="150">
        <v>1975</v>
      </c>
      <c r="C78" s="151" t="s">
        <v>143</v>
      </c>
      <c r="D78" s="152">
        <v>0</v>
      </c>
      <c r="E78" s="153"/>
      <c r="F78" s="153"/>
      <c r="G78" s="154">
        <f t="shared" si="0"/>
        <v>0</v>
      </c>
      <c r="H78" s="154"/>
      <c r="I78" s="154">
        <v>0</v>
      </c>
      <c r="J78" s="158"/>
      <c r="K78" s="152">
        <v>0</v>
      </c>
      <c r="L78" s="153"/>
      <c r="M78" s="153"/>
      <c r="N78" s="154">
        <f t="shared" si="1"/>
        <v>0</v>
      </c>
      <c r="O78" s="155">
        <f t="shared" si="2"/>
        <v>0</v>
      </c>
      <c r="S78" s="156" t="s">
        <v>361</v>
      </c>
    </row>
    <row r="79" spans="1:19" ht="15" x14ac:dyDescent="0.25">
      <c r="A79" s="150">
        <v>8</v>
      </c>
      <c r="B79" s="150">
        <v>1980</v>
      </c>
      <c r="C79" s="151" t="s">
        <v>144</v>
      </c>
      <c r="D79" s="152">
        <v>7395157.8190000001</v>
      </c>
      <c r="E79" s="153">
        <v>484522.80999999918</v>
      </c>
      <c r="F79" s="153">
        <v>-6999.94</v>
      </c>
      <c r="G79" s="154">
        <f t="shared" si="0"/>
        <v>7872680.6889999993</v>
      </c>
      <c r="H79" s="154"/>
      <c r="I79" s="154">
        <v>0</v>
      </c>
      <c r="J79" s="158"/>
      <c r="K79" s="152">
        <v>-3093401.19</v>
      </c>
      <c r="L79" s="153">
        <v>-618540.27000000014</v>
      </c>
      <c r="M79" s="153">
        <v>507.84</v>
      </c>
      <c r="N79" s="154">
        <f t="shared" si="1"/>
        <v>-3711433.62</v>
      </c>
      <c r="O79" s="155">
        <f t="shared" si="2"/>
        <v>4161247.0689999992</v>
      </c>
      <c r="S79" s="156" t="s">
        <v>362</v>
      </c>
    </row>
    <row r="80" spans="1:19" ht="15" x14ac:dyDescent="0.25">
      <c r="A80" s="150"/>
      <c r="B80" s="150">
        <v>1985</v>
      </c>
      <c r="C80" s="151" t="s">
        <v>145</v>
      </c>
      <c r="D80" s="152">
        <v>0</v>
      </c>
      <c r="E80" s="153"/>
      <c r="F80" s="153"/>
      <c r="G80" s="154">
        <f t="shared" si="0"/>
        <v>0</v>
      </c>
      <c r="H80" s="154"/>
      <c r="I80" s="154">
        <v>0</v>
      </c>
      <c r="J80" s="158"/>
      <c r="K80" s="152">
        <v>0</v>
      </c>
      <c r="L80" s="153"/>
      <c r="M80" s="153"/>
      <c r="N80" s="154">
        <f t="shared" si="1"/>
        <v>0</v>
      </c>
      <c r="O80" s="155">
        <f t="shared" si="2"/>
        <v>0</v>
      </c>
      <c r="S80" s="156" t="s">
        <v>363</v>
      </c>
    </row>
    <row r="81" spans="1:19" ht="15" x14ac:dyDescent="0.25">
      <c r="A81" s="150"/>
      <c r="B81" s="150">
        <v>1990</v>
      </c>
      <c r="C81" s="159" t="s">
        <v>146</v>
      </c>
      <c r="D81" s="152">
        <v>0</v>
      </c>
      <c r="E81" s="153"/>
      <c r="F81" s="153"/>
      <c r="G81" s="154">
        <f t="shared" si="0"/>
        <v>0</v>
      </c>
      <c r="H81" s="154"/>
      <c r="I81" s="154">
        <v>0</v>
      </c>
      <c r="J81" s="158"/>
      <c r="K81" s="152">
        <v>0</v>
      </c>
      <c r="L81" s="153"/>
      <c r="M81" s="153"/>
      <c r="N81" s="154">
        <f t="shared" si="1"/>
        <v>0</v>
      </c>
      <c r="O81" s="155">
        <f t="shared" si="2"/>
        <v>0</v>
      </c>
      <c r="S81" s="156" t="s">
        <v>364</v>
      </c>
    </row>
    <row r="82" spans="1:19" ht="15" x14ac:dyDescent="0.25">
      <c r="A82" s="150"/>
      <c r="B82" s="150">
        <v>1995</v>
      </c>
      <c r="C82" s="151" t="s">
        <v>147</v>
      </c>
      <c r="D82" s="152">
        <v>0</v>
      </c>
      <c r="E82" s="153"/>
      <c r="F82" s="153"/>
      <c r="G82" s="154">
        <f t="shared" si="0"/>
        <v>0</v>
      </c>
      <c r="H82" s="154"/>
      <c r="I82" s="154">
        <v>0</v>
      </c>
      <c r="J82" s="158"/>
      <c r="K82" s="152">
        <v>0</v>
      </c>
      <c r="L82" s="153"/>
      <c r="M82" s="153"/>
      <c r="N82" s="154">
        <f t="shared" si="1"/>
        <v>0</v>
      </c>
      <c r="O82" s="155">
        <f t="shared" si="2"/>
        <v>0</v>
      </c>
      <c r="S82" s="156" t="s">
        <v>365</v>
      </c>
    </row>
    <row r="83" spans="1:19" ht="15" x14ac:dyDescent="0.25">
      <c r="A83" s="150">
        <v>43.2</v>
      </c>
      <c r="B83" s="150">
        <v>2075</v>
      </c>
      <c r="C83" s="151" t="s">
        <v>148</v>
      </c>
      <c r="D83" s="152">
        <v>1144598.3399999999</v>
      </c>
      <c r="E83" s="153">
        <v>107167.1399999999</v>
      </c>
      <c r="F83" s="153"/>
      <c r="G83" s="154">
        <f t="shared" si="0"/>
        <v>1251765.4799999997</v>
      </c>
      <c r="H83" s="154"/>
      <c r="I83" s="154"/>
      <c r="K83" s="152">
        <v>-295925.21000000002</v>
      </c>
      <c r="L83" s="153">
        <v>-58011.789999999979</v>
      </c>
      <c r="M83" s="153"/>
      <c r="N83" s="154">
        <f t="shared" si="1"/>
        <v>-353937</v>
      </c>
      <c r="O83" s="155">
        <f t="shared" si="2"/>
        <v>897828.47999999975</v>
      </c>
      <c r="S83" s="156"/>
    </row>
    <row r="84" spans="1:19" ht="15" x14ac:dyDescent="0.25">
      <c r="A84" s="150">
        <v>47</v>
      </c>
      <c r="B84" s="150">
        <v>2440</v>
      </c>
      <c r="C84" s="151" t="s">
        <v>149</v>
      </c>
      <c r="D84" s="152">
        <v>-63725190.649999991</v>
      </c>
      <c r="E84" s="153">
        <v>-16341413.51</v>
      </c>
      <c r="F84" s="153"/>
      <c r="G84" s="154">
        <f t="shared" si="0"/>
        <v>-80066604.159999996</v>
      </c>
      <c r="H84" s="154"/>
      <c r="I84" s="154">
        <v>0</v>
      </c>
      <c r="K84" s="152">
        <v>4151717.8100000005</v>
      </c>
      <c r="L84" s="153">
        <v>1767067.7599999998</v>
      </c>
      <c r="M84" s="153"/>
      <c r="N84" s="154">
        <f t="shared" si="1"/>
        <v>5918785.5700000003</v>
      </c>
      <c r="O84" s="155">
        <f t="shared" si="2"/>
        <v>-74147818.590000004</v>
      </c>
      <c r="S84" s="156" t="s">
        <v>366</v>
      </c>
    </row>
    <row r="85" spans="1:19" ht="15" x14ac:dyDescent="0.25">
      <c r="A85" s="160" t="s">
        <v>109</v>
      </c>
      <c r="B85" s="160">
        <v>2005</v>
      </c>
      <c r="C85" s="161" t="s">
        <v>150</v>
      </c>
      <c r="D85" s="152">
        <v>1992448.6700000002</v>
      </c>
      <c r="E85" s="162"/>
      <c r="F85" s="162"/>
      <c r="G85" s="154">
        <f t="shared" si="0"/>
        <v>1992448.6700000002</v>
      </c>
      <c r="H85" s="154"/>
      <c r="I85" s="154">
        <v>0</v>
      </c>
      <c r="K85" s="152">
        <v>-419911.26</v>
      </c>
      <c r="L85" s="163">
        <v>-473167.38</v>
      </c>
      <c r="M85" s="162"/>
      <c r="N85" s="154">
        <f t="shared" si="1"/>
        <v>-893078.64</v>
      </c>
      <c r="O85" s="155">
        <f t="shared" si="2"/>
        <v>1099370.0300000003</v>
      </c>
      <c r="S85" s="156" t="s">
        <v>367</v>
      </c>
    </row>
    <row r="86" spans="1:19" x14ac:dyDescent="0.2">
      <c r="A86" s="160"/>
      <c r="B86" s="160"/>
      <c r="C86" s="164" t="s">
        <v>20</v>
      </c>
      <c r="D86" s="165">
        <f>SUM(D42:D85)</f>
        <v>440078043.5836001</v>
      </c>
      <c r="E86" s="165">
        <f>SUM(E42:E85)</f>
        <v>30421573.290000007</v>
      </c>
      <c r="F86" s="165">
        <f>SUM(F42:F85)</f>
        <v>-1113903.5099999998</v>
      </c>
      <c r="G86" s="165">
        <f>SUM(G42:G85)</f>
        <v>469385713.36360008</v>
      </c>
      <c r="H86" s="165"/>
      <c r="I86" s="166">
        <f>SUM(I42:I85)</f>
        <v>0</v>
      </c>
      <c r="J86" s="167"/>
      <c r="K86" s="165">
        <f>SUM(K42:K85)</f>
        <v>-95182855.979999945</v>
      </c>
      <c r="L86" s="165">
        <f>SUM(L42:L85)</f>
        <v>-18383796.059999991</v>
      </c>
      <c r="M86" s="165">
        <f>SUM(M42:M85)</f>
        <v>252013.49000000002</v>
      </c>
      <c r="N86" s="165">
        <f>SUM(N42:N85)</f>
        <v>-113314638.55</v>
      </c>
      <c r="O86" s="165">
        <f>SUM(O42:O85)</f>
        <v>356071074.81360006</v>
      </c>
    </row>
    <row r="87" spans="1:19" ht="25.5" x14ac:dyDescent="0.25">
      <c r="A87" s="160"/>
      <c r="B87" s="160"/>
      <c r="C87" s="168" t="s">
        <v>151</v>
      </c>
      <c r="D87" s="152">
        <v>-675735.92449999996</v>
      </c>
      <c r="E87" s="153"/>
      <c r="F87" s="153"/>
      <c r="G87" s="154">
        <f>D87+E87+F87</f>
        <v>-675735.92449999996</v>
      </c>
      <c r="H87" s="154"/>
      <c r="I87" s="154"/>
      <c r="K87" s="152">
        <v>139632.84139999998</v>
      </c>
      <c r="L87" s="153">
        <v>35849.863799999992</v>
      </c>
      <c r="M87" s="153"/>
      <c r="N87" s="154">
        <f>K87+L87+M87</f>
        <v>175482.70519999997</v>
      </c>
      <c r="O87" s="155">
        <f>G87+N87</f>
        <v>-500253.2193</v>
      </c>
    </row>
    <row r="88" spans="1:19" ht="24.75" x14ac:dyDescent="0.25">
      <c r="A88" s="160"/>
      <c r="B88" s="160"/>
      <c r="C88" s="169" t="s">
        <v>152</v>
      </c>
      <c r="D88" s="152">
        <v>-1144598.3399999999</v>
      </c>
      <c r="E88" s="153">
        <f>-E83</f>
        <v>-107167.1399999999</v>
      </c>
      <c r="F88" s="153"/>
      <c r="G88" s="154">
        <f>D88+E88+F88</f>
        <v>-1251765.4799999997</v>
      </c>
      <c r="H88" s="154"/>
      <c r="I88" s="154"/>
      <c r="K88" s="152">
        <v>295925.21000000002</v>
      </c>
      <c r="L88" s="153">
        <f>-L83</f>
        <v>58011.789999999979</v>
      </c>
      <c r="M88" s="153"/>
      <c r="N88" s="154">
        <f>K88+L88+M88</f>
        <v>353937</v>
      </c>
      <c r="O88" s="155">
        <f>G88+N88</f>
        <v>-897828.47999999975</v>
      </c>
    </row>
    <row r="89" spans="1:19" x14ac:dyDescent="0.2">
      <c r="A89" s="160"/>
      <c r="B89" s="160"/>
      <c r="C89" s="164" t="s">
        <v>153</v>
      </c>
      <c r="D89" s="165">
        <f>SUM(D86:D88)</f>
        <v>438257709.31910014</v>
      </c>
      <c r="E89" s="165">
        <f>SUM(E86:E88)</f>
        <v>30314406.150000006</v>
      </c>
      <c r="F89" s="165">
        <f>SUM(F86:F88)</f>
        <v>-1113903.5099999998</v>
      </c>
      <c r="G89" s="165">
        <f>SUM(G86:G88)</f>
        <v>467458211.95910007</v>
      </c>
      <c r="H89" s="165"/>
      <c r="I89" s="165"/>
      <c r="J89" s="167"/>
      <c r="K89" s="165">
        <f>SUM(K86:K88)</f>
        <v>-94747297.928599954</v>
      </c>
      <c r="L89" s="165">
        <f>SUM(L86:L88)</f>
        <v>-18289934.406199992</v>
      </c>
      <c r="M89" s="165">
        <f>SUM(M86:M88)</f>
        <v>252013.49000000002</v>
      </c>
      <c r="N89" s="165">
        <f>SUM(N86:N88)</f>
        <v>-112785218.8448</v>
      </c>
      <c r="O89" s="165">
        <f>SUM(O86:O88)</f>
        <v>354672993.11430007</v>
      </c>
    </row>
    <row r="90" spans="1:19" ht="15" x14ac:dyDescent="0.25">
      <c r="A90" s="160"/>
      <c r="B90" s="160"/>
      <c r="C90" s="170" t="s">
        <v>154</v>
      </c>
      <c r="D90" s="153">
        <v>26923756.159999996</v>
      </c>
      <c r="E90" s="153">
        <f>309937.76-2367043.07+1894873.49+2871184.01+453009.39+1262575.87</f>
        <v>4424537.45</v>
      </c>
      <c r="F90" s="153"/>
      <c r="G90" s="154">
        <f t="shared" ref="G90" si="3">D90+E90+F90</f>
        <v>31348293.609999996</v>
      </c>
      <c r="H90" s="154"/>
      <c r="I90" s="154">
        <v>0</v>
      </c>
      <c r="J90" s="158"/>
      <c r="N90" s="154">
        <f t="shared" ref="N90" si="4">K90+L90+M90</f>
        <v>0</v>
      </c>
      <c r="O90" s="155">
        <f t="shared" ref="O90" si="5">G90+N90</f>
        <v>31348293.609999996</v>
      </c>
    </row>
    <row r="91" spans="1:19" x14ac:dyDescent="0.2">
      <c r="A91" s="160"/>
      <c r="B91" s="160"/>
      <c r="C91" s="170" t="s">
        <v>155</v>
      </c>
      <c r="D91" s="165">
        <f>SUM(D89:D90)</f>
        <v>465181465.47910011</v>
      </c>
      <c r="E91" s="165">
        <f t="shared" ref="E91:O91" si="6">SUM(E89:E90)</f>
        <v>34738943.600000009</v>
      </c>
      <c r="F91" s="165">
        <f t="shared" si="6"/>
        <v>-1113903.5099999998</v>
      </c>
      <c r="G91" s="165">
        <f t="shared" si="6"/>
        <v>498806505.56910008</v>
      </c>
      <c r="H91" s="165"/>
      <c r="I91" s="165">
        <f t="shared" si="6"/>
        <v>0</v>
      </c>
      <c r="J91" s="165">
        <f t="shared" si="6"/>
        <v>0</v>
      </c>
      <c r="K91" s="165">
        <f t="shared" si="6"/>
        <v>-94747297.928599954</v>
      </c>
      <c r="L91" s="165">
        <f t="shared" si="6"/>
        <v>-18289934.406199992</v>
      </c>
      <c r="M91" s="165">
        <f t="shared" si="6"/>
        <v>252013.49000000002</v>
      </c>
      <c r="N91" s="165">
        <f t="shared" si="6"/>
        <v>-112785218.8448</v>
      </c>
      <c r="O91" s="165">
        <f t="shared" si="6"/>
        <v>386021286.72430009</v>
      </c>
    </row>
    <row r="92" spans="1:19" ht="15" x14ac:dyDescent="0.25">
      <c r="A92" s="160"/>
      <c r="B92" s="160"/>
      <c r="C92" s="359" t="s">
        <v>156</v>
      </c>
      <c r="D92" s="360"/>
      <c r="E92" s="360"/>
      <c r="F92" s="360"/>
      <c r="G92" s="360"/>
      <c r="H92" s="360"/>
      <c r="I92" s="360"/>
      <c r="J92" s="360"/>
      <c r="K92" s="361"/>
      <c r="L92" s="162"/>
      <c r="N92" s="171"/>
      <c r="O92" s="172"/>
    </row>
    <row r="93" spans="1:19" ht="15" x14ac:dyDescent="0.25">
      <c r="A93" s="160"/>
      <c r="B93" s="160"/>
      <c r="C93" s="359" t="s">
        <v>43</v>
      </c>
      <c r="D93" s="360"/>
      <c r="E93" s="360"/>
      <c r="F93" s="360"/>
      <c r="G93" s="360"/>
      <c r="H93" s="360"/>
      <c r="I93" s="360"/>
      <c r="J93" s="360"/>
      <c r="K93" s="361"/>
      <c r="L93" s="165">
        <f>L91+L92</f>
        <v>-18289934.406199992</v>
      </c>
      <c r="N93" s="171"/>
      <c r="O93" s="172"/>
    </row>
    <row r="94" spans="1:19" ht="25.5" customHeight="1" x14ac:dyDescent="0.2">
      <c r="D94" s="355" t="s">
        <v>157</v>
      </c>
      <c r="E94" s="355"/>
      <c r="F94" s="355"/>
      <c r="G94" s="172">
        <f>AVERAGE(D89,G89)</f>
        <v>452857960.63910007</v>
      </c>
      <c r="H94" s="172"/>
      <c r="K94" s="124" t="s">
        <v>158</v>
      </c>
      <c r="N94" s="172">
        <f>AVERAGE(K89,N89)</f>
        <v>-103766258.38669997</v>
      </c>
      <c r="P94" s="172"/>
    </row>
    <row r="95" spans="1:19" x14ac:dyDescent="0.2">
      <c r="D95" s="124"/>
      <c r="G95" s="172"/>
      <c r="H95" s="172"/>
      <c r="K95" s="124" t="s">
        <v>159</v>
      </c>
      <c r="N95" s="172">
        <f>G94+N94</f>
        <v>349091702.2524001</v>
      </c>
    </row>
    <row r="96" spans="1:19" x14ac:dyDescent="0.2">
      <c r="K96" s="123" t="s">
        <v>160</v>
      </c>
    </row>
    <row r="97" spans="1:19" ht="15" x14ac:dyDescent="0.25">
      <c r="A97" s="160">
        <v>10</v>
      </c>
      <c r="B97" s="160"/>
      <c r="C97" s="173" t="str">
        <f>+K97</f>
        <v>Transportation</v>
      </c>
      <c r="D97" s="174"/>
      <c r="E97" s="174"/>
      <c r="F97" s="174"/>
      <c r="G97" s="174"/>
      <c r="H97" s="174"/>
      <c r="I97" s="174"/>
      <c r="J97" s="174"/>
      <c r="K97" s="174" t="s">
        <v>161</v>
      </c>
      <c r="L97" s="174"/>
      <c r="M97" s="175">
        <f>+L69</f>
        <v>-870984.36</v>
      </c>
    </row>
    <row r="98" spans="1:19" ht="15" x14ac:dyDescent="0.25">
      <c r="A98" s="160"/>
      <c r="B98" s="160"/>
      <c r="C98" s="173" t="str">
        <f t="shared" ref="C98:C99" si="7">+K98</f>
        <v>Net Derecognition</v>
      </c>
      <c r="D98" s="174"/>
      <c r="E98" s="174"/>
      <c r="F98" s="174"/>
      <c r="G98" s="174"/>
      <c r="H98" s="174"/>
      <c r="I98" s="174"/>
      <c r="J98" s="174"/>
      <c r="K98" s="174" t="s">
        <v>162</v>
      </c>
      <c r="L98" s="174"/>
      <c r="M98" s="175">
        <f>-F91-M91</f>
        <v>861890.01999999979</v>
      </c>
    </row>
    <row r="99" spans="1:19" ht="15" x14ac:dyDescent="0.25">
      <c r="A99" s="160"/>
      <c r="B99" s="160"/>
      <c r="C99" s="173" t="str">
        <f t="shared" si="7"/>
        <v>Non Rate-Regulated utility asset</v>
      </c>
      <c r="D99" s="174"/>
      <c r="E99" s="174"/>
      <c r="F99" s="174"/>
      <c r="G99" s="174"/>
      <c r="H99" s="174"/>
      <c r="I99" s="174"/>
      <c r="J99" s="174"/>
      <c r="K99" s="174" t="s">
        <v>163</v>
      </c>
      <c r="L99" s="174"/>
      <c r="M99" s="175">
        <f>+L87</f>
        <v>35849.863799999992</v>
      </c>
    </row>
    <row r="100" spans="1:19" x14ac:dyDescent="0.2">
      <c r="K100" s="353" t="s">
        <v>164</v>
      </c>
      <c r="L100" s="354"/>
      <c r="M100" s="177">
        <f>L93-M97-M98-M99</f>
        <v>-18316689.929999992</v>
      </c>
    </row>
    <row r="102" spans="1:19" x14ac:dyDescent="0.2">
      <c r="M102" s="172"/>
    </row>
    <row r="104" spans="1:19" ht="15.75" thickBot="1" x14ac:dyDescent="0.25">
      <c r="E104" s="135" t="s">
        <v>94</v>
      </c>
      <c r="F104" s="136" t="s">
        <v>12</v>
      </c>
    </row>
    <row r="105" spans="1:19" ht="15.75" thickBot="1" x14ac:dyDescent="0.3">
      <c r="E105" s="135" t="s">
        <v>95</v>
      </c>
      <c r="F105" s="137">
        <v>2021</v>
      </c>
      <c r="G105" s="138"/>
      <c r="H105" s="138"/>
      <c r="I105" s="139" t="b">
        <f>IF(F105=2014,4,IF(F105=2015,5,IF(F105=2016,6,IF(F105=2017,7,IF(F105=2018,8,IF(F105=2019,9,IF(F105=2020,10)))))))</f>
        <v>0</v>
      </c>
    </row>
    <row r="107" spans="1:19" x14ac:dyDescent="0.2">
      <c r="D107" s="356" t="s">
        <v>96</v>
      </c>
      <c r="E107" s="357"/>
      <c r="F107" s="357"/>
      <c r="G107" s="357"/>
      <c r="H107" s="357"/>
      <c r="I107" s="358"/>
      <c r="K107" s="140"/>
      <c r="L107" s="141" t="s">
        <v>97</v>
      </c>
      <c r="M107" s="141"/>
      <c r="N107" s="142"/>
    </row>
    <row r="108" spans="1:19" ht="30" customHeight="1" x14ac:dyDescent="0.2">
      <c r="A108" s="143" t="s">
        <v>98</v>
      </c>
      <c r="B108" s="143" t="s">
        <v>99</v>
      </c>
      <c r="C108" s="144" t="s">
        <v>100</v>
      </c>
      <c r="D108" s="143" t="s">
        <v>101</v>
      </c>
      <c r="E108" s="145" t="s">
        <v>102</v>
      </c>
      <c r="F108" s="145" t="s">
        <v>103</v>
      </c>
      <c r="G108" s="143" t="s">
        <v>104</v>
      </c>
      <c r="H108" s="143"/>
      <c r="I108" s="143" t="s">
        <v>105</v>
      </c>
      <c r="J108" s="146"/>
      <c r="K108" s="143" t="s">
        <v>101</v>
      </c>
      <c r="L108" s="147" t="s">
        <v>106</v>
      </c>
      <c r="M108" s="147" t="s">
        <v>103</v>
      </c>
      <c r="N108" s="148" t="s">
        <v>104</v>
      </c>
      <c r="O108" s="143" t="s">
        <v>107</v>
      </c>
    </row>
    <row r="109" spans="1:19" ht="15" x14ac:dyDescent="0.25">
      <c r="A109" s="149">
        <v>14.1</v>
      </c>
      <c r="B109" s="150">
        <v>1609</v>
      </c>
      <c r="C109" s="151" t="s">
        <v>108</v>
      </c>
      <c r="D109" s="152">
        <f t="shared" ref="D109:D152" si="8">G42</f>
        <v>2134700</v>
      </c>
      <c r="E109" s="153"/>
      <c r="F109" s="153"/>
      <c r="G109" s="154">
        <f>D109+E109+F109</f>
        <v>2134700</v>
      </c>
      <c r="H109" s="154"/>
      <c r="I109" s="154">
        <v>0</v>
      </c>
      <c r="J109" s="146"/>
      <c r="K109" s="152">
        <f t="shared" ref="K109:K152" si="9">N42</f>
        <v>-82726.37</v>
      </c>
      <c r="L109" s="153">
        <v>-164103.94</v>
      </c>
      <c r="M109" s="153"/>
      <c r="N109" s="154">
        <f>K109+L109+M109</f>
        <v>-246830.31</v>
      </c>
      <c r="O109" s="155">
        <f>G109+N109</f>
        <v>1887869.69</v>
      </c>
      <c r="S109" s="156" t="s">
        <v>332</v>
      </c>
    </row>
    <row r="110" spans="1:19" ht="15" x14ac:dyDescent="0.25">
      <c r="A110" s="149" t="s">
        <v>109</v>
      </c>
      <c r="B110" s="150">
        <v>1610</v>
      </c>
      <c r="C110" s="151" t="s">
        <v>110</v>
      </c>
      <c r="D110" s="152">
        <f t="shared" si="8"/>
        <v>3768750.86</v>
      </c>
      <c r="E110" s="153">
        <v>263140.8</v>
      </c>
      <c r="F110" s="153"/>
      <c r="G110" s="154">
        <f>D110+E110+F110</f>
        <v>4031891.6599999997</v>
      </c>
      <c r="H110" s="154"/>
      <c r="I110" s="154"/>
      <c r="J110" s="146"/>
      <c r="K110" s="152">
        <f t="shared" si="9"/>
        <v>-2508934.25</v>
      </c>
      <c r="L110" s="153">
        <v>-434894.25</v>
      </c>
      <c r="M110" s="153"/>
      <c r="N110" s="154">
        <f>K110+L110+M110</f>
        <v>-2943828.5</v>
      </c>
      <c r="O110" s="155">
        <f>G110+N110</f>
        <v>1088063.1599999997</v>
      </c>
      <c r="S110" s="156"/>
    </row>
    <row r="111" spans="1:19" ht="15" x14ac:dyDescent="0.25">
      <c r="A111" s="150">
        <v>12</v>
      </c>
      <c r="B111" s="150">
        <v>1611</v>
      </c>
      <c r="C111" s="157" t="s">
        <v>111</v>
      </c>
      <c r="D111" s="152">
        <f t="shared" si="8"/>
        <v>14345190.180000002</v>
      </c>
      <c r="E111" s="153">
        <v>2302830.1799999997</v>
      </c>
      <c r="F111" s="153"/>
      <c r="G111" s="154">
        <f>D111+E111+F111</f>
        <v>16648020.360000001</v>
      </c>
      <c r="H111" s="154"/>
      <c r="I111" s="154">
        <v>0</v>
      </c>
      <c r="J111" s="158"/>
      <c r="K111" s="152">
        <f t="shared" si="9"/>
        <v>-11198640.18</v>
      </c>
      <c r="L111" s="153">
        <v>-1839646.07</v>
      </c>
      <c r="M111" s="153"/>
      <c r="N111" s="154">
        <f>K111+L111+M111</f>
        <v>-13038286.25</v>
      </c>
      <c r="O111" s="155">
        <f>G111+N111</f>
        <v>3609734.1100000013</v>
      </c>
      <c r="S111" s="156" t="s">
        <v>333</v>
      </c>
    </row>
    <row r="112" spans="1:19" ht="15" x14ac:dyDescent="0.25">
      <c r="A112" s="150">
        <v>14.1</v>
      </c>
      <c r="B112" s="150">
        <v>1612</v>
      </c>
      <c r="C112" s="151" t="s">
        <v>112</v>
      </c>
      <c r="D112" s="152">
        <f t="shared" si="8"/>
        <v>461198.61000000004</v>
      </c>
      <c r="E112" s="153">
        <v>3841402</v>
      </c>
      <c r="F112" s="153"/>
      <c r="G112" s="154">
        <f>D112+E112+F112</f>
        <v>4302600.6100000003</v>
      </c>
      <c r="H112" s="154"/>
      <c r="I112" s="154">
        <v>0</v>
      </c>
      <c r="J112" s="158"/>
      <c r="K112" s="152">
        <f t="shared" si="9"/>
        <v>-79414.27</v>
      </c>
      <c r="L112" s="153">
        <v>-12301.739999999991</v>
      </c>
      <c r="M112" s="153"/>
      <c r="N112" s="154">
        <f>K112+L112+M112</f>
        <v>-91716.01</v>
      </c>
      <c r="O112" s="155">
        <f>G112+N112</f>
        <v>4210884.6000000006</v>
      </c>
      <c r="S112" s="156" t="s">
        <v>334</v>
      </c>
    </row>
    <row r="113" spans="1:19" ht="15" x14ac:dyDescent="0.25">
      <c r="A113" s="150" t="s">
        <v>109</v>
      </c>
      <c r="B113" s="150">
        <v>1805</v>
      </c>
      <c r="C113" s="151" t="s">
        <v>113</v>
      </c>
      <c r="D113" s="152">
        <f t="shared" si="8"/>
        <v>981172.99</v>
      </c>
      <c r="E113" s="153"/>
      <c r="F113" s="153"/>
      <c r="G113" s="154">
        <f>D113+E113+F113</f>
        <v>981172.99</v>
      </c>
      <c r="H113" s="154"/>
      <c r="I113" s="154">
        <v>0</v>
      </c>
      <c r="J113" s="158"/>
      <c r="K113" s="152">
        <f t="shared" si="9"/>
        <v>0</v>
      </c>
      <c r="L113" s="153"/>
      <c r="M113" s="153"/>
      <c r="N113" s="154">
        <f>K113+L113+M113</f>
        <v>0</v>
      </c>
      <c r="O113" s="155">
        <f>G113+N113</f>
        <v>981172.99</v>
      </c>
      <c r="S113" s="156" t="s">
        <v>335</v>
      </c>
    </row>
    <row r="114" spans="1:19" ht="15" x14ac:dyDescent="0.25">
      <c r="A114" s="150">
        <v>47</v>
      </c>
      <c r="B114" s="150">
        <v>1808</v>
      </c>
      <c r="C114" s="151" t="s">
        <v>114</v>
      </c>
      <c r="D114" s="152">
        <f t="shared" si="8"/>
        <v>1398183.11</v>
      </c>
      <c r="E114" s="153">
        <v>10860.929999999935</v>
      </c>
      <c r="F114" s="153"/>
      <c r="G114" s="154">
        <f t="shared" ref="G114:G152" si="10">D114+E114+F114</f>
        <v>1409044.04</v>
      </c>
      <c r="H114" s="154"/>
      <c r="I114" s="154">
        <v>0</v>
      </c>
      <c r="J114" s="158"/>
      <c r="K114" s="152">
        <f t="shared" si="9"/>
        <v>-1182850.0100000002</v>
      </c>
      <c r="L114" s="153">
        <v>-9466.1699999999255</v>
      </c>
      <c r="M114" s="153"/>
      <c r="N114" s="154">
        <f t="shared" ref="N114:N152" si="11">K114+L114+M114</f>
        <v>-1192316.1800000002</v>
      </c>
      <c r="O114" s="155">
        <f t="shared" ref="O114:O152" si="12">G114+N114</f>
        <v>216727.85999999987</v>
      </c>
      <c r="S114" s="156" t="s">
        <v>336</v>
      </c>
    </row>
    <row r="115" spans="1:19" ht="15" x14ac:dyDescent="0.25">
      <c r="A115" s="150"/>
      <c r="B115" s="150">
        <v>1810</v>
      </c>
      <c r="C115" s="151" t="s">
        <v>115</v>
      </c>
      <c r="D115" s="152">
        <f t="shared" si="8"/>
        <v>0</v>
      </c>
      <c r="E115" s="153"/>
      <c r="F115" s="153"/>
      <c r="G115" s="154">
        <f t="shared" si="10"/>
        <v>0</v>
      </c>
      <c r="H115" s="154"/>
      <c r="I115" s="154">
        <v>0</v>
      </c>
      <c r="J115" s="158"/>
      <c r="K115" s="152">
        <f t="shared" si="9"/>
        <v>0</v>
      </c>
      <c r="L115" s="153"/>
      <c r="M115" s="153"/>
      <c r="N115" s="154">
        <f t="shared" si="11"/>
        <v>0</v>
      </c>
      <c r="O115" s="155">
        <f t="shared" si="12"/>
        <v>0</v>
      </c>
      <c r="S115" s="156" t="s">
        <v>337</v>
      </c>
    </row>
    <row r="116" spans="1:19" ht="15" x14ac:dyDescent="0.25">
      <c r="A116" s="150">
        <v>47</v>
      </c>
      <c r="B116" s="150">
        <v>1815</v>
      </c>
      <c r="C116" s="151" t="s">
        <v>116</v>
      </c>
      <c r="D116" s="152">
        <f t="shared" si="8"/>
        <v>225104.49999999997</v>
      </c>
      <c r="E116" s="153"/>
      <c r="F116" s="153"/>
      <c r="G116" s="154">
        <f t="shared" si="10"/>
        <v>225104.49999999997</v>
      </c>
      <c r="H116" s="154"/>
      <c r="I116" s="154">
        <v>0</v>
      </c>
      <c r="J116" s="158"/>
      <c r="K116" s="152">
        <f t="shared" si="9"/>
        <v>-42071.64</v>
      </c>
      <c r="L116" s="153">
        <v>-6607.5400000000009</v>
      </c>
      <c r="M116" s="153"/>
      <c r="N116" s="154">
        <f t="shared" si="11"/>
        <v>-48679.18</v>
      </c>
      <c r="O116" s="155">
        <f t="shared" si="12"/>
        <v>176425.31999999998</v>
      </c>
      <c r="S116" s="156" t="s">
        <v>338</v>
      </c>
    </row>
    <row r="117" spans="1:19" ht="15" x14ac:dyDescent="0.25">
      <c r="A117" s="150">
        <v>47</v>
      </c>
      <c r="B117" s="150">
        <v>1820</v>
      </c>
      <c r="C117" s="151" t="s">
        <v>117</v>
      </c>
      <c r="D117" s="152">
        <f t="shared" si="8"/>
        <v>59715768.498100005</v>
      </c>
      <c r="E117" s="153">
        <v>5703222.1000000006</v>
      </c>
      <c r="F117" s="153"/>
      <c r="G117" s="154">
        <f t="shared" si="10"/>
        <v>65418990.598100007</v>
      </c>
      <c r="H117" s="154"/>
      <c r="I117" s="154">
        <v>0</v>
      </c>
      <c r="J117" s="158"/>
      <c r="K117" s="152">
        <f t="shared" si="9"/>
        <v>-9643157.2499999981</v>
      </c>
      <c r="L117" s="153">
        <v>-1883447.78</v>
      </c>
      <c r="M117" s="153"/>
      <c r="N117" s="154">
        <f t="shared" si="11"/>
        <v>-11526605.029999997</v>
      </c>
      <c r="O117" s="155">
        <f t="shared" si="12"/>
        <v>53892385.568100005</v>
      </c>
      <c r="S117" s="156" t="s">
        <v>339</v>
      </c>
    </row>
    <row r="118" spans="1:19" ht="15" x14ac:dyDescent="0.25">
      <c r="A118" s="150"/>
      <c r="B118" s="150">
        <v>1825</v>
      </c>
      <c r="C118" s="151" t="s">
        <v>118</v>
      </c>
      <c r="D118" s="152">
        <f t="shared" si="8"/>
        <v>0</v>
      </c>
      <c r="E118" s="153"/>
      <c r="F118" s="153"/>
      <c r="G118" s="154">
        <f t="shared" si="10"/>
        <v>0</v>
      </c>
      <c r="H118" s="154"/>
      <c r="I118" s="154">
        <v>0</v>
      </c>
      <c r="J118" s="158"/>
      <c r="K118" s="152">
        <f t="shared" si="9"/>
        <v>0</v>
      </c>
      <c r="L118" s="153"/>
      <c r="M118" s="153"/>
      <c r="N118" s="154">
        <f t="shared" si="11"/>
        <v>0</v>
      </c>
      <c r="O118" s="155">
        <f t="shared" si="12"/>
        <v>0</v>
      </c>
      <c r="S118" s="156" t="s">
        <v>340</v>
      </c>
    </row>
    <row r="119" spans="1:19" ht="15" x14ac:dyDescent="0.25">
      <c r="A119" s="150">
        <v>47</v>
      </c>
      <c r="B119" s="150">
        <v>1830</v>
      </c>
      <c r="C119" s="151" t="s">
        <v>119</v>
      </c>
      <c r="D119" s="152">
        <f t="shared" si="8"/>
        <v>91111916.409999996</v>
      </c>
      <c r="E119" s="153">
        <v>8275332.2200000007</v>
      </c>
      <c r="F119" s="153">
        <v>-108529.56000000001</v>
      </c>
      <c r="G119" s="154">
        <f t="shared" si="10"/>
        <v>99278719.069999993</v>
      </c>
      <c r="H119" s="154"/>
      <c r="I119" s="154">
        <v>0</v>
      </c>
      <c r="J119" s="158"/>
      <c r="K119" s="152">
        <f t="shared" si="9"/>
        <v>-11953376.300000001</v>
      </c>
      <c r="L119" s="153">
        <v>-2534787.56</v>
      </c>
      <c r="M119" s="153">
        <v>18698.830000000002</v>
      </c>
      <c r="N119" s="154">
        <f t="shared" si="11"/>
        <v>-14469465.030000001</v>
      </c>
      <c r="O119" s="155">
        <f t="shared" si="12"/>
        <v>84809254.039999992</v>
      </c>
      <c r="S119" s="156" t="s">
        <v>341</v>
      </c>
    </row>
    <row r="120" spans="1:19" ht="15" x14ac:dyDescent="0.25">
      <c r="A120" s="150">
        <v>47</v>
      </c>
      <c r="B120" s="150">
        <v>1835</v>
      </c>
      <c r="C120" s="151" t="s">
        <v>120</v>
      </c>
      <c r="D120" s="152">
        <f t="shared" si="8"/>
        <v>67208110.987499997</v>
      </c>
      <c r="E120" s="153">
        <v>6231709.2200000007</v>
      </c>
      <c r="F120" s="153">
        <v>-226560.13999999998</v>
      </c>
      <c r="G120" s="154">
        <f t="shared" si="10"/>
        <v>73213260.067499995</v>
      </c>
      <c r="H120" s="154"/>
      <c r="I120" s="154">
        <v>0</v>
      </c>
      <c r="J120" s="158"/>
      <c r="K120" s="152">
        <f t="shared" si="9"/>
        <v>-10147386.66</v>
      </c>
      <c r="L120" s="153">
        <v>-1813792.34</v>
      </c>
      <c r="M120" s="153">
        <v>199671.12</v>
      </c>
      <c r="N120" s="154">
        <f t="shared" si="11"/>
        <v>-11761507.880000001</v>
      </c>
      <c r="O120" s="155">
        <f t="shared" si="12"/>
        <v>61451752.187499993</v>
      </c>
      <c r="S120" s="156" t="s">
        <v>342</v>
      </c>
    </row>
    <row r="121" spans="1:19" ht="15" x14ac:dyDescent="0.25">
      <c r="A121" s="150">
        <v>47</v>
      </c>
      <c r="B121" s="150">
        <v>1840</v>
      </c>
      <c r="C121" s="151" t="s">
        <v>121</v>
      </c>
      <c r="D121" s="152">
        <f t="shared" si="8"/>
        <v>47362439.1633</v>
      </c>
      <c r="E121" s="153">
        <v>6928307.3800000027</v>
      </c>
      <c r="F121" s="153"/>
      <c r="G121" s="154">
        <f t="shared" si="10"/>
        <v>54290746.543300003</v>
      </c>
      <c r="H121" s="154"/>
      <c r="I121" s="154">
        <v>0</v>
      </c>
      <c r="J121" s="158"/>
      <c r="K121" s="152">
        <f t="shared" si="9"/>
        <v>-4993102.53</v>
      </c>
      <c r="L121" s="153">
        <v>-918268.41999999993</v>
      </c>
      <c r="M121" s="153"/>
      <c r="N121" s="154">
        <f t="shared" si="11"/>
        <v>-5911370.9500000002</v>
      </c>
      <c r="O121" s="155">
        <f t="shared" si="12"/>
        <v>48379375.5933</v>
      </c>
      <c r="S121" s="156" t="s">
        <v>343</v>
      </c>
    </row>
    <row r="122" spans="1:19" ht="15" x14ac:dyDescent="0.25">
      <c r="A122" s="150">
        <v>47</v>
      </c>
      <c r="B122" s="150">
        <v>1845</v>
      </c>
      <c r="C122" s="151" t="s">
        <v>122</v>
      </c>
      <c r="D122" s="152">
        <f t="shared" si="8"/>
        <v>74075035.719899997</v>
      </c>
      <c r="E122" s="153">
        <v>11405142.710000001</v>
      </c>
      <c r="F122" s="153">
        <v>-75325.009999999995</v>
      </c>
      <c r="G122" s="154">
        <f t="shared" si="10"/>
        <v>85404853.419899985</v>
      </c>
      <c r="H122" s="154"/>
      <c r="I122" s="154">
        <v>0</v>
      </c>
      <c r="J122" s="158"/>
      <c r="K122" s="152">
        <f t="shared" si="9"/>
        <v>-9720621.0800000001</v>
      </c>
      <c r="L122" s="153">
        <v>-2266162.52</v>
      </c>
      <c r="M122" s="153">
        <v>26414.160000000003</v>
      </c>
      <c r="N122" s="154">
        <f t="shared" si="11"/>
        <v>-11960369.439999999</v>
      </c>
      <c r="O122" s="155">
        <f t="shared" si="12"/>
        <v>73444483.979899988</v>
      </c>
      <c r="S122" s="156" t="s">
        <v>344</v>
      </c>
    </row>
    <row r="123" spans="1:19" ht="15" x14ac:dyDescent="0.25">
      <c r="A123" s="150">
        <v>47</v>
      </c>
      <c r="B123" s="150">
        <v>1850</v>
      </c>
      <c r="C123" s="151" t="s">
        <v>123</v>
      </c>
      <c r="D123" s="152">
        <f t="shared" si="8"/>
        <v>58319699.117400005</v>
      </c>
      <c r="E123" s="153">
        <v>7974593.8200000003</v>
      </c>
      <c r="F123" s="153">
        <v>-413280.07</v>
      </c>
      <c r="G123" s="154">
        <f t="shared" si="10"/>
        <v>65881012.867400005</v>
      </c>
      <c r="H123" s="154"/>
      <c r="I123" s="154">
        <v>0</v>
      </c>
      <c r="J123" s="158"/>
      <c r="K123" s="152">
        <f t="shared" si="9"/>
        <v>-11482444.099999998</v>
      </c>
      <c r="L123" s="153">
        <v>-2296704.0299999998</v>
      </c>
      <c r="M123" s="153">
        <v>96861.56</v>
      </c>
      <c r="N123" s="154">
        <f t="shared" si="11"/>
        <v>-13682286.569999997</v>
      </c>
      <c r="O123" s="155">
        <f t="shared" si="12"/>
        <v>52198726.297400013</v>
      </c>
      <c r="S123" s="156" t="s">
        <v>345</v>
      </c>
    </row>
    <row r="124" spans="1:19" ht="15" x14ac:dyDescent="0.25">
      <c r="A124" s="150">
        <v>47</v>
      </c>
      <c r="B124" s="150">
        <v>1855</v>
      </c>
      <c r="C124" s="151" t="s">
        <v>124</v>
      </c>
      <c r="D124" s="152">
        <f t="shared" si="8"/>
        <v>43090397.979400001</v>
      </c>
      <c r="E124" s="153">
        <v>3212950.6799999997</v>
      </c>
      <c r="F124" s="153"/>
      <c r="G124" s="154">
        <f t="shared" si="10"/>
        <v>46303348.659400001</v>
      </c>
      <c r="H124" s="154"/>
      <c r="I124" s="154">
        <v>0</v>
      </c>
      <c r="J124" s="158"/>
      <c r="K124" s="152">
        <f t="shared" si="9"/>
        <v>-6410181.6099999994</v>
      </c>
      <c r="L124" s="153">
        <v>-1122098.19</v>
      </c>
      <c r="M124" s="153"/>
      <c r="N124" s="154">
        <f t="shared" si="11"/>
        <v>-7532279.7999999989</v>
      </c>
      <c r="O124" s="155">
        <f t="shared" si="12"/>
        <v>38771068.859400004</v>
      </c>
      <c r="S124" s="156" t="s">
        <v>346</v>
      </c>
    </row>
    <row r="125" spans="1:19" ht="15" x14ac:dyDescent="0.25">
      <c r="A125" s="150">
        <v>47</v>
      </c>
      <c r="B125" s="150">
        <v>1860</v>
      </c>
      <c r="C125" s="151" t="s">
        <v>125</v>
      </c>
      <c r="D125" s="152">
        <f t="shared" si="8"/>
        <v>2817441.6900000004</v>
      </c>
      <c r="E125" s="153">
        <v>32492.77</v>
      </c>
      <c r="F125" s="153">
        <v>-2304.96</v>
      </c>
      <c r="G125" s="154">
        <f t="shared" si="10"/>
        <v>2847629.5000000005</v>
      </c>
      <c r="H125" s="154"/>
      <c r="I125" s="154">
        <v>0</v>
      </c>
      <c r="J125" s="158"/>
      <c r="K125" s="152">
        <f t="shared" si="9"/>
        <v>-525485.1399999999</v>
      </c>
      <c r="L125" s="153">
        <v>-121290.17000000004</v>
      </c>
      <c r="M125" s="153">
        <v>597.13</v>
      </c>
      <c r="N125" s="154">
        <f t="shared" si="11"/>
        <v>-646178.17999999993</v>
      </c>
      <c r="O125" s="155">
        <f t="shared" si="12"/>
        <v>2201451.3200000003</v>
      </c>
      <c r="S125" s="156" t="s">
        <v>347</v>
      </c>
    </row>
    <row r="126" spans="1:19" ht="15" x14ac:dyDescent="0.25">
      <c r="A126" s="150">
        <v>47</v>
      </c>
      <c r="B126" s="150">
        <v>1860</v>
      </c>
      <c r="C126" s="151" t="s">
        <v>126</v>
      </c>
      <c r="D126" s="152">
        <f t="shared" si="8"/>
        <v>22199755.198999997</v>
      </c>
      <c r="E126" s="153">
        <v>1138830.8399999999</v>
      </c>
      <c r="F126" s="153">
        <v>-149164.46</v>
      </c>
      <c r="G126" s="154">
        <f t="shared" si="10"/>
        <v>23189421.578999996</v>
      </c>
      <c r="H126" s="154"/>
      <c r="I126" s="154">
        <v>0</v>
      </c>
      <c r="J126" s="158"/>
      <c r="K126" s="152">
        <f t="shared" si="9"/>
        <v>-12213854.689999999</v>
      </c>
      <c r="L126" s="153">
        <v>-1821627.3800000001</v>
      </c>
      <c r="M126" s="153">
        <v>109070.04</v>
      </c>
      <c r="N126" s="154">
        <f t="shared" si="11"/>
        <v>-13926412.030000001</v>
      </c>
      <c r="O126" s="155">
        <f t="shared" si="12"/>
        <v>9263009.548999995</v>
      </c>
      <c r="S126" s="156" t="s">
        <v>347</v>
      </c>
    </row>
    <row r="127" spans="1:19" ht="15" x14ac:dyDescent="0.25">
      <c r="A127" s="150">
        <v>47</v>
      </c>
      <c r="B127" s="150">
        <v>1865</v>
      </c>
      <c r="C127" s="151" t="s">
        <v>127</v>
      </c>
      <c r="D127" s="152">
        <f t="shared" si="8"/>
        <v>81548.159999999989</v>
      </c>
      <c r="E127" s="153"/>
      <c r="F127" s="153"/>
      <c r="G127" s="154">
        <f t="shared" si="10"/>
        <v>81548.159999999989</v>
      </c>
      <c r="H127" s="154"/>
      <c r="I127" s="154"/>
      <c r="J127" s="158"/>
      <c r="K127" s="152">
        <f t="shared" si="9"/>
        <v>-81548.160000000003</v>
      </c>
      <c r="L127" s="153"/>
      <c r="M127" s="153"/>
      <c r="N127" s="154">
        <f t="shared" si="11"/>
        <v>-81548.160000000003</v>
      </c>
      <c r="O127" s="155">
        <f t="shared" si="12"/>
        <v>0</v>
      </c>
      <c r="S127" s="156"/>
    </row>
    <row r="128" spans="1:19" ht="15" x14ac:dyDescent="0.25">
      <c r="A128" s="150" t="s">
        <v>109</v>
      </c>
      <c r="B128" s="150">
        <v>1905</v>
      </c>
      <c r="C128" s="151" t="s">
        <v>113</v>
      </c>
      <c r="D128" s="152">
        <f t="shared" si="8"/>
        <v>1195031.3199999998</v>
      </c>
      <c r="E128" s="153"/>
      <c r="F128" s="153"/>
      <c r="G128" s="154">
        <f t="shared" si="10"/>
        <v>1195031.3199999998</v>
      </c>
      <c r="H128" s="154"/>
      <c r="I128" s="154">
        <v>0</v>
      </c>
      <c r="J128" s="158"/>
      <c r="K128" s="152">
        <f t="shared" si="9"/>
        <v>0</v>
      </c>
      <c r="L128" s="153"/>
      <c r="M128" s="153"/>
      <c r="N128" s="154">
        <f t="shared" si="11"/>
        <v>0</v>
      </c>
      <c r="O128" s="155">
        <f t="shared" si="12"/>
        <v>1195031.3199999998</v>
      </c>
      <c r="S128" s="156" t="s">
        <v>348</v>
      </c>
    </row>
    <row r="129" spans="1:19" ht="15" x14ac:dyDescent="0.25">
      <c r="A129" s="150">
        <v>1</v>
      </c>
      <c r="B129" s="150">
        <v>1908</v>
      </c>
      <c r="C129" s="151" t="s">
        <v>128</v>
      </c>
      <c r="D129" s="152">
        <f t="shared" si="8"/>
        <v>24117385.629999999</v>
      </c>
      <c r="E129" s="153">
        <v>709571.42999999993</v>
      </c>
      <c r="F129" s="153"/>
      <c r="G129" s="154">
        <f t="shared" si="10"/>
        <v>24826957.059999999</v>
      </c>
      <c r="H129" s="154"/>
      <c r="I129" s="154">
        <v>0</v>
      </c>
      <c r="J129" s="158"/>
      <c r="K129" s="152">
        <f t="shared" si="9"/>
        <v>-9006702.0599999987</v>
      </c>
      <c r="L129" s="153">
        <v>-1074397.74</v>
      </c>
      <c r="M129" s="153"/>
      <c r="N129" s="154">
        <f t="shared" si="11"/>
        <v>-10081099.799999999</v>
      </c>
      <c r="O129" s="155">
        <f t="shared" si="12"/>
        <v>14745857.26</v>
      </c>
      <c r="S129" s="156" t="s">
        <v>349</v>
      </c>
    </row>
    <row r="130" spans="1:19" ht="15" x14ac:dyDescent="0.25">
      <c r="A130" s="150"/>
      <c r="B130" s="150">
        <v>1910</v>
      </c>
      <c r="C130" s="151" t="s">
        <v>115</v>
      </c>
      <c r="D130" s="152">
        <f t="shared" si="8"/>
        <v>0</v>
      </c>
      <c r="E130" s="153"/>
      <c r="F130" s="153"/>
      <c r="G130" s="154">
        <f t="shared" si="10"/>
        <v>0</v>
      </c>
      <c r="H130" s="154"/>
      <c r="I130" s="154">
        <v>0</v>
      </c>
      <c r="J130" s="158"/>
      <c r="K130" s="152">
        <f t="shared" si="9"/>
        <v>0</v>
      </c>
      <c r="L130" s="153"/>
      <c r="M130" s="153"/>
      <c r="N130" s="154">
        <f t="shared" si="11"/>
        <v>0</v>
      </c>
      <c r="O130" s="155">
        <f t="shared" si="12"/>
        <v>0</v>
      </c>
      <c r="S130" s="156" t="s">
        <v>350</v>
      </c>
    </row>
    <row r="131" spans="1:19" ht="15" x14ac:dyDescent="0.25">
      <c r="A131" s="150">
        <v>8</v>
      </c>
      <c r="B131" s="150">
        <v>1915</v>
      </c>
      <c r="C131" s="151" t="s">
        <v>129</v>
      </c>
      <c r="D131" s="152">
        <f t="shared" si="8"/>
        <v>2248818.1999999997</v>
      </c>
      <c r="E131" s="153">
        <v>84060.79</v>
      </c>
      <c r="F131" s="153"/>
      <c r="G131" s="154">
        <f t="shared" si="10"/>
        <v>2332878.9899999998</v>
      </c>
      <c r="H131" s="154"/>
      <c r="I131" s="154">
        <v>0</v>
      </c>
      <c r="J131" s="158"/>
      <c r="K131" s="152">
        <f t="shared" si="9"/>
        <v>-1601884.68</v>
      </c>
      <c r="L131" s="153">
        <v>-111430.85000000009</v>
      </c>
      <c r="M131" s="153"/>
      <c r="N131" s="154">
        <f t="shared" si="11"/>
        <v>-1713315.53</v>
      </c>
      <c r="O131" s="155">
        <f t="shared" si="12"/>
        <v>619563.45999999973</v>
      </c>
      <c r="S131" s="156" t="s">
        <v>351</v>
      </c>
    </row>
    <row r="132" spans="1:19" ht="15" x14ac:dyDescent="0.25">
      <c r="A132" s="150"/>
      <c r="B132" s="150">
        <v>1915</v>
      </c>
      <c r="C132" s="151" t="s">
        <v>130</v>
      </c>
      <c r="D132" s="152">
        <f t="shared" si="8"/>
        <v>0</v>
      </c>
      <c r="E132" s="153"/>
      <c r="F132" s="153"/>
      <c r="G132" s="154">
        <f t="shared" si="10"/>
        <v>0</v>
      </c>
      <c r="H132" s="154"/>
      <c r="I132" s="154">
        <v>0</v>
      </c>
      <c r="J132" s="158"/>
      <c r="K132" s="152">
        <f t="shared" si="9"/>
        <v>0</v>
      </c>
      <c r="L132" s="153"/>
      <c r="M132" s="153"/>
      <c r="N132" s="154">
        <f t="shared" si="11"/>
        <v>0</v>
      </c>
      <c r="O132" s="155">
        <f t="shared" si="12"/>
        <v>0</v>
      </c>
      <c r="S132" s="156" t="s">
        <v>351</v>
      </c>
    </row>
    <row r="133" spans="1:19" ht="15" x14ac:dyDescent="0.25">
      <c r="A133" s="150">
        <v>50</v>
      </c>
      <c r="B133" s="150">
        <v>1920</v>
      </c>
      <c r="C133" s="151" t="s">
        <v>131</v>
      </c>
      <c r="D133" s="152">
        <f t="shared" si="8"/>
        <v>6107877.7000000002</v>
      </c>
      <c r="E133" s="153">
        <v>1990622.4100000001</v>
      </c>
      <c r="F133" s="153"/>
      <c r="G133" s="154">
        <f t="shared" si="10"/>
        <v>8098500.1100000003</v>
      </c>
      <c r="H133" s="154"/>
      <c r="I133" s="154">
        <v>0</v>
      </c>
      <c r="J133" s="158"/>
      <c r="K133" s="152">
        <f t="shared" si="9"/>
        <v>-3909506.1100000003</v>
      </c>
      <c r="L133" s="153">
        <v>-979771.06</v>
      </c>
      <c r="M133" s="153"/>
      <c r="N133" s="154">
        <f t="shared" si="11"/>
        <v>-4889277.17</v>
      </c>
      <c r="O133" s="155">
        <f t="shared" si="12"/>
        <v>3209222.9400000004</v>
      </c>
      <c r="S133" s="156" t="s">
        <v>352</v>
      </c>
    </row>
    <row r="134" spans="1:19" ht="15" x14ac:dyDescent="0.25">
      <c r="A134" s="150"/>
      <c r="B134" s="150">
        <v>1920</v>
      </c>
      <c r="C134" s="151" t="s">
        <v>132</v>
      </c>
      <c r="D134" s="152">
        <f t="shared" si="8"/>
        <v>0</v>
      </c>
      <c r="E134" s="153"/>
      <c r="F134" s="153"/>
      <c r="G134" s="154">
        <f t="shared" si="10"/>
        <v>0</v>
      </c>
      <c r="H134" s="154"/>
      <c r="I134" s="154">
        <v>0</v>
      </c>
      <c r="J134" s="158"/>
      <c r="K134" s="152">
        <f t="shared" si="9"/>
        <v>0</v>
      </c>
      <c r="L134" s="153"/>
      <c r="M134" s="153"/>
      <c r="N134" s="154">
        <f t="shared" si="11"/>
        <v>0</v>
      </c>
      <c r="O134" s="155">
        <f t="shared" si="12"/>
        <v>0</v>
      </c>
      <c r="S134" s="156" t="s">
        <v>352</v>
      </c>
    </row>
    <row r="135" spans="1:19" ht="15" x14ac:dyDescent="0.25">
      <c r="A135" s="150"/>
      <c r="B135" s="150">
        <v>1920</v>
      </c>
      <c r="C135" s="151" t="s">
        <v>133</v>
      </c>
      <c r="D135" s="152">
        <f t="shared" si="8"/>
        <v>0</v>
      </c>
      <c r="E135" s="153"/>
      <c r="F135" s="153"/>
      <c r="G135" s="154">
        <f t="shared" si="10"/>
        <v>0</v>
      </c>
      <c r="H135" s="154"/>
      <c r="I135" s="154">
        <v>0</v>
      </c>
      <c r="J135" s="158"/>
      <c r="K135" s="152">
        <f t="shared" si="9"/>
        <v>0</v>
      </c>
      <c r="L135" s="153"/>
      <c r="M135" s="153"/>
      <c r="N135" s="154">
        <f t="shared" si="11"/>
        <v>0</v>
      </c>
      <c r="O135" s="155">
        <f t="shared" si="12"/>
        <v>0</v>
      </c>
      <c r="S135" s="156" t="s">
        <v>352</v>
      </c>
    </row>
    <row r="136" spans="1:19" ht="15" x14ac:dyDescent="0.25">
      <c r="A136" s="150">
        <v>10</v>
      </c>
      <c r="B136" s="150">
        <v>1930</v>
      </c>
      <c r="C136" s="151" t="s">
        <v>134</v>
      </c>
      <c r="D136" s="152">
        <f t="shared" si="8"/>
        <v>10075156.859999999</v>
      </c>
      <c r="E136" s="153">
        <v>1478718.9</v>
      </c>
      <c r="F136" s="153">
        <v>-140070.67000000001</v>
      </c>
      <c r="G136" s="154">
        <f t="shared" si="10"/>
        <v>11413805.09</v>
      </c>
      <c r="H136" s="154"/>
      <c r="I136" s="154">
        <v>0</v>
      </c>
      <c r="J136" s="158"/>
      <c r="K136" s="152">
        <f t="shared" si="9"/>
        <v>-4666895.13</v>
      </c>
      <c r="L136" s="153">
        <v>-916543.3600000001</v>
      </c>
      <c r="M136" s="153">
        <v>120445.84</v>
      </c>
      <c r="N136" s="154">
        <f t="shared" si="11"/>
        <v>-5462992.6500000004</v>
      </c>
      <c r="O136" s="155">
        <f t="shared" si="12"/>
        <v>5950812.4399999995</v>
      </c>
      <c r="S136" s="156" t="s">
        <v>353</v>
      </c>
    </row>
    <row r="137" spans="1:19" ht="15" x14ac:dyDescent="0.25">
      <c r="A137" s="150">
        <v>8</v>
      </c>
      <c r="B137" s="150">
        <v>1935</v>
      </c>
      <c r="C137" s="151" t="s">
        <v>135</v>
      </c>
      <c r="D137" s="152">
        <f t="shared" si="8"/>
        <v>108757.92</v>
      </c>
      <c r="E137" s="153"/>
      <c r="F137" s="153"/>
      <c r="G137" s="154">
        <f t="shared" si="10"/>
        <v>108757.92</v>
      </c>
      <c r="H137" s="154"/>
      <c r="I137" s="154">
        <v>0</v>
      </c>
      <c r="J137" s="158"/>
      <c r="K137" s="152">
        <f t="shared" si="9"/>
        <v>-47245.590000000004</v>
      </c>
      <c r="L137" s="153">
        <v>-11186.850000000006</v>
      </c>
      <c r="M137" s="153"/>
      <c r="N137" s="154">
        <f t="shared" si="11"/>
        <v>-58432.44000000001</v>
      </c>
      <c r="O137" s="155">
        <f t="shared" si="12"/>
        <v>50325.479999999989</v>
      </c>
      <c r="S137" s="156" t="s">
        <v>354</v>
      </c>
    </row>
    <row r="138" spans="1:19" ht="15" x14ac:dyDescent="0.25">
      <c r="A138" s="150">
        <v>8</v>
      </c>
      <c r="B138" s="150">
        <v>1940</v>
      </c>
      <c r="C138" s="151" t="s">
        <v>136</v>
      </c>
      <c r="D138" s="152">
        <f t="shared" si="8"/>
        <v>2614864.39</v>
      </c>
      <c r="E138" s="153">
        <v>152760.76999999999</v>
      </c>
      <c r="F138" s="153"/>
      <c r="G138" s="154">
        <f t="shared" si="10"/>
        <v>2767625.16</v>
      </c>
      <c r="H138" s="154"/>
      <c r="I138" s="154">
        <v>0</v>
      </c>
      <c r="J138" s="158"/>
      <c r="K138" s="152">
        <f t="shared" si="9"/>
        <v>-1323172.0699999998</v>
      </c>
      <c r="L138" s="153">
        <v>-226471.69999999995</v>
      </c>
      <c r="M138" s="153"/>
      <c r="N138" s="154">
        <f t="shared" si="11"/>
        <v>-1549643.7699999998</v>
      </c>
      <c r="O138" s="155">
        <f t="shared" si="12"/>
        <v>1217981.3900000004</v>
      </c>
      <c r="S138" s="156" t="s">
        <v>355</v>
      </c>
    </row>
    <row r="139" spans="1:19" ht="15" x14ac:dyDescent="0.25">
      <c r="A139" s="150">
        <v>8</v>
      </c>
      <c r="B139" s="150">
        <v>1945</v>
      </c>
      <c r="C139" s="151" t="s">
        <v>137</v>
      </c>
      <c r="D139" s="152">
        <f t="shared" si="8"/>
        <v>163262.62</v>
      </c>
      <c r="E139" s="153">
        <v>22114.78</v>
      </c>
      <c r="F139" s="153"/>
      <c r="G139" s="154">
        <f t="shared" si="10"/>
        <v>185377.4</v>
      </c>
      <c r="H139" s="154"/>
      <c r="I139" s="154">
        <v>0</v>
      </c>
      <c r="J139" s="158"/>
      <c r="K139" s="152">
        <f t="shared" si="9"/>
        <v>-121087.06</v>
      </c>
      <c r="L139" s="153">
        <v>-13039.059999999998</v>
      </c>
      <c r="M139" s="153"/>
      <c r="N139" s="154">
        <f t="shared" si="11"/>
        <v>-134126.12</v>
      </c>
      <c r="O139" s="155">
        <f t="shared" si="12"/>
        <v>51251.28</v>
      </c>
      <c r="S139" s="156" t="s">
        <v>356</v>
      </c>
    </row>
    <row r="140" spans="1:19" ht="15" x14ac:dyDescent="0.25">
      <c r="A140" s="150"/>
      <c r="B140" s="150">
        <v>1950</v>
      </c>
      <c r="C140" s="151" t="s">
        <v>138</v>
      </c>
      <c r="D140" s="152">
        <f t="shared" si="8"/>
        <v>0</v>
      </c>
      <c r="E140" s="153"/>
      <c r="F140" s="153"/>
      <c r="G140" s="154">
        <f t="shared" si="10"/>
        <v>0</v>
      </c>
      <c r="H140" s="154"/>
      <c r="I140" s="154">
        <v>0</v>
      </c>
      <c r="J140" s="158"/>
      <c r="K140" s="152">
        <f t="shared" si="9"/>
        <v>0</v>
      </c>
      <c r="L140" s="153"/>
      <c r="M140" s="153"/>
      <c r="N140" s="154">
        <f t="shared" si="11"/>
        <v>0</v>
      </c>
      <c r="O140" s="155">
        <f t="shared" si="12"/>
        <v>0</v>
      </c>
      <c r="S140" s="156" t="s">
        <v>357</v>
      </c>
    </row>
    <row r="141" spans="1:19" ht="15" x14ac:dyDescent="0.25">
      <c r="A141" s="150">
        <v>8</v>
      </c>
      <c r="B141" s="150">
        <v>1955</v>
      </c>
      <c r="C141" s="151" t="s">
        <v>139</v>
      </c>
      <c r="D141" s="152">
        <f t="shared" si="8"/>
        <v>1986644.4999999995</v>
      </c>
      <c r="E141" s="153"/>
      <c r="F141" s="153"/>
      <c r="G141" s="154">
        <f t="shared" si="10"/>
        <v>1986644.4999999995</v>
      </c>
      <c r="H141" s="154"/>
      <c r="I141" s="154">
        <v>0</v>
      </c>
      <c r="J141" s="158"/>
      <c r="K141" s="152">
        <f t="shared" si="9"/>
        <v>-1132905.1399999999</v>
      </c>
      <c r="L141" s="153">
        <v>-198707.87000000011</v>
      </c>
      <c r="M141" s="153"/>
      <c r="N141" s="154">
        <f t="shared" si="11"/>
        <v>-1331613.01</v>
      </c>
      <c r="O141" s="155">
        <f t="shared" si="12"/>
        <v>655031.48999999953</v>
      </c>
      <c r="S141" s="156" t="s">
        <v>358</v>
      </c>
    </row>
    <row r="142" spans="1:19" ht="15" x14ac:dyDescent="0.25">
      <c r="A142" s="150"/>
      <c r="B142" s="150">
        <v>1955</v>
      </c>
      <c r="C142" s="151" t="s">
        <v>140</v>
      </c>
      <c r="D142" s="152">
        <f t="shared" si="8"/>
        <v>0</v>
      </c>
      <c r="E142" s="153"/>
      <c r="F142" s="153"/>
      <c r="G142" s="154">
        <f t="shared" si="10"/>
        <v>0</v>
      </c>
      <c r="H142" s="154"/>
      <c r="I142" s="154">
        <v>0</v>
      </c>
      <c r="J142" s="158"/>
      <c r="K142" s="152">
        <f t="shared" si="9"/>
        <v>0</v>
      </c>
      <c r="L142" s="153"/>
      <c r="M142" s="153"/>
      <c r="N142" s="154">
        <f t="shared" si="11"/>
        <v>0</v>
      </c>
      <c r="O142" s="155">
        <f t="shared" si="12"/>
        <v>0</v>
      </c>
      <c r="S142" s="156" t="s">
        <v>358</v>
      </c>
    </row>
    <row r="143" spans="1:19" ht="15" x14ac:dyDescent="0.25">
      <c r="A143" s="150">
        <v>8</v>
      </c>
      <c r="B143" s="150">
        <v>1960</v>
      </c>
      <c r="C143" s="151" t="s">
        <v>141</v>
      </c>
      <c r="D143" s="152">
        <f t="shared" si="8"/>
        <v>421210.36999999994</v>
      </c>
      <c r="E143" s="153">
        <v>18981.12</v>
      </c>
      <c r="F143" s="153"/>
      <c r="G143" s="154">
        <f t="shared" si="10"/>
        <v>440191.48999999993</v>
      </c>
      <c r="H143" s="154"/>
      <c r="I143" s="154">
        <v>0</v>
      </c>
      <c r="J143" s="158"/>
      <c r="K143" s="152">
        <f t="shared" si="9"/>
        <v>-199782.77999999997</v>
      </c>
      <c r="L143" s="153">
        <v>-38794.399999999994</v>
      </c>
      <c r="M143" s="153"/>
      <c r="N143" s="154">
        <f t="shared" si="11"/>
        <v>-238577.17999999996</v>
      </c>
      <c r="O143" s="155">
        <f t="shared" si="12"/>
        <v>201614.30999999997</v>
      </c>
      <c r="S143" s="156" t="s">
        <v>359</v>
      </c>
    </row>
    <row r="144" spans="1:19" ht="15" x14ac:dyDescent="0.25">
      <c r="A144" s="150"/>
      <c r="B144" s="150">
        <v>1970</v>
      </c>
      <c r="C144" s="151" t="s">
        <v>142</v>
      </c>
      <c r="D144" s="152">
        <f t="shared" si="8"/>
        <v>0</v>
      </c>
      <c r="E144" s="153"/>
      <c r="F144" s="153"/>
      <c r="G144" s="154">
        <f t="shared" si="10"/>
        <v>0</v>
      </c>
      <c r="H144" s="154"/>
      <c r="I144" s="154">
        <v>0</v>
      </c>
      <c r="J144" s="158"/>
      <c r="K144" s="152">
        <f t="shared" si="9"/>
        <v>0</v>
      </c>
      <c r="L144" s="153"/>
      <c r="M144" s="153"/>
      <c r="N144" s="154">
        <f t="shared" si="11"/>
        <v>0</v>
      </c>
      <c r="O144" s="155">
        <f t="shared" si="12"/>
        <v>0</v>
      </c>
      <c r="S144" s="156" t="s">
        <v>360</v>
      </c>
    </row>
    <row r="145" spans="1:19" ht="15" x14ac:dyDescent="0.25">
      <c r="A145" s="150"/>
      <c r="B145" s="150">
        <v>1975</v>
      </c>
      <c r="C145" s="151" t="s">
        <v>143</v>
      </c>
      <c r="D145" s="152">
        <f t="shared" si="8"/>
        <v>0</v>
      </c>
      <c r="E145" s="153"/>
      <c r="F145" s="153"/>
      <c r="G145" s="154">
        <f t="shared" si="10"/>
        <v>0</v>
      </c>
      <c r="H145" s="154"/>
      <c r="I145" s="154">
        <v>0</v>
      </c>
      <c r="J145" s="158"/>
      <c r="K145" s="152">
        <f t="shared" si="9"/>
        <v>0</v>
      </c>
      <c r="L145" s="153"/>
      <c r="M145" s="153"/>
      <c r="N145" s="154">
        <f t="shared" si="11"/>
        <v>0</v>
      </c>
      <c r="O145" s="155">
        <f t="shared" si="12"/>
        <v>0</v>
      </c>
      <c r="S145" s="156" t="s">
        <v>361</v>
      </c>
    </row>
    <row r="146" spans="1:19" ht="15" x14ac:dyDescent="0.25">
      <c r="A146" s="150">
        <v>8</v>
      </c>
      <c r="B146" s="150">
        <v>1980</v>
      </c>
      <c r="C146" s="151" t="s">
        <v>144</v>
      </c>
      <c r="D146" s="152">
        <f t="shared" si="8"/>
        <v>7872680.6889999993</v>
      </c>
      <c r="E146" s="153">
        <v>612475.78</v>
      </c>
      <c r="F146" s="153"/>
      <c r="G146" s="154">
        <f t="shared" si="10"/>
        <v>8485156.4689999986</v>
      </c>
      <c r="H146" s="154"/>
      <c r="I146" s="154">
        <v>0</v>
      </c>
      <c r="J146" s="158"/>
      <c r="K146" s="152">
        <f t="shared" si="9"/>
        <v>-3711433.62</v>
      </c>
      <c r="L146" s="153">
        <v>-419909.91000000015</v>
      </c>
      <c r="M146" s="153"/>
      <c r="N146" s="154">
        <f t="shared" si="11"/>
        <v>-4131343.5300000003</v>
      </c>
      <c r="O146" s="155">
        <f t="shared" si="12"/>
        <v>4353812.9389999984</v>
      </c>
      <c r="S146" s="156" t="s">
        <v>362</v>
      </c>
    </row>
    <row r="147" spans="1:19" ht="15" x14ac:dyDescent="0.25">
      <c r="A147" s="150"/>
      <c r="B147" s="150">
        <v>1985</v>
      </c>
      <c r="C147" s="151" t="s">
        <v>145</v>
      </c>
      <c r="D147" s="152">
        <f t="shared" si="8"/>
        <v>0</v>
      </c>
      <c r="E147" s="153"/>
      <c r="F147" s="153"/>
      <c r="G147" s="154">
        <f t="shared" si="10"/>
        <v>0</v>
      </c>
      <c r="H147" s="154"/>
      <c r="I147" s="154">
        <v>0</v>
      </c>
      <c r="J147" s="158"/>
      <c r="K147" s="152">
        <f t="shared" si="9"/>
        <v>0</v>
      </c>
      <c r="L147" s="153"/>
      <c r="M147" s="153"/>
      <c r="N147" s="154">
        <f t="shared" si="11"/>
        <v>0</v>
      </c>
      <c r="O147" s="155">
        <f t="shared" si="12"/>
        <v>0</v>
      </c>
      <c r="S147" s="156" t="s">
        <v>363</v>
      </c>
    </row>
    <row r="148" spans="1:19" ht="15" x14ac:dyDescent="0.25">
      <c r="A148" s="150"/>
      <c r="B148" s="150">
        <v>1990</v>
      </c>
      <c r="C148" s="159" t="s">
        <v>146</v>
      </c>
      <c r="D148" s="152">
        <f t="shared" si="8"/>
        <v>0</v>
      </c>
      <c r="E148" s="153"/>
      <c r="F148" s="153"/>
      <c r="G148" s="154">
        <f t="shared" si="10"/>
        <v>0</v>
      </c>
      <c r="H148" s="154"/>
      <c r="I148" s="154">
        <v>0</v>
      </c>
      <c r="J148" s="158"/>
      <c r="K148" s="152">
        <f t="shared" si="9"/>
        <v>0</v>
      </c>
      <c r="L148" s="153"/>
      <c r="M148" s="153"/>
      <c r="N148" s="154">
        <f t="shared" si="11"/>
        <v>0</v>
      </c>
      <c r="O148" s="155">
        <f t="shared" si="12"/>
        <v>0</v>
      </c>
      <c r="S148" s="156" t="s">
        <v>364</v>
      </c>
    </row>
    <row r="149" spans="1:19" ht="15" x14ac:dyDescent="0.25">
      <c r="A149" s="150"/>
      <c r="B149" s="150">
        <v>1995</v>
      </c>
      <c r="C149" s="151" t="s">
        <v>147</v>
      </c>
      <c r="D149" s="152">
        <f t="shared" si="8"/>
        <v>0</v>
      </c>
      <c r="E149" s="153"/>
      <c r="F149" s="153"/>
      <c r="G149" s="154">
        <f t="shared" si="10"/>
        <v>0</v>
      </c>
      <c r="H149" s="154"/>
      <c r="I149" s="154">
        <v>0</v>
      </c>
      <c r="J149" s="158"/>
      <c r="K149" s="152">
        <f t="shared" si="9"/>
        <v>0</v>
      </c>
      <c r="L149" s="153"/>
      <c r="M149" s="153"/>
      <c r="N149" s="154">
        <f t="shared" si="11"/>
        <v>0</v>
      </c>
      <c r="O149" s="155">
        <f t="shared" si="12"/>
        <v>0</v>
      </c>
      <c r="S149" s="156" t="s">
        <v>365</v>
      </c>
    </row>
    <row r="150" spans="1:19" ht="15" x14ac:dyDescent="0.25">
      <c r="A150" s="150">
        <v>43.2</v>
      </c>
      <c r="B150" s="150">
        <v>2075</v>
      </c>
      <c r="C150" s="151" t="s">
        <v>148</v>
      </c>
      <c r="D150" s="152">
        <f t="shared" si="8"/>
        <v>1251765.4799999997</v>
      </c>
      <c r="E150" s="153"/>
      <c r="F150" s="153"/>
      <c r="G150" s="154">
        <f t="shared" si="10"/>
        <v>1251765.4799999997</v>
      </c>
      <c r="H150" s="154"/>
      <c r="I150" s="154"/>
      <c r="K150" s="152">
        <f t="shared" si="9"/>
        <v>-353937</v>
      </c>
      <c r="L150" s="153">
        <v>-57867.919999999984</v>
      </c>
      <c r="M150" s="153"/>
      <c r="N150" s="154">
        <f t="shared" si="11"/>
        <v>-411804.92</v>
      </c>
      <c r="O150" s="155">
        <f t="shared" si="12"/>
        <v>839960.55999999982</v>
      </c>
      <c r="S150" s="156"/>
    </row>
    <row r="151" spans="1:19" ht="15" x14ac:dyDescent="0.25">
      <c r="A151" s="150">
        <v>47</v>
      </c>
      <c r="B151" s="150">
        <v>2440</v>
      </c>
      <c r="C151" s="151" t="s">
        <v>149</v>
      </c>
      <c r="D151" s="152">
        <f t="shared" si="8"/>
        <v>-80066604.159999996</v>
      </c>
      <c r="E151" s="153">
        <v>-15664639.98</v>
      </c>
      <c r="F151" s="153"/>
      <c r="G151" s="154">
        <f t="shared" si="10"/>
        <v>-95731244.140000001</v>
      </c>
      <c r="H151" s="154"/>
      <c r="I151" s="154">
        <v>0</v>
      </c>
      <c r="K151" s="152">
        <f t="shared" si="9"/>
        <v>5918785.5700000003</v>
      </c>
      <c r="L151" s="153">
        <v>2174242.7699999996</v>
      </c>
      <c r="M151" s="153"/>
      <c r="N151" s="154">
        <f t="shared" si="11"/>
        <v>8093028.3399999999</v>
      </c>
      <c r="O151" s="155">
        <f t="shared" si="12"/>
        <v>-87638215.799999997</v>
      </c>
      <c r="S151" s="156" t="s">
        <v>366</v>
      </c>
    </row>
    <row r="152" spans="1:19" ht="15" x14ac:dyDescent="0.25">
      <c r="A152" s="160" t="s">
        <v>109</v>
      </c>
      <c r="B152" s="160">
        <v>2005</v>
      </c>
      <c r="C152" s="161" t="s">
        <v>150</v>
      </c>
      <c r="D152" s="152">
        <f t="shared" si="8"/>
        <v>1992448.6700000002</v>
      </c>
      <c r="E152" s="153">
        <v>-42583.88</v>
      </c>
      <c r="F152" s="153"/>
      <c r="G152" s="154">
        <f t="shared" si="10"/>
        <v>1949864.7900000003</v>
      </c>
      <c r="H152" s="154"/>
      <c r="I152" s="154">
        <v>0</v>
      </c>
      <c r="K152" s="152">
        <f t="shared" si="9"/>
        <v>-893078.64</v>
      </c>
      <c r="L152" s="153">
        <v>-329064.02</v>
      </c>
      <c r="M152" s="153"/>
      <c r="N152" s="154">
        <f t="shared" si="11"/>
        <v>-1222142.6600000001</v>
      </c>
      <c r="O152" s="155">
        <f t="shared" si="12"/>
        <v>727722.13000000012</v>
      </c>
      <c r="S152" s="156" t="s">
        <v>367</v>
      </c>
    </row>
    <row r="153" spans="1:19" x14ac:dyDescent="0.2">
      <c r="A153" s="160"/>
      <c r="B153" s="160"/>
      <c r="C153" s="164" t="s">
        <v>20</v>
      </c>
      <c r="D153" s="165">
        <f>SUM(D109:D152)</f>
        <v>469385713.36360008</v>
      </c>
      <c r="E153" s="165">
        <f>SUM(E109:E152)</f>
        <v>46682897.770000003</v>
      </c>
      <c r="F153" s="165">
        <f>SUM(F109:F152)</f>
        <v>-1115234.8699999999</v>
      </c>
      <c r="G153" s="165">
        <f>SUM(G109:G152)</f>
        <v>514953376.26359993</v>
      </c>
      <c r="H153" s="165"/>
      <c r="I153" s="166">
        <f>SUM(I109:I152)</f>
        <v>0</v>
      </c>
      <c r="J153" s="167"/>
      <c r="K153" s="165">
        <f>SUM(K109:K152)</f>
        <v>-113314638.55</v>
      </c>
      <c r="L153" s="165">
        <f>SUM(L109:L152)</f>
        <v>-19448140.069999997</v>
      </c>
      <c r="M153" s="165">
        <f>SUM(M109:M152)</f>
        <v>571758.68000000005</v>
      </c>
      <c r="N153" s="165">
        <f>SUM(N109:N152)</f>
        <v>-132191019.94</v>
      </c>
      <c r="O153" s="165">
        <f>SUM(O109:O152)</f>
        <v>382762356.32359987</v>
      </c>
    </row>
    <row r="154" spans="1:19" ht="25.5" x14ac:dyDescent="0.25">
      <c r="A154" s="160"/>
      <c r="B154" s="160"/>
      <c r="C154" s="168" t="s">
        <v>151</v>
      </c>
      <c r="D154" s="152">
        <f>G87</f>
        <v>-675735.92449999996</v>
      </c>
      <c r="E154" s="162"/>
      <c r="F154" s="162"/>
      <c r="G154" s="154">
        <f>D154+E154+F154</f>
        <v>-675735.92449999996</v>
      </c>
      <c r="H154" s="154"/>
      <c r="I154" s="154"/>
      <c r="K154" s="152">
        <f>N87</f>
        <v>175482.70519999997</v>
      </c>
      <c r="L154" s="153">
        <v>35751.928999999996</v>
      </c>
      <c r="M154" s="162"/>
      <c r="N154" s="154">
        <f>K154+L154+M154</f>
        <v>211234.63419999997</v>
      </c>
      <c r="O154" s="155">
        <f>G154+N154</f>
        <v>-464501.29029999999</v>
      </c>
    </row>
    <row r="155" spans="1:19" ht="24.75" x14ac:dyDescent="0.25">
      <c r="A155" s="160"/>
      <c r="B155" s="160"/>
      <c r="C155" s="169" t="s">
        <v>152</v>
      </c>
      <c r="D155" s="152">
        <f>G88</f>
        <v>-1251765.4799999997</v>
      </c>
      <c r="E155" s="178">
        <f>-E150</f>
        <v>0</v>
      </c>
      <c r="F155" s="178">
        <f>-F150</f>
        <v>0</v>
      </c>
      <c r="G155" s="154">
        <f>D155+E155+F155</f>
        <v>-1251765.4799999997</v>
      </c>
      <c r="H155" s="154"/>
      <c r="I155" s="154"/>
      <c r="K155" s="152">
        <f>N88</f>
        <v>353937</v>
      </c>
      <c r="L155" s="178">
        <f>-L150</f>
        <v>57867.919999999984</v>
      </c>
      <c r="M155" s="162"/>
      <c r="N155" s="154">
        <f>K155+L155+M155</f>
        <v>411804.92</v>
      </c>
      <c r="O155" s="155">
        <f>G155+N155</f>
        <v>-839960.55999999982</v>
      </c>
    </row>
    <row r="156" spans="1:19" x14ac:dyDescent="0.2">
      <c r="A156" s="160"/>
      <c r="B156" s="160"/>
      <c r="C156" s="164" t="s">
        <v>153</v>
      </c>
      <c r="D156" s="165">
        <f>SUM(D153:D155)</f>
        <v>467458211.95910007</v>
      </c>
      <c r="E156" s="165">
        <f>SUM(E153:E155)</f>
        <v>46682897.770000003</v>
      </c>
      <c r="F156" s="165">
        <f>SUM(F153:F155)</f>
        <v>-1115234.8699999999</v>
      </c>
      <c r="G156" s="165">
        <f>SUM(G153:G155)</f>
        <v>513025874.85909992</v>
      </c>
      <c r="H156" s="165"/>
      <c r="I156" s="165"/>
      <c r="J156" s="167"/>
      <c r="K156" s="165">
        <f>SUM(K153:K155)</f>
        <v>-112785218.8448</v>
      </c>
      <c r="L156" s="165">
        <f>SUM(L153:L155)</f>
        <v>-19354520.220999993</v>
      </c>
      <c r="M156" s="165">
        <f>SUM(M153:M155)</f>
        <v>571758.68000000005</v>
      </c>
      <c r="N156" s="165">
        <f>SUM(N153:N155)</f>
        <v>-131567980.38579999</v>
      </c>
      <c r="O156" s="165">
        <f>SUM(O153:O155)</f>
        <v>381457894.47329986</v>
      </c>
    </row>
    <row r="157" spans="1:19" ht="15" x14ac:dyDescent="0.25">
      <c r="A157" s="160"/>
      <c r="B157" s="160"/>
      <c r="C157" s="170" t="s">
        <v>154</v>
      </c>
      <c r="D157" s="152">
        <f>G90</f>
        <v>31348293.609999996</v>
      </c>
      <c r="E157" s="153">
        <f>624087.64+360109.31+77668.7+8544874.91-187911.26-2827481.11</f>
        <v>6591348.1900000013</v>
      </c>
      <c r="F157" s="153"/>
      <c r="G157" s="154">
        <f t="shared" ref="G157" si="13">D157+E157+F157</f>
        <v>37939641.799999997</v>
      </c>
      <c r="H157" s="154"/>
      <c r="I157" s="154">
        <v>0</v>
      </c>
      <c r="J157" s="158"/>
      <c r="N157" s="154">
        <f t="shared" ref="N157" si="14">K157+L157+M157</f>
        <v>0</v>
      </c>
      <c r="O157" s="155">
        <f t="shared" ref="O157" si="15">G157+N157</f>
        <v>37939641.799999997</v>
      </c>
    </row>
    <row r="158" spans="1:19" x14ac:dyDescent="0.2">
      <c r="A158" s="160"/>
      <c r="B158" s="160"/>
      <c r="C158" s="170" t="s">
        <v>155</v>
      </c>
      <c r="D158" s="165">
        <f>SUM(D156:D157)</f>
        <v>498806505.56910008</v>
      </c>
      <c r="E158" s="165">
        <f t="shared" ref="E158:O158" si="16">SUM(E156:E157)</f>
        <v>53274245.960000008</v>
      </c>
      <c r="F158" s="165">
        <f t="shared" si="16"/>
        <v>-1115234.8699999999</v>
      </c>
      <c r="G158" s="165">
        <f t="shared" si="16"/>
        <v>550965516.65909994</v>
      </c>
      <c r="H158" s="165"/>
      <c r="I158" s="165">
        <f t="shared" si="16"/>
        <v>0</v>
      </c>
      <c r="J158" s="165">
        <f t="shared" si="16"/>
        <v>0</v>
      </c>
      <c r="K158" s="165">
        <f t="shared" si="16"/>
        <v>-112785218.8448</v>
      </c>
      <c r="L158" s="179">
        <f t="shared" si="16"/>
        <v>-19354520.220999993</v>
      </c>
      <c r="M158" s="165">
        <f t="shared" si="16"/>
        <v>571758.68000000005</v>
      </c>
      <c r="N158" s="165">
        <f t="shared" si="16"/>
        <v>-131567980.38579999</v>
      </c>
      <c r="O158" s="165">
        <f t="shared" si="16"/>
        <v>419397536.27329987</v>
      </c>
    </row>
    <row r="159" spans="1:19" ht="15" x14ac:dyDescent="0.25">
      <c r="A159" s="160"/>
      <c r="B159" s="160"/>
      <c r="C159" s="359" t="s">
        <v>156</v>
      </c>
      <c r="D159" s="360"/>
      <c r="E159" s="360"/>
      <c r="F159" s="360"/>
      <c r="G159" s="360"/>
      <c r="H159" s="360"/>
      <c r="I159" s="360"/>
      <c r="J159" s="360"/>
      <c r="K159" s="361"/>
      <c r="L159" s="162"/>
      <c r="N159" s="171"/>
      <c r="O159" s="172"/>
    </row>
    <row r="160" spans="1:19" ht="15" x14ac:dyDescent="0.25">
      <c r="A160" s="160"/>
      <c r="B160" s="160"/>
      <c r="C160" s="359" t="s">
        <v>43</v>
      </c>
      <c r="D160" s="360"/>
      <c r="E160" s="360"/>
      <c r="F160" s="360"/>
      <c r="G160" s="360"/>
      <c r="H160" s="360"/>
      <c r="I160" s="360"/>
      <c r="J160" s="360"/>
      <c r="K160" s="361"/>
      <c r="L160" s="165">
        <f>L158+L159</f>
        <v>-19354520.220999993</v>
      </c>
      <c r="N160" s="171"/>
      <c r="O160" s="172"/>
    </row>
    <row r="161" spans="1:15" ht="29.25" customHeight="1" x14ac:dyDescent="0.2">
      <c r="D161" s="355" t="s">
        <v>157</v>
      </c>
      <c r="E161" s="355"/>
      <c r="F161" s="355"/>
      <c r="G161" s="172">
        <f>AVERAGE(D156,G156)</f>
        <v>490242043.4091</v>
      </c>
      <c r="H161" s="172"/>
      <c r="K161" s="124" t="s">
        <v>158</v>
      </c>
      <c r="N161" s="172">
        <f>AVERAGE(K156,N156)</f>
        <v>-122176599.6153</v>
      </c>
    </row>
    <row r="162" spans="1:15" x14ac:dyDescent="0.2">
      <c r="D162" s="124"/>
      <c r="G162" s="172"/>
      <c r="H162" s="172"/>
      <c r="K162" s="124" t="s">
        <v>159</v>
      </c>
      <c r="N162" s="172">
        <f>G161+N161</f>
        <v>368065443.7938</v>
      </c>
    </row>
    <row r="163" spans="1:15" x14ac:dyDescent="0.2">
      <c r="K163" s="123" t="s">
        <v>160</v>
      </c>
    </row>
    <row r="164" spans="1:15" ht="15" x14ac:dyDescent="0.25">
      <c r="A164" s="160">
        <v>10</v>
      </c>
      <c r="B164" s="160"/>
      <c r="C164" s="173" t="s">
        <v>161</v>
      </c>
      <c r="D164" s="174"/>
      <c r="E164" s="174"/>
      <c r="F164" s="174"/>
      <c r="G164" s="174"/>
      <c r="H164" s="174"/>
      <c r="I164" s="174"/>
      <c r="J164" s="174"/>
      <c r="K164" s="174" t="s">
        <v>161</v>
      </c>
      <c r="L164" s="174"/>
      <c r="M164" s="175">
        <f>+L136+23227.68</f>
        <v>-893315.68</v>
      </c>
    </row>
    <row r="165" spans="1:15" ht="15" x14ac:dyDescent="0.25">
      <c r="A165" s="160"/>
      <c r="B165" s="160"/>
      <c r="C165" s="174" t="s">
        <v>162</v>
      </c>
      <c r="D165" s="174"/>
      <c r="E165" s="174"/>
      <c r="F165" s="174"/>
      <c r="G165" s="174"/>
      <c r="H165" s="174"/>
      <c r="I165" s="174"/>
      <c r="J165" s="174"/>
      <c r="K165" s="174" t="s">
        <v>162</v>
      </c>
      <c r="L165" s="174"/>
      <c r="M165" s="175">
        <f>-F158-M158</f>
        <v>543476.18999999983</v>
      </c>
    </row>
    <row r="166" spans="1:15" ht="15" x14ac:dyDescent="0.25">
      <c r="A166" s="160"/>
      <c r="B166" s="160"/>
      <c r="C166" s="174" t="s">
        <v>165</v>
      </c>
      <c r="D166" s="174"/>
      <c r="E166" s="174"/>
      <c r="F166" s="174"/>
      <c r="G166" s="174"/>
      <c r="H166" s="174"/>
      <c r="I166" s="174"/>
      <c r="J166" s="174"/>
      <c r="K166" s="174" t="s">
        <v>165</v>
      </c>
      <c r="L166" s="174"/>
      <c r="M166" s="175">
        <f>+F136+M136</f>
        <v>-19624.830000000016</v>
      </c>
    </row>
    <row r="167" spans="1:15" ht="15" x14ac:dyDescent="0.25">
      <c r="A167" s="160"/>
      <c r="B167" s="160"/>
      <c r="C167" s="174" t="str">
        <f>+K167</f>
        <v>Non Rate-Regulated utility asset</v>
      </c>
      <c r="D167" s="174"/>
      <c r="E167" s="174"/>
      <c r="F167" s="174"/>
      <c r="G167" s="174"/>
      <c r="H167" s="174"/>
      <c r="I167" s="174"/>
      <c r="J167" s="174"/>
      <c r="K167" s="174" t="s">
        <v>163</v>
      </c>
      <c r="L167" s="174"/>
      <c r="M167" s="175">
        <f>+L154</f>
        <v>35751.928999999996</v>
      </c>
    </row>
    <row r="168" spans="1:15" x14ac:dyDescent="0.2">
      <c r="K168" s="353" t="s">
        <v>164</v>
      </c>
      <c r="L168" s="354"/>
      <c r="M168" s="177">
        <f>L160-M164-M165-M167-M166</f>
        <v>-19020807.829999998</v>
      </c>
    </row>
    <row r="170" spans="1:15" x14ac:dyDescent="0.2">
      <c r="M170" s="172"/>
    </row>
    <row r="172" spans="1:15" ht="15.75" thickBot="1" x14ac:dyDescent="0.25">
      <c r="E172" s="135" t="s">
        <v>94</v>
      </c>
      <c r="F172" s="136" t="s">
        <v>12</v>
      </c>
    </row>
    <row r="173" spans="1:15" ht="15.75" thickBot="1" x14ac:dyDescent="0.3">
      <c r="E173" s="135" t="s">
        <v>95</v>
      </c>
      <c r="F173" s="137">
        <v>2022</v>
      </c>
      <c r="G173" s="138"/>
      <c r="H173" s="138"/>
      <c r="I173" s="139" t="b">
        <f>IF(F173=2014,4,IF(F173=2015,5,IF(F173=2016,6,IF(F173=2017,7,IF(F173=2018,8,IF(F173=2019,9,IF(F173=2020,10)))))))</f>
        <v>0</v>
      </c>
    </row>
    <row r="175" spans="1:15" x14ac:dyDescent="0.2">
      <c r="D175" s="356" t="s">
        <v>96</v>
      </c>
      <c r="E175" s="357"/>
      <c r="F175" s="357"/>
      <c r="G175" s="357"/>
      <c r="H175" s="357"/>
      <c r="I175" s="358"/>
      <c r="K175" s="140"/>
      <c r="L175" s="141" t="s">
        <v>97</v>
      </c>
      <c r="M175" s="141"/>
      <c r="N175" s="142"/>
    </row>
    <row r="176" spans="1:15" ht="30" customHeight="1" x14ac:dyDescent="0.2">
      <c r="A176" s="143" t="s">
        <v>98</v>
      </c>
      <c r="B176" s="143" t="s">
        <v>99</v>
      </c>
      <c r="C176" s="144" t="s">
        <v>100</v>
      </c>
      <c r="D176" s="143" t="s">
        <v>101</v>
      </c>
      <c r="E176" s="145" t="s">
        <v>102</v>
      </c>
      <c r="F176" s="145" t="s">
        <v>103</v>
      </c>
      <c r="G176" s="143" t="s">
        <v>104</v>
      </c>
      <c r="H176" s="143"/>
      <c r="I176" s="143" t="s">
        <v>105</v>
      </c>
      <c r="J176" s="146"/>
      <c r="K176" s="143" t="s">
        <v>101</v>
      </c>
      <c r="L176" s="147" t="s">
        <v>106</v>
      </c>
      <c r="M176" s="147" t="s">
        <v>103</v>
      </c>
      <c r="N176" s="148" t="s">
        <v>104</v>
      </c>
      <c r="O176" s="143" t="s">
        <v>107</v>
      </c>
    </row>
    <row r="177" spans="1:19" ht="15" x14ac:dyDescent="0.25">
      <c r="A177" s="149">
        <v>14.1</v>
      </c>
      <c r="B177" s="150">
        <v>1609</v>
      </c>
      <c r="C177" s="151" t="s">
        <v>108</v>
      </c>
      <c r="D177" s="152">
        <f t="shared" ref="D177:D220" si="17">G109</f>
        <v>2134700</v>
      </c>
      <c r="E177" s="153">
        <v>0</v>
      </c>
      <c r="F177" s="153"/>
      <c r="G177" s="154">
        <f>D177+E177+F177</f>
        <v>2134700</v>
      </c>
      <c r="H177" s="154"/>
      <c r="I177" s="154">
        <v>0</v>
      </c>
      <c r="J177" s="146"/>
      <c r="K177" s="152">
        <f t="shared" ref="K177:K220" si="18">N109</f>
        <v>-246830.31</v>
      </c>
      <c r="L177" s="153">
        <v>-164103.94</v>
      </c>
      <c r="M177" s="153">
        <v>0</v>
      </c>
      <c r="N177" s="154">
        <f>K177+L177+M177</f>
        <v>-410934.25</v>
      </c>
      <c r="O177" s="155">
        <f>G177+N177</f>
        <v>1723765.75</v>
      </c>
      <c r="S177" s="156" t="s">
        <v>332</v>
      </c>
    </row>
    <row r="178" spans="1:19" ht="15" x14ac:dyDescent="0.25">
      <c r="A178" s="149" t="s">
        <v>109</v>
      </c>
      <c r="B178" s="150">
        <v>1610</v>
      </c>
      <c r="C178" s="151" t="s">
        <v>110</v>
      </c>
      <c r="D178" s="152">
        <f t="shared" si="17"/>
        <v>4031891.6599999997</v>
      </c>
      <c r="E178" s="153">
        <v>218311.8200000003</v>
      </c>
      <c r="F178" s="153"/>
      <c r="G178" s="154">
        <f>D178+E178+F178</f>
        <v>4250203.4800000004</v>
      </c>
      <c r="H178" s="154"/>
      <c r="I178" s="154"/>
      <c r="J178" s="146"/>
      <c r="K178" s="152">
        <f t="shared" si="18"/>
        <v>-2943828.5</v>
      </c>
      <c r="L178" s="153">
        <v>-411945.99000000022</v>
      </c>
      <c r="M178" s="153">
        <v>0</v>
      </c>
      <c r="N178" s="154">
        <f>K178+L178+M178</f>
        <v>-3355774.49</v>
      </c>
      <c r="O178" s="155">
        <f>G178+N178</f>
        <v>894428.99000000022</v>
      </c>
      <c r="S178" s="156"/>
    </row>
    <row r="179" spans="1:19" ht="15" x14ac:dyDescent="0.25">
      <c r="A179" s="150">
        <v>12</v>
      </c>
      <c r="B179" s="150">
        <v>1611</v>
      </c>
      <c r="C179" s="157" t="s">
        <v>111</v>
      </c>
      <c r="D179" s="152">
        <f t="shared" si="17"/>
        <v>16648020.360000001</v>
      </c>
      <c r="E179" s="153">
        <v>1885559.1999999997</v>
      </c>
      <c r="F179" s="153">
        <v>0</v>
      </c>
      <c r="G179" s="154">
        <f>D179+E179+F179</f>
        <v>18533579.560000002</v>
      </c>
      <c r="H179" s="154"/>
      <c r="I179" s="154">
        <v>0</v>
      </c>
      <c r="J179" s="158"/>
      <c r="K179" s="152">
        <f t="shared" si="18"/>
        <v>-13038286.25</v>
      </c>
      <c r="L179" s="153">
        <v>-2042517.1700000009</v>
      </c>
      <c r="M179" s="153">
        <v>0</v>
      </c>
      <c r="N179" s="154">
        <f>K179+L179+M179</f>
        <v>-15080803.420000002</v>
      </c>
      <c r="O179" s="155">
        <f>G179+N179</f>
        <v>3452776.1400000006</v>
      </c>
      <c r="S179" s="156" t="s">
        <v>333</v>
      </c>
    </row>
    <row r="180" spans="1:19" ht="15" x14ac:dyDescent="0.25">
      <c r="A180" s="150">
        <v>14.1</v>
      </c>
      <c r="B180" s="150">
        <v>1612</v>
      </c>
      <c r="C180" s="151" t="s">
        <v>112</v>
      </c>
      <c r="D180" s="152">
        <f t="shared" si="17"/>
        <v>4302600.6100000003</v>
      </c>
      <c r="E180" s="153">
        <v>-3841402</v>
      </c>
      <c r="F180" s="153">
        <v>0</v>
      </c>
      <c r="G180" s="154">
        <f>D180+E180+F180</f>
        <v>461198.61000000034</v>
      </c>
      <c r="H180" s="154"/>
      <c r="I180" s="154">
        <v>0</v>
      </c>
      <c r="J180" s="158"/>
      <c r="K180" s="152">
        <f t="shared" si="18"/>
        <v>-91716.01</v>
      </c>
      <c r="L180" s="153">
        <v>-12301.73000000001</v>
      </c>
      <c r="M180" s="153">
        <v>0</v>
      </c>
      <c r="N180" s="154">
        <f>K180+L180+M180</f>
        <v>-104017.74</v>
      </c>
      <c r="O180" s="155">
        <f>G180+N180</f>
        <v>357180.87000000034</v>
      </c>
      <c r="S180" s="156" t="s">
        <v>334</v>
      </c>
    </row>
    <row r="181" spans="1:19" ht="15" x14ac:dyDescent="0.25">
      <c r="A181" s="150" t="s">
        <v>109</v>
      </c>
      <c r="B181" s="150">
        <v>1805</v>
      </c>
      <c r="C181" s="151" t="s">
        <v>113</v>
      </c>
      <c r="D181" s="152">
        <f t="shared" si="17"/>
        <v>981172.99</v>
      </c>
      <c r="E181" s="153">
        <v>16193.100000000035</v>
      </c>
      <c r="F181" s="153">
        <v>-2376.5599999999977</v>
      </c>
      <c r="G181" s="154">
        <f>D181+E181+F181</f>
        <v>994989.53</v>
      </c>
      <c r="H181" s="154"/>
      <c r="I181" s="154">
        <v>0</v>
      </c>
      <c r="J181" s="158"/>
      <c r="K181" s="152">
        <f t="shared" si="18"/>
        <v>0</v>
      </c>
      <c r="L181" s="153">
        <v>0</v>
      </c>
      <c r="M181" s="153">
        <v>0</v>
      </c>
      <c r="N181" s="154">
        <f>K181+L181+M181</f>
        <v>0</v>
      </c>
      <c r="O181" s="155">
        <f>G181+N181</f>
        <v>994989.53</v>
      </c>
      <c r="S181" s="156" t="s">
        <v>335</v>
      </c>
    </row>
    <row r="182" spans="1:19" ht="15" x14ac:dyDescent="0.25">
      <c r="A182" s="150">
        <v>47</v>
      </c>
      <c r="B182" s="150">
        <v>1808</v>
      </c>
      <c r="C182" s="151" t="s">
        <v>114</v>
      </c>
      <c r="D182" s="152">
        <f t="shared" si="17"/>
        <v>1409044.04</v>
      </c>
      <c r="E182" s="153">
        <v>0</v>
      </c>
      <c r="F182" s="153">
        <v>0</v>
      </c>
      <c r="G182" s="154">
        <f t="shared" ref="G182:G220" si="19">D182+E182+F182</f>
        <v>1409044.04</v>
      </c>
      <c r="H182" s="154"/>
      <c r="I182" s="154">
        <v>0</v>
      </c>
      <c r="J182" s="158"/>
      <c r="K182" s="152">
        <f t="shared" si="18"/>
        <v>-1192316.1800000002</v>
      </c>
      <c r="L182" s="153">
        <v>-9573.8200000000652</v>
      </c>
      <c r="M182" s="153">
        <v>0</v>
      </c>
      <c r="N182" s="154">
        <f t="shared" ref="N182:N220" si="20">K182+L182+M182</f>
        <v>-1201890.0000000002</v>
      </c>
      <c r="O182" s="155">
        <f t="shared" ref="O182:O220" si="21">G182+N182</f>
        <v>207154.0399999998</v>
      </c>
      <c r="S182" s="156" t="s">
        <v>336</v>
      </c>
    </row>
    <row r="183" spans="1:19" ht="15" x14ac:dyDescent="0.25">
      <c r="A183" s="150"/>
      <c r="B183" s="150">
        <v>1810</v>
      </c>
      <c r="C183" s="151" t="s">
        <v>115</v>
      </c>
      <c r="D183" s="152">
        <f t="shared" si="17"/>
        <v>0</v>
      </c>
      <c r="E183" s="153"/>
      <c r="F183" s="153"/>
      <c r="G183" s="154">
        <f t="shared" si="19"/>
        <v>0</v>
      </c>
      <c r="H183" s="154"/>
      <c r="I183" s="154">
        <v>0</v>
      </c>
      <c r="J183" s="158"/>
      <c r="K183" s="152">
        <f t="shared" si="18"/>
        <v>0</v>
      </c>
      <c r="L183" s="153"/>
      <c r="M183" s="153"/>
      <c r="N183" s="154">
        <f t="shared" si="20"/>
        <v>0</v>
      </c>
      <c r="O183" s="155">
        <f t="shared" si="21"/>
        <v>0</v>
      </c>
      <c r="S183" s="156" t="s">
        <v>337</v>
      </c>
    </row>
    <row r="184" spans="1:19" ht="15" x14ac:dyDescent="0.25">
      <c r="A184" s="150">
        <v>47</v>
      </c>
      <c r="B184" s="150">
        <v>1815</v>
      </c>
      <c r="C184" s="151" t="s">
        <v>116</v>
      </c>
      <c r="D184" s="152">
        <f t="shared" si="17"/>
        <v>225104.49999999997</v>
      </c>
      <c r="E184" s="153">
        <v>0</v>
      </c>
      <c r="F184" s="153">
        <v>0</v>
      </c>
      <c r="G184" s="154">
        <f t="shared" si="19"/>
        <v>225104.49999999997</v>
      </c>
      <c r="H184" s="154"/>
      <c r="I184" s="154">
        <v>0</v>
      </c>
      <c r="J184" s="158"/>
      <c r="K184" s="152">
        <f t="shared" si="18"/>
        <v>-48679.18</v>
      </c>
      <c r="L184" s="153">
        <v>-5533.6300000000047</v>
      </c>
      <c r="M184" s="153">
        <v>0</v>
      </c>
      <c r="N184" s="154">
        <f t="shared" si="20"/>
        <v>-54212.810000000005</v>
      </c>
      <c r="O184" s="155">
        <f t="shared" si="21"/>
        <v>170891.68999999997</v>
      </c>
      <c r="S184" s="156" t="s">
        <v>338</v>
      </c>
    </row>
    <row r="185" spans="1:19" ht="15" x14ac:dyDescent="0.25">
      <c r="A185" s="150">
        <v>47</v>
      </c>
      <c r="B185" s="150">
        <v>1820</v>
      </c>
      <c r="C185" s="151" t="s">
        <v>117</v>
      </c>
      <c r="D185" s="152">
        <f t="shared" si="17"/>
        <v>65418990.598100007</v>
      </c>
      <c r="E185" s="153">
        <f>2299674.15</f>
        <v>2299674.15</v>
      </c>
      <c r="F185" s="153">
        <v>-13956.759999999995</v>
      </c>
      <c r="G185" s="154">
        <f t="shared" si="19"/>
        <v>67704707.988100007</v>
      </c>
      <c r="H185" s="154"/>
      <c r="I185" s="154">
        <v>0</v>
      </c>
      <c r="J185" s="158"/>
      <c r="K185" s="152">
        <f t="shared" si="18"/>
        <v>-11526605.029999997</v>
      </c>
      <c r="L185" s="153">
        <v>-1952949.29</v>
      </c>
      <c r="M185" s="153">
        <v>2071.6200000000008</v>
      </c>
      <c r="N185" s="154">
        <f t="shared" si="20"/>
        <v>-13477482.699999997</v>
      </c>
      <c r="O185" s="155">
        <f t="shared" si="21"/>
        <v>54227225.288100012</v>
      </c>
      <c r="S185" s="156" t="s">
        <v>339</v>
      </c>
    </row>
    <row r="186" spans="1:19" ht="15" x14ac:dyDescent="0.25">
      <c r="A186" s="150"/>
      <c r="B186" s="150">
        <v>1825</v>
      </c>
      <c r="C186" s="151" t="s">
        <v>118</v>
      </c>
      <c r="D186" s="152">
        <f t="shared" si="17"/>
        <v>0</v>
      </c>
      <c r="E186" s="153"/>
      <c r="F186" s="153"/>
      <c r="G186" s="154">
        <f t="shared" si="19"/>
        <v>0</v>
      </c>
      <c r="H186" s="154"/>
      <c r="I186" s="154">
        <v>0</v>
      </c>
      <c r="J186" s="158"/>
      <c r="K186" s="152">
        <f t="shared" si="18"/>
        <v>0</v>
      </c>
      <c r="L186" s="153"/>
      <c r="M186" s="153"/>
      <c r="N186" s="154">
        <f t="shared" si="20"/>
        <v>0</v>
      </c>
      <c r="O186" s="155">
        <f t="shared" si="21"/>
        <v>0</v>
      </c>
      <c r="S186" s="156" t="s">
        <v>340</v>
      </c>
    </row>
    <row r="187" spans="1:19" ht="15" x14ac:dyDescent="0.25">
      <c r="A187" s="150">
        <v>47</v>
      </c>
      <c r="B187" s="150">
        <v>1830</v>
      </c>
      <c r="C187" s="151" t="s">
        <v>119</v>
      </c>
      <c r="D187" s="152">
        <f t="shared" si="17"/>
        <v>99278719.069999993</v>
      </c>
      <c r="E187" s="153">
        <f>12378908.51</f>
        <v>12378908.51</v>
      </c>
      <c r="F187" s="153">
        <v>-525184.37999999989</v>
      </c>
      <c r="G187" s="154">
        <f t="shared" si="19"/>
        <v>111132443.2</v>
      </c>
      <c r="H187" s="154"/>
      <c r="I187" s="154">
        <v>0</v>
      </c>
      <c r="J187" s="158"/>
      <c r="K187" s="152">
        <f t="shared" si="18"/>
        <v>-14469465.030000001</v>
      </c>
      <c r="L187" s="153">
        <v>-2789882.89</v>
      </c>
      <c r="M187" s="153">
        <v>80287.790000000008</v>
      </c>
      <c r="N187" s="154">
        <f t="shared" si="20"/>
        <v>-17179060.130000003</v>
      </c>
      <c r="O187" s="155">
        <f t="shared" si="21"/>
        <v>93953383.069999993</v>
      </c>
      <c r="S187" s="156" t="s">
        <v>341</v>
      </c>
    </row>
    <row r="188" spans="1:19" ht="15" x14ac:dyDescent="0.25">
      <c r="A188" s="150">
        <v>47</v>
      </c>
      <c r="B188" s="150">
        <v>1835</v>
      </c>
      <c r="C188" s="151" t="s">
        <v>120</v>
      </c>
      <c r="D188" s="152">
        <f t="shared" si="17"/>
        <v>73213260.067499995</v>
      </c>
      <c r="E188" s="153">
        <f>5962963.66</f>
        <v>5962963.6600000001</v>
      </c>
      <c r="F188" s="153">
        <v>-367784.65000000014</v>
      </c>
      <c r="G188" s="154">
        <f t="shared" si="19"/>
        <v>78808439.077499986</v>
      </c>
      <c r="H188" s="154"/>
      <c r="I188" s="154">
        <v>0</v>
      </c>
      <c r="J188" s="158"/>
      <c r="K188" s="152">
        <f t="shared" si="18"/>
        <v>-11761507.880000001</v>
      </c>
      <c r="L188" s="153">
        <v>-1945949.72</v>
      </c>
      <c r="M188" s="153">
        <v>207505.64999999997</v>
      </c>
      <c r="N188" s="154">
        <f t="shared" si="20"/>
        <v>-13499951.950000001</v>
      </c>
      <c r="O188" s="155">
        <f t="shared" si="21"/>
        <v>65308487.127499983</v>
      </c>
      <c r="S188" s="156" t="s">
        <v>342</v>
      </c>
    </row>
    <row r="189" spans="1:19" ht="15" x14ac:dyDescent="0.25">
      <c r="A189" s="150">
        <v>47</v>
      </c>
      <c r="B189" s="150">
        <v>1840</v>
      </c>
      <c r="C189" s="151" t="s">
        <v>121</v>
      </c>
      <c r="D189" s="152">
        <f t="shared" si="17"/>
        <v>54290746.543300003</v>
      </c>
      <c r="E189" s="153">
        <v>3431792.73</v>
      </c>
      <c r="F189" s="153">
        <v>-349084.66</v>
      </c>
      <c r="G189" s="154">
        <f t="shared" si="19"/>
        <v>57373454.613300003</v>
      </c>
      <c r="H189" s="154"/>
      <c r="I189" s="154">
        <v>0</v>
      </c>
      <c r="J189" s="158"/>
      <c r="K189" s="152">
        <f t="shared" si="18"/>
        <v>-5911370.9500000002</v>
      </c>
      <c r="L189" s="153">
        <v>-1003834.9899999998</v>
      </c>
      <c r="M189" s="153">
        <v>65583.94</v>
      </c>
      <c r="N189" s="154">
        <f t="shared" si="20"/>
        <v>-6849621.9999999991</v>
      </c>
      <c r="O189" s="155">
        <f t="shared" si="21"/>
        <v>50523832.613300003</v>
      </c>
      <c r="S189" s="156" t="s">
        <v>343</v>
      </c>
    </row>
    <row r="190" spans="1:19" ht="15" x14ac:dyDescent="0.25">
      <c r="A190" s="150">
        <v>47</v>
      </c>
      <c r="B190" s="150">
        <v>1845</v>
      </c>
      <c r="C190" s="151" t="s">
        <v>122</v>
      </c>
      <c r="D190" s="152">
        <f t="shared" si="17"/>
        <v>85404853.419899985</v>
      </c>
      <c r="E190" s="153">
        <f>7034342.7</f>
        <v>7034342.7000000002</v>
      </c>
      <c r="F190" s="153">
        <v>-658352.56000000006</v>
      </c>
      <c r="G190" s="154">
        <f t="shared" si="19"/>
        <v>91780843.559899986</v>
      </c>
      <c r="H190" s="154"/>
      <c r="I190" s="154">
        <v>0</v>
      </c>
      <c r="J190" s="158"/>
      <c r="K190" s="152">
        <f t="shared" si="18"/>
        <v>-11960369.439999999</v>
      </c>
      <c r="L190" s="153">
        <v>-2501373.15</v>
      </c>
      <c r="M190" s="153">
        <v>198852.84</v>
      </c>
      <c r="N190" s="154">
        <f t="shared" si="20"/>
        <v>-14262889.75</v>
      </c>
      <c r="O190" s="155">
        <f t="shared" si="21"/>
        <v>77517953.809899986</v>
      </c>
      <c r="S190" s="156" t="s">
        <v>344</v>
      </c>
    </row>
    <row r="191" spans="1:19" ht="15" x14ac:dyDescent="0.25">
      <c r="A191" s="150">
        <v>47</v>
      </c>
      <c r="B191" s="150">
        <v>1850</v>
      </c>
      <c r="C191" s="151" t="s">
        <v>123</v>
      </c>
      <c r="D191" s="152">
        <f t="shared" si="17"/>
        <v>65881012.867400005</v>
      </c>
      <c r="E191" s="153">
        <f>5723708.29</f>
        <v>5723708.29</v>
      </c>
      <c r="F191" s="153">
        <v>-461964.58</v>
      </c>
      <c r="G191" s="154">
        <f t="shared" si="19"/>
        <v>71142756.577400014</v>
      </c>
      <c r="H191" s="154"/>
      <c r="I191" s="154">
        <v>0</v>
      </c>
      <c r="J191" s="158"/>
      <c r="K191" s="152">
        <f t="shared" si="18"/>
        <v>-13682286.569999997</v>
      </c>
      <c r="L191" s="153">
        <v>-2485626.4700000002</v>
      </c>
      <c r="M191" s="153">
        <v>138605.72000000003</v>
      </c>
      <c r="N191" s="154">
        <f t="shared" si="20"/>
        <v>-16029307.319999997</v>
      </c>
      <c r="O191" s="155">
        <f t="shared" si="21"/>
        <v>55113449.257400021</v>
      </c>
      <c r="S191" s="156" t="s">
        <v>345</v>
      </c>
    </row>
    <row r="192" spans="1:19" ht="15" x14ac:dyDescent="0.25">
      <c r="A192" s="150">
        <v>47</v>
      </c>
      <c r="B192" s="150">
        <v>1855</v>
      </c>
      <c r="C192" s="151" t="s">
        <v>124</v>
      </c>
      <c r="D192" s="152">
        <f t="shared" si="17"/>
        <v>46303348.659400001</v>
      </c>
      <c r="E192" s="153">
        <f>2904698.5</f>
        <v>2904698.5</v>
      </c>
      <c r="F192" s="153">
        <v>0</v>
      </c>
      <c r="G192" s="154">
        <f t="shared" si="19"/>
        <v>49208047.159400001</v>
      </c>
      <c r="H192" s="154"/>
      <c r="I192" s="154">
        <v>0</v>
      </c>
      <c r="J192" s="158"/>
      <c r="K192" s="152">
        <f t="shared" si="18"/>
        <v>-7532279.7999999989</v>
      </c>
      <c r="L192" s="153">
        <v>-1195230.97</v>
      </c>
      <c r="M192" s="153">
        <v>0</v>
      </c>
      <c r="N192" s="154">
        <f t="shared" si="20"/>
        <v>-8727510.7699999996</v>
      </c>
      <c r="O192" s="155">
        <f t="shared" si="21"/>
        <v>40480536.389400005</v>
      </c>
      <c r="S192" s="156" t="s">
        <v>346</v>
      </c>
    </row>
    <row r="193" spans="1:19" ht="15" x14ac:dyDescent="0.25">
      <c r="A193" s="150">
        <v>47</v>
      </c>
      <c r="B193" s="150">
        <v>1860</v>
      </c>
      <c r="C193" s="151" t="s">
        <v>125</v>
      </c>
      <c r="D193" s="152">
        <f t="shared" si="17"/>
        <v>2847629.5000000005</v>
      </c>
      <c r="E193" s="153">
        <v>27870.729999999734</v>
      </c>
      <c r="F193" s="153">
        <v>-84971.01</v>
      </c>
      <c r="G193" s="154">
        <f t="shared" si="19"/>
        <v>2790529.22</v>
      </c>
      <c r="H193" s="154"/>
      <c r="I193" s="154">
        <v>0</v>
      </c>
      <c r="J193" s="158"/>
      <c r="K193" s="152">
        <f t="shared" si="18"/>
        <v>-646178.17999999993</v>
      </c>
      <c r="L193" s="153">
        <v>-119825.47999999994</v>
      </c>
      <c r="M193" s="153">
        <v>19307.55</v>
      </c>
      <c r="N193" s="154">
        <f t="shared" si="20"/>
        <v>-746696.10999999987</v>
      </c>
      <c r="O193" s="155">
        <f t="shared" si="21"/>
        <v>2043833.1100000003</v>
      </c>
      <c r="S193" s="156" t="s">
        <v>347</v>
      </c>
    </row>
    <row r="194" spans="1:19" ht="15" x14ac:dyDescent="0.25">
      <c r="A194" s="150">
        <v>47</v>
      </c>
      <c r="B194" s="150">
        <v>1860</v>
      </c>
      <c r="C194" s="151" t="s">
        <v>126</v>
      </c>
      <c r="D194" s="152">
        <f t="shared" si="17"/>
        <v>23189421.578999996</v>
      </c>
      <c r="E194" s="153">
        <v>879564.85000000254</v>
      </c>
      <c r="F194" s="153">
        <v>-152894.95000000004</v>
      </c>
      <c r="G194" s="154">
        <f t="shared" si="19"/>
        <v>23916091.478999998</v>
      </c>
      <c r="H194" s="154"/>
      <c r="I194" s="154">
        <v>0</v>
      </c>
      <c r="J194" s="158"/>
      <c r="K194" s="152">
        <f t="shared" si="18"/>
        <v>-13926412.030000001</v>
      </c>
      <c r="L194" s="153">
        <v>-1877275.1400000004</v>
      </c>
      <c r="M194" s="153">
        <v>119342.11000000002</v>
      </c>
      <c r="N194" s="154">
        <f t="shared" si="20"/>
        <v>-15684345.060000002</v>
      </c>
      <c r="O194" s="155">
        <f t="shared" si="21"/>
        <v>8231746.418999996</v>
      </c>
      <c r="S194" s="156" t="s">
        <v>347</v>
      </c>
    </row>
    <row r="195" spans="1:19" ht="15" x14ac:dyDescent="0.25">
      <c r="A195" s="150">
        <v>47</v>
      </c>
      <c r="B195" s="150">
        <v>1865</v>
      </c>
      <c r="C195" s="151" t="s">
        <v>127</v>
      </c>
      <c r="D195" s="152">
        <f t="shared" si="17"/>
        <v>81548.159999999989</v>
      </c>
      <c r="E195" s="153">
        <v>0</v>
      </c>
      <c r="F195" s="153">
        <v>0</v>
      </c>
      <c r="G195" s="154">
        <f t="shared" si="19"/>
        <v>81548.159999999989</v>
      </c>
      <c r="H195" s="154"/>
      <c r="I195" s="154"/>
      <c r="J195" s="158"/>
      <c r="K195" s="152">
        <f t="shared" si="18"/>
        <v>-81548.160000000003</v>
      </c>
      <c r="L195" s="153">
        <v>0</v>
      </c>
      <c r="M195" s="153">
        <v>0</v>
      </c>
      <c r="N195" s="154">
        <f t="shared" si="20"/>
        <v>-81548.160000000003</v>
      </c>
      <c r="O195" s="155">
        <f t="shared" si="21"/>
        <v>0</v>
      </c>
      <c r="S195" s="156"/>
    </row>
    <row r="196" spans="1:19" ht="15" x14ac:dyDescent="0.25">
      <c r="A196" s="150" t="s">
        <v>109</v>
      </c>
      <c r="B196" s="150">
        <v>1905</v>
      </c>
      <c r="C196" s="151" t="s">
        <v>113</v>
      </c>
      <c r="D196" s="152">
        <f t="shared" si="17"/>
        <v>1195031.3199999998</v>
      </c>
      <c r="E196" s="153">
        <v>-2.0000000018626451E-2</v>
      </c>
      <c r="F196" s="153">
        <v>0</v>
      </c>
      <c r="G196" s="154">
        <f t="shared" si="19"/>
        <v>1195031.2999999998</v>
      </c>
      <c r="H196" s="154"/>
      <c r="I196" s="154">
        <v>0</v>
      </c>
      <c r="J196" s="158"/>
      <c r="K196" s="152">
        <f t="shared" si="18"/>
        <v>0</v>
      </c>
      <c r="L196" s="153"/>
      <c r="M196" s="153">
        <v>0</v>
      </c>
      <c r="N196" s="154">
        <f t="shared" si="20"/>
        <v>0</v>
      </c>
      <c r="O196" s="155">
        <f t="shared" si="21"/>
        <v>1195031.2999999998</v>
      </c>
      <c r="S196" s="156" t="s">
        <v>348</v>
      </c>
    </row>
    <row r="197" spans="1:19" ht="15" x14ac:dyDescent="0.25">
      <c r="A197" s="150">
        <v>1</v>
      </c>
      <c r="B197" s="150">
        <v>1908</v>
      </c>
      <c r="C197" s="151" t="s">
        <v>128</v>
      </c>
      <c r="D197" s="152">
        <f t="shared" si="17"/>
        <v>24826957.059999999</v>
      </c>
      <c r="E197" s="153">
        <v>5214434.38</v>
      </c>
      <c r="F197" s="153">
        <v>0</v>
      </c>
      <c r="G197" s="154">
        <f t="shared" si="19"/>
        <v>30041391.439999998</v>
      </c>
      <c r="H197" s="154"/>
      <c r="I197" s="154">
        <v>0</v>
      </c>
      <c r="J197" s="158"/>
      <c r="K197" s="152">
        <f t="shared" si="18"/>
        <v>-10081099.799999999</v>
      </c>
      <c r="L197" s="153">
        <v>-1195904.4600000007</v>
      </c>
      <c r="M197" s="153">
        <v>0</v>
      </c>
      <c r="N197" s="154">
        <f t="shared" si="20"/>
        <v>-11277004.26</v>
      </c>
      <c r="O197" s="155">
        <f t="shared" si="21"/>
        <v>18764387.18</v>
      </c>
      <c r="S197" s="156" t="s">
        <v>349</v>
      </c>
    </row>
    <row r="198" spans="1:19" ht="15" x14ac:dyDescent="0.25">
      <c r="A198" s="150"/>
      <c r="B198" s="150">
        <v>1910</v>
      </c>
      <c r="C198" s="151" t="s">
        <v>115</v>
      </c>
      <c r="D198" s="152">
        <f t="shared" si="17"/>
        <v>0</v>
      </c>
      <c r="E198" s="153"/>
      <c r="F198" s="153"/>
      <c r="G198" s="154">
        <f t="shared" si="19"/>
        <v>0</v>
      </c>
      <c r="H198" s="154"/>
      <c r="I198" s="154">
        <v>0</v>
      </c>
      <c r="J198" s="158"/>
      <c r="K198" s="152">
        <f t="shared" si="18"/>
        <v>0</v>
      </c>
      <c r="L198" s="153"/>
      <c r="M198" s="153"/>
      <c r="N198" s="154">
        <f t="shared" si="20"/>
        <v>0</v>
      </c>
      <c r="O198" s="155">
        <f t="shared" si="21"/>
        <v>0</v>
      </c>
      <c r="S198" s="156" t="s">
        <v>350</v>
      </c>
    </row>
    <row r="199" spans="1:19" ht="15" x14ac:dyDescent="0.25">
      <c r="A199" s="150">
        <v>8</v>
      </c>
      <c r="B199" s="150">
        <v>1915</v>
      </c>
      <c r="C199" s="151" t="s">
        <v>129</v>
      </c>
      <c r="D199" s="152">
        <f t="shared" si="17"/>
        <v>2332878.9899999998</v>
      </c>
      <c r="E199" s="153">
        <v>162420.68999999994</v>
      </c>
      <c r="F199" s="153">
        <v>0</v>
      </c>
      <c r="G199" s="154">
        <f t="shared" si="19"/>
        <v>2495299.6799999997</v>
      </c>
      <c r="H199" s="154"/>
      <c r="I199" s="154">
        <v>0</v>
      </c>
      <c r="J199" s="158"/>
      <c r="K199" s="152">
        <f t="shared" si="18"/>
        <v>-1713315.53</v>
      </c>
      <c r="L199" s="153">
        <v>-119562.46999999997</v>
      </c>
      <c r="M199" s="153">
        <v>0</v>
      </c>
      <c r="N199" s="154">
        <f t="shared" si="20"/>
        <v>-1832878</v>
      </c>
      <c r="O199" s="155">
        <f t="shared" si="21"/>
        <v>662421.6799999997</v>
      </c>
      <c r="S199" s="156" t="s">
        <v>351</v>
      </c>
    </row>
    <row r="200" spans="1:19" ht="15" x14ac:dyDescent="0.25">
      <c r="A200" s="150"/>
      <c r="B200" s="150">
        <v>1915</v>
      </c>
      <c r="C200" s="151" t="s">
        <v>130</v>
      </c>
      <c r="D200" s="152">
        <f t="shared" si="17"/>
        <v>0</v>
      </c>
      <c r="E200" s="153"/>
      <c r="F200" s="153"/>
      <c r="G200" s="154">
        <f t="shared" si="19"/>
        <v>0</v>
      </c>
      <c r="H200" s="154"/>
      <c r="I200" s="154">
        <v>0</v>
      </c>
      <c r="J200" s="158"/>
      <c r="K200" s="152">
        <f t="shared" si="18"/>
        <v>0</v>
      </c>
      <c r="L200" s="153"/>
      <c r="M200" s="153"/>
      <c r="N200" s="154">
        <f t="shared" si="20"/>
        <v>0</v>
      </c>
      <c r="O200" s="155">
        <f t="shared" si="21"/>
        <v>0</v>
      </c>
      <c r="S200" s="156" t="s">
        <v>351</v>
      </c>
    </row>
    <row r="201" spans="1:19" ht="15" x14ac:dyDescent="0.25">
      <c r="A201" s="150">
        <v>50</v>
      </c>
      <c r="B201" s="150">
        <v>1920</v>
      </c>
      <c r="C201" s="151" t="s">
        <v>131</v>
      </c>
      <c r="D201" s="152">
        <f t="shared" si="17"/>
        <v>8098500.1100000003</v>
      </c>
      <c r="E201" s="153">
        <v>2507697.9000000008</v>
      </c>
      <c r="F201" s="153">
        <v>0</v>
      </c>
      <c r="G201" s="154">
        <f t="shared" si="19"/>
        <v>10606198.010000002</v>
      </c>
      <c r="H201" s="154"/>
      <c r="I201" s="154">
        <v>0</v>
      </c>
      <c r="J201" s="158"/>
      <c r="K201" s="152">
        <f t="shared" si="18"/>
        <v>-4889277.17</v>
      </c>
      <c r="L201" s="153">
        <v>-1280115.2000000002</v>
      </c>
      <c r="M201" s="153">
        <v>0</v>
      </c>
      <c r="N201" s="154">
        <f t="shared" si="20"/>
        <v>-6169392.3700000001</v>
      </c>
      <c r="O201" s="155">
        <f t="shared" si="21"/>
        <v>4436805.6400000015</v>
      </c>
      <c r="S201" s="156" t="s">
        <v>352</v>
      </c>
    </row>
    <row r="202" spans="1:19" ht="15" x14ac:dyDescent="0.25">
      <c r="A202" s="150"/>
      <c r="B202" s="150">
        <v>1920</v>
      </c>
      <c r="C202" s="151" t="s">
        <v>132</v>
      </c>
      <c r="D202" s="152">
        <f t="shared" si="17"/>
        <v>0</v>
      </c>
      <c r="E202" s="153"/>
      <c r="F202" s="153"/>
      <c r="G202" s="154">
        <f t="shared" si="19"/>
        <v>0</v>
      </c>
      <c r="H202" s="154"/>
      <c r="I202" s="154">
        <v>0</v>
      </c>
      <c r="J202" s="158"/>
      <c r="K202" s="152">
        <f t="shared" si="18"/>
        <v>0</v>
      </c>
      <c r="L202" s="153"/>
      <c r="M202" s="153"/>
      <c r="N202" s="154">
        <f t="shared" si="20"/>
        <v>0</v>
      </c>
      <c r="O202" s="155">
        <f t="shared" si="21"/>
        <v>0</v>
      </c>
      <c r="S202" s="156" t="s">
        <v>352</v>
      </c>
    </row>
    <row r="203" spans="1:19" ht="15" x14ac:dyDescent="0.25">
      <c r="A203" s="150"/>
      <c r="B203" s="150">
        <v>1920</v>
      </c>
      <c r="C203" s="151" t="s">
        <v>133</v>
      </c>
      <c r="D203" s="152">
        <f t="shared" si="17"/>
        <v>0</v>
      </c>
      <c r="E203" s="153"/>
      <c r="F203" s="153"/>
      <c r="G203" s="154">
        <f t="shared" si="19"/>
        <v>0</v>
      </c>
      <c r="H203" s="154"/>
      <c r="I203" s="154">
        <v>0</v>
      </c>
      <c r="J203" s="158"/>
      <c r="K203" s="152">
        <f t="shared" si="18"/>
        <v>0</v>
      </c>
      <c r="L203" s="153"/>
      <c r="M203" s="153"/>
      <c r="N203" s="154">
        <f t="shared" si="20"/>
        <v>0</v>
      </c>
      <c r="O203" s="155">
        <f t="shared" si="21"/>
        <v>0</v>
      </c>
      <c r="S203" s="156" t="s">
        <v>352</v>
      </c>
    </row>
    <row r="204" spans="1:19" ht="15" x14ac:dyDescent="0.25">
      <c r="A204" s="150">
        <v>10</v>
      </c>
      <c r="B204" s="150">
        <v>1930</v>
      </c>
      <c r="C204" s="151" t="s">
        <v>134</v>
      </c>
      <c r="D204" s="152">
        <f t="shared" si="17"/>
        <v>11413805.09</v>
      </c>
      <c r="E204" s="153">
        <v>2455255.0499999998</v>
      </c>
      <c r="F204" s="153">
        <v>-85891.260000000009</v>
      </c>
      <c r="G204" s="154">
        <f t="shared" si="19"/>
        <v>13783168.880000001</v>
      </c>
      <c r="H204" s="154"/>
      <c r="I204" s="154">
        <v>0</v>
      </c>
      <c r="J204" s="158"/>
      <c r="K204" s="152">
        <f t="shared" si="18"/>
        <v>-5462992.6500000004</v>
      </c>
      <c r="L204" s="153">
        <v>-978396.00999999966</v>
      </c>
      <c r="M204" s="153">
        <v>85891.260000000009</v>
      </c>
      <c r="N204" s="154">
        <f t="shared" si="20"/>
        <v>-6355497.4000000004</v>
      </c>
      <c r="O204" s="155">
        <f t="shared" si="21"/>
        <v>7427671.4800000004</v>
      </c>
      <c r="S204" s="156" t="s">
        <v>353</v>
      </c>
    </row>
    <row r="205" spans="1:19" ht="15" x14ac:dyDescent="0.25">
      <c r="A205" s="150">
        <v>8</v>
      </c>
      <c r="B205" s="150">
        <v>1935</v>
      </c>
      <c r="C205" s="151" t="s">
        <v>135</v>
      </c>
      <c r="D205" s="152">
        <f t="shared" si="17"/>
        <v>108757.92</v>
      </c>
      <c r="E205" s="153">
        <v>0</v>
      </c>
      <c r="F205" s="153">
        <v>0</v>
      </c>
      <c r="G205" s="154">
        <f t="shared" si="19"/>
        <v>108757.92</v>
      </c>
      <c r="H205" s="154"/>
      <c r="I205" s="154">
        <v>0</v>
      </c>
      <c r="J205" s="158"/>
      <c r="K205" s="152">
        <f t="shared" si="18"/>
        <v>-58432.44000000001</v>
      </c>
      <c r="L205" s="153">
        <v>-11186.849999999991</v>
      </c>
      <c r="M205" s="153">
        <v>0</v>
      </c>
      <c r="N205" s="154">
        <f t="shared" si="20"/>
        <v>-69619.290000000008</v>
      </c>
      <c r="O205" s="155">
        <f t="shared" si="21"/>
        <v>39138.62999999999</v>
      </c>
      <c r="S205" s="156" t="s">
        <v>354</v>
      </c>
    </row>
    <row r="206" spans="1:19" ht="15" x14ac:dyDescent="0.25">
      <c r="A206" s="150">
        <v>8</v>
      </c>
      <c r="B206" s="150">
        <v>1940</v>
      </c>
      <c r="C206" s="151" t="s">
        <v>136</v>
      </c>
      <c r="D206" s="152">
        <f t="shared" si="17"/>
        <v>2767625.16</v>
      </c>
      <c r="E206" s="153">
        <v>431334.31999999983</v>
      </c>
      <c r="F206" s="153">
        <v>0</v>
      </c>
      <c r="G206" s="154">
        <f t="shared" si="19"/>
        <v>3198959.48</v>
      </c>
      <c r="H206" s="154"/>
      <c r="I206" s="154">
        <v>0</v>
      </c>
      <c r="J206" s="158"/>
      <c r="K206" s="152">
        <f t="shared" si="18"/>
        <v>-1549643.7699999998</v>
      </c>
      <c r="L206" s="153">
        <v>-247751.91999999993</v>
      </c>
      <c r="M206" s="153">
        <v>0</v>
      </c>
      <c r="N206" s="154">
        <f t="shared" si="20"/>
        <v>-1797395.6899999997</v>
      </c>
      <c r="O206" s="155">
        <f t="shared" si="21"/>
        <v>1401563.7900000003</v>
      </c>
      <c r="S206" s="156" t="s">
        <v>355</v>
      </c>
    </row>
    <row r="207" spans="1:19" ht="15" x14ac:dyDescent="0.25">
      <c r="A207" s="150">
        <v>8</v>
      </c>
      <c r="B207" s="150">
        <v>1945</v>
      </c>
      <c r="C207" s="151" t="s">
        <v>137</v>
      </c>
      <c r="D207" s="152">
        <f t="shared" si="17"/>
        <v>185377.4</v>
      </c>
      <c r="E207" s="153">
        <v>0</v>
      </c>
      <c r="F207" s="153">
        <v>0</v>
      </c>
      <c r="G207" s="154">
        <f t="shared" si="19"/>
        <v>185377.4</v>
      </c>
      <c r="H207" s="154"/>
      <c r="I207" s="154">
        <v>0</v>
      </c>
      <c r="J207" s="158"/>
      <c r="K207" s="152">
        <f t="shared" si="18"/>
        <v>-134126.12</v>
      </c>
      <c r="L207" s="153">
        <v>-14135.119999999995</v>
      </c>
      <c r="M207" s="153">
        <v>0</v>
      </c>
      <c r="N207" s="154">
        <f t="shared" si="20"/>
        <v>-148261.24</v>
      </c>
      <c r="O207" s="155">
        <f t="shared" si="21"/>
        <v>37116.160000000003</v>
      </c>
      <c r="S207" s="156" t="s">
        <v>356</v>
      </c>
    </row>
    <row r="208" spans="1:19" ht="15" x14ac:dyDescent="0.25">
      <c r="A208" s="150"/>
      <c r="B208" s="150">
        <v>1950</v>
      </c>
      <c r="C208" s="151" t="s">
        <v>138</v>
      </c>
      <c r="D208" s="152">
        <f t="shared" si="17"/>
        <v>0</v>
      </c>
      <c r="E208" s="153"/>
      <c r="F208" s="153"/>
      <c r="G208" s="154">
        <f t="shared" si="19"/>
        <v>0</v>
      </c>
      <c r="H208" s="154"/>
      <c r="I208" s="154">
        <v>0</v>
      </c>
      <c r="J208" s="158"/>
      <c r="K208" s="152">
        <f t="shared" si="18"/>
        <v>0</v>
      </c>
      <c r="L208" s="153"/>
      <c r="M208" s="153"/>
      <c r="N208" s="154">
        <f t="shared" si="20"/>
        <v>0</v>
      </c>
      <c r="O208" s="155">
        <f t="shared" si="21"/>
        <v>0</v>
      </c>
      <c r="S208" s="156" t="s">
        <v>357</v>
      </c>
    </row>
    <row r="209" spans="1:19" ht="15" x14ac:dyDescent="0.25">
      <c r="A209" s="150">
        <v>8</v>
      </c>
      <c r="B209" s="150">
        <v>1955</v>
      </c>
      <c r="C209" s="151" t="s">
        <v>139</v>
      </c>
      <c r="D209" s="152">
        <f t="shared" si="17"/>
        <v>1986644.4999999995</v>
      </c>
      <c r="E209" s="153">
        <f>339287.24</f>
        <v>339287.24</v>
      </c>
      <c r="F209" s="153">
        <v>0</v>
      </c>
      <c r="G209" s="154">
        <f t="shared" si="19"/>
        <v>2325931.7399999993</v>
      </c>
      <c r="H209" s="154"/>
      <c r="I209" s="154">
        <v>0</v>
      </c>
      <c r="J209" s="158"/>
      <c r="K209" s="152">
        <f t="shared" si="18"/>
        <v>-1331613.01</v>
      </c>
      <c r="L209" s="153">
        <v>-204237.35</v>
      </c>
      <c r="M209" s="153">
        <v>0</v>
      </c>
      <c r="N209" s="154">
        <f t="shared" si="20"/>
        <v>-1535850.36</v>
      </c>
      <c r="O209" s="155">
        <f t="shared" si="21"/>
        <v>790081.37999999919</v>
      </c>
      <c r="S209" s="156" t="s">
        <v>358</v>
      </c>
    </row>
    <row r="210" spans="1:19" ht="15" x14ac:dyDescent="0.25">
      <c r="A210" s="150"/>
      <c r="B210" s="150">
        <v>1955</v>
      </c>
      <c r="C210" s="151" t="s">
        <v>140</v>
      </c>
      <c r="D210" s="152">
        <f t="shared" si="17"/>
        <v>0</v>
      </c>
      <c r="E210" s="153"/>
      <c r="F210" s="153"/>
      <c r="G210" s="154">
        <f t="shared" si="19"/>
        <v>0</v>
      </c>
      <c r="H210" s="154"/>
      <c r="I210" s="154">
        <v>0</v>
      </c>
      <c r="J210" s="158"/>
      <c r="K210" s="152">
        <f t="shared" si="18"/>
        <v>0</v>
      </c>
      <c r="L210" s="153"/>
      <c r="M210" s="153"/>
      <c r="N210" s="154">
        <f t="shared" si="20"/>
        <v>0</v>
      </c>
      <c r="O210" s="155">
        <f t="shared" si="21"/>
        <v>0</v>
      </c>
      <c r="S210" s="156" t="s">
        <v>358</v>
      </c>
    </row>
    <row r="211" spans="1:19" ht="15" x14ac:dyDescent="0.25">
      <c r="A211" s="150">
        <v>8</v>
      </c>
      <c r="B211" s="150">
        <v>1960</v>
      </c>
      <c r="C211" s="151" t="s">
        <v>141</v>
      </c>
      <c r="D211" s="152">
        <f t="shared" si="17"/>
        <v>440191.48999999993</v>
      </c>
      <c r="E211" s="153">
        <v>25626.859999999986</v>
      </c>
      <c r="F211" s="153">
        <v>0</v>
      </c>
      <c r="G211" s="154">
        <f t="shared" si="19"/>
        <v>465818.34999999992</v>
      </c>
      <c r="H211" s="154"/>
      <c r="I211" s="154">
        <v>0</v>
      </c>
      <c r="J211" s="158"/>
      <c r="K211" s="152">
        <f t="shared" si="18"/>
        <v>-238577.17999999996</v>
      </c>
      <c r="L211" s="153">
        <v>-37715.400000000023</v>
      </c>
      <c r="M211" s="153">
        <v>0</v>
      </c>
      <c r="N211" s="154">
        <f t="shared" si="20"/>
        <v>-276292.57999999996</v>
      </c>
      <c r="O211" s="155">
        <f t="shared" si="21"/>
        <v>189525.76999999996</v>
      </c>
      <c r="S211" s="156" t="s">
        <v>359</v>
      </c>
    </row>
    <row r="212" spans="1:19" ht="15" x14ac:dyDescent="0.25">
      <c r="A212" s="150"/>
      <c r="B212" s="150">
        <v>1970</v>
      </c>
      <c r="C212" s="151" t="s">
        <v>142</v>
      </c>
      <c r="D212" s="152">
        <f t="shared" si="17"/>
        <v>0</v>
      </c>
      <c r="E212" s="153"/>
      <c r="F212" s="153"/>
      <c r="G212" s="154">
        <f t="shared" si="19"/>
        <v>0</v>
      </c>
      <c r="H212" s="154"/>
      <c r="I212" s="154">
        <v>0</v>
      </c>
      <c r="J212" s="158"/>
      <c r="K212" s="152">
        <f t="shared" si="18"/>
        <v>0</v>
      </c>
      <c r="L212" s="153"/>
      <c r="M212" s="153"/>
      <c r="N212" s="154">
        <f t="shared" si="20"/>
        <v>0</v>
      </c>
      <c r="O212" s="155">
        <f t="shared" si="21"/>
        <v>0</v>
      </c>
      <c r="S212" s="156" t="s">
        <v>360</v>
      </c>
    </row>
    <row r="213" spans="1:19" ht="15" x14ac:dyDescent="0.25">
      <c r="A213" s="150"/>
      <c r="B213" s="150">
        <v>1975</v>
      </c>
      <c r="C213" s="151" t="s">
        <v>143</v>
      </c>
      <c r="D213" s="152">
        <f t="shared" si="17"/>
        <v>0</v>
      </c>
      <c r="E213" s="153"/>
      <c r="F213" s="153"/>
      <c r="G213" s="154">
        <f t="shared" si="19"/>
        <v>0</v>
      </c>
      <c r="H213" s="154"/>
      <c r="I213" s="154">
        <v>0</v>
      </c>
      <c r="J213" s="158"/>
      <c r="K213" s="152">
        <f t="shared" si="18"/>
        <v>0</v>
      </c>
      <c r="L213" s="153"/>
      <c r="M213" s="153"/>
      <c r="N213" s="154">
        <f t="shared" si="20"/>
        <v>0</v>
      </c>
      <c r="O213" s="155">
        <f t="shared" si="21"/>
        <v>0</v>
      </c>
      <c r="S213" s="156" t="s">
        <v>361</v>
      </c>
    </row>
    <row r="214" spans="1:19" ht="15" x14ac:dyDescent="0.25">
      <c r="A214" s="150">
        <v>8</v>
      </c>
      <c r="B214" s="150">
        <v>1980</v>
      </c>
      <c r="C214" s="151" t="s">
        <v>144</v>
      </c>
      <c r="D214" s="152">
        <f t="shared" si="17"/>
        <v>8485156.4689999986</v>
      </c>
      <c r="E214" s="153">
        <f>531740.699999999</f>
        <v>531740.69999999902</v>
      </c>
      <c r="F214" s="153">
        <v>0</v>
      </c>
      <c r="G214" s="154">
        <f t="shared" si="19"/>
        <v>9016897.1689999979</v>
      </c>
      <c r="H214" s="154"/>
      <c r="I214" s="154">
        <v>0</v>
      </c>
      <c r="J214" s="158"/>
      <c r="K214" s="152">
        <f t="shared" si="18"/>
        <v>-4131343.5300000003</v>
      </c>
      <c r="L214" s="153">
        <v>-446847.12</v>
      </c>
      <c r="M214" s="153">
        <v>0</v>
      </c>
      <c r="N214" s="154">
        <f t="shared" si="20"/>
        <v>-4578190.6500000004</v>
      </c>
      <c r="O214" s="155">
        <f t="shared" si="21"/>
        <v>4438706.5189999975</v>
      </c>
      <c r="S214" s="156" t="s">
        <v>362</v>
      </c>
    </row>
    <row r="215" spans="1:19" ht="15" x14ac:dyDescent="0.25">
      <c r="A215" s="150"/>
      <c r="B215" s="150">
        <v>1985</v>
      </c>
      <c r="C215" s="151" t="s">
        <v>145</v>
      </c>
      <c r="D215" s="152">
        <f t="shared" si="17"/>
        <v>0</v>
      </c>
      <c r="E215" s="153"/>
      <c r="F215" s="153"/>
      <c r="G215" s="154">
        <f t="shared" si="19"/>
        <v>0</v>
      </c>
      <c r="H215" s="154"/>
      <c r="I215" s="154">
        <v>0</v>
      </c>
      <c r="J215" s="158"/>
      <c r="K215" s="152">
        <f t="shared" si="18"/>
        <v>0</v>
      </c>
      <c r="L215" s="153"/>
      <c r="M215" s="153"/>
      <c r="N215" s="154">
        <f t="shared" si="20"/>
        <v>0</v>
      </c>
      <c r="O215" s="155">
        <f t="shared" si="21"/>
        <v>0</v>
      </c>
      <c r="S215" s="156" t="s">
        <v>363</v>
      </c>
    </row>
    <row r="216" spans="1:19" ht="15" x14ac:dyDescent="0.25">
      <c r="A216" s="150"/>
      <c r="B216" s="150">
        <v>1990</v>
      </c>
      <c r="C216" s="159" t="s">
        <v>146</v>
      </c>
      <c r="D216" s="152">
        <f t="shared" si="17"/>
        <v>0</v>
      </c>
      <c r="E216" s="153"/>
      <c r="F216" s="153"/>
      <c r="G216" s="154">
        <f t="shared" si="19"/>
        <v>0</v>
      </c>
      <c r="H216" s="154"/>
      <c r="I216" s="154">
        <v>0</v>
      </c>
      <c r="J216" s="158"/>
      <c r="K216" s="152">
        <f t="shared" si="18"/>
        <v>0</v>
      </c>
      <c r="L216" s="153"/>
      <c r="M216" s="153"/>
      <c r="N216" s="154">
        <f t="shared" si="20"/>
        <v>0</v>
      </c>
      <c r="O216" s="155">
        <f t="shared" si="21"/>
        <v>0</v>
      </c>
      <c r="S216" s="156" t="s">
        <v>364</v>
      </c>
    </row>
    <row r="217" spans="1:19" ht="15" x14ac:dyDescent="0.25">
      <c r="A217" s="150"/>
      <c r="B217" s="150">
        <v>1995</v>
      </c>
      <c r="C217" s="151" t="s">
        <v>147</v>
      </c>
      <c r="D217" s="152">
        <f t="shared" si="17"/>
        <v>0</v>
      </c>
      <c r="E217" s="153"/>
      <c r="F217" s="153"/>
      <c r="G217" s="154">
        <f t="shared" si="19"/>
        <v>0</v>
      </c>
      <c r="H217" s="154"/>
      <c r="I217" s="154">
        <v>0</v>
      </c>
      <c r="J217" s="158"/>
      <c r="K217" s="152">
        <f t="shared" si="18"/>
        <v>0</v>
      </c>
      <c r="L217" s="153"/>
      <c r="M217" s="153"/>
      <c r="N217" s="154">
        <f t="shared" si="20"/>
        <v>0</v>
      </c>
      <c r="O217" s="155">
        <f t="shared" si="21"/>
        <v>0</v>
      </c>
      <c r="S217" s="156" t="s">
        <v>365</v>
      </c>
    </row>
    <row r="218" spans="1:19" ht="15" x14ac:dyDescent="0.25">
      <c r="A218" s="150">
        <v>43.2</v>
      </c>
      <c r="B218" s="150">
        <v>2075</v>
      </c>
      <c r="C218" s="151" t="s">
        <v>148</v>
      </c>
      <c r="D218" s="152">
        <f t="shared" si="17"/>
        <v>1251765.4799999997</v>
      </c>
      <c r="E218" s="153">
        <v>0.43</v>
      </c>
      <c r="F218" s="153">
        <v>0</v>
      </c>
      <c r="G218" s="154">
        <f t="shared" si="19"/>
        <v>1251765.9099999997</v>
      </c>
      <c r="H218" s="154"/>
      <c r="I218" s="154"/>
      <c r="K218" s="152">
        <f t="shared" si="18"/>
        <v>-411804.92</v>
      </c>
      <c r="L218" s="153">
        <v>-57868.360000000044</v>
      </c>
      <c r="M218" s="153">
        <v>0</v>
      </c>
      <c r="N218" s="154">
        <f t="shared" si="20"/>
        <v>-469673.28</v>
      </c>
      <c r="O218" s="155">
        <f t="shared" si="21"/>
        <v>782092.62999999966</v>
      </c>
      <c r="S218" s="156"/>
    </row>
    <row r="219" spans="1:19" ht="15" x14ac:dyDescent="0.25">
      <c r="A219" s="150">
        <v>47</v>
      </c>
      <c r="B219" s="150">
        <v>2440</v>
      </c>
      <c r="C219" s="151" t="s">
        <v>149</v>
      </c>
      <c r="D219" s="152">
        <f t="shared" si="17"/>
        <v>-95731244.140000001</v>
      </c>
      <c r="E219" s="153">
        <v>-12068411.39000001</v>
      </c>
      <c r="F219" s="153">
        <v>466264.4</v>
      </c>
      <c r="G219" s="154">
        <f t="shared" si="19"/>
        <v>-107333391.13000001</v>
      </c>
      <c r="H219" s="154"/>
      <c r="I219" s="154">
        <v>0</v>
      </c>
      <c r="K219" s="152">
        <f t="shared" si="18"/>
        <v>8093028.3399999999</v>
      </c>
      <c r="L219" s="153">
        <v>2506465.5799999996</v>
      </c>
      <c r="M219" s="153">
        <v>-36766.71</v>
      </c>
      <c r="N219" s="154">
        <f t="shared" si="20"/>
        <v>10562727.209999999</v>
      </c>
      <c r="O219" s="155">
        <f t="shared" si="21"/>
        <v>-96770663.920000017</v>
      </c>
      <c r="S219" s="156" t="s">
        <v>366</v>
      </c>
    </row>
    <row r="220" spans="1:19" ht="15" x14ac:dyDescent="0.25">
      <c r="A220" s="160" t="s">
        <v>109</v>
      </c>
      <c r="B220" s="160">
        <v>2005</v>
      </c>
      <c r="C220" s="161" t="s">
        <v>150</v>
      </c>
      <c r="D220" s="152">
        <f t="shared" si="17"/>
        <v>1949864.7900000003</v>
      </c>
      <c r="E220" s="162">
        <v>0</v>
      </c>
      <c r="F220" s="162">
        <v>0</v>
      </c>
      <c r="G220" s="154">
        <f t="shared" si="19"/>
        <v>1949864.7900000003</v>
      </c>
      <c r="H220" s="154"/>
      <c r="I220" s="154">
        <v>0</v>
      </c>
      <c r="K220" s="152">
        <f t="shared" si="18"/>
        <v>-1222142.6600000001</v>
      </c>
      <c r="L220" s="153">
        <v>-216734.99</v>
      </c>
      <c r="M220" s="153">
        <v>0</v>
      </c>
      <c r="N220" s="154">
        <f t="shared" si="20"/>
        <v>-1438877.6500000001</v>
      </c>
      <c r="O220" s="155">
        <f t="shared" si="21"/>
        <v>510987.14000000013</v>
      </c>
      <c r="S220" s="156" t="s">
        <v>367</v>
      </c>
    </row>
    <row r="221" spans="1:19" x14ac:dyDescent="0.2">
      <c r="A221" s="160"/>
      <c r="B221" s="160"/>
      <c r="C221" s="164" t="s">
        <v>20</v>
      </c>
      <c r="D221" s="165">
        <f>SUM(D177:D220)</f>
        <v>514953376.26359993</v>
      </c>
      <c r="E221" s="165">
        <f>SUM(E177:E220)</f>
        <v>38521572.399999976</v>
      </c>
      <c r="F221" s="165">
        <f>SUM(F177:F220)</f>
        <v>-2236196.9700000002</v>
      </c>
      <c r="G221" s="165">
        <f>SUM(G177:G220)</f>
        <v>551238751.69359994</v>
      </c>
      <c r="H221" s="165"/>
      <c r="I221" s="166">
        <f>SUM(I177:I220)</f>
        <v>0</v>
      </c>
      <c r="J221" s="167"/>
      <c r="K221" s="165">
        <f>SUM(K177:K220)</f>
        <v>-132191019.94</v>
      </c>
      <c r="L221" s="165">
        <f>SUM(L177:L220)</f>
        <v>-20821914.050000001</v>
      </c>
      <c r="M221" s="165">
        <f>SUM(M177:M220)</f>
        <v>880681.77000000014</v>
      </c>
      <c r="N221" s="165">
        <f>SUM(N177:N220)</f>
        <v>-152132252.22000003</v>
      </c>
      <c r="O221" s="165">
        <f>SUM(O177:O220)</f>
        <v>399106499.47360003</v>
      </c>
    </row>
    <row r="222" spans="1:19" ht="25.5" x14ac:dyDescent="0.25">
      <c r="A222" s="160"/>
      <c r="B222" s="160"/>
      <c r="C222" s="168" t="s">
        <v>151</v>
      </c>
      <c r="D222" s="152">
        <f>G154</f>
        <v>-675735.92449999996</v>
      </c>
      <c r="E222" s="162"/>
      <c r="F222" s="162"/>
      <c r="G222" s="154">
        <f>D222+E222+F222</f>
        <v>-675735.92449999996</v>
      </c>
      <c r="H222" s="154"/>
      <c r="I222" s="154"/>
      <c r="K222" s="152">
        <f>N154</f>
        <v>211234.63419999997</v>
      </c>
      <c r="L222" s="178">
        <v>35751.937299999998</v>
      </c>
      <c r="M222" s="162"/>
      <c r="N222" s="154">
        <f>K222+L222+M222</f>
        <v>246986.57149999996</v>
      </c>
      <c r="O222" s="155">
        <f>G222+N222</f>
        <v>-428749.353</v>
      </c>
    </row>
    <row r="223" spans="1:19" ht="24.75" x14ac:dyDescent="0.25">
      <c r="A223" s="160"/>
      <c r="B223" s="160"/>
      <c r="C223" s="169" t="s">
        <v>152</v>
      </c>
      <c r="D223" s="152">
        <f>G155</f>
        <v>-1251765.4799999997</v>
      </c>
      <c r="E223" s="178">
        <f>-E218</f>
        <v>-0.43</v>
      </c>
      <c r="F223" s="178">
        <f>-F218</f>
        <v>0</v>
      </c>
      <c r="G223" s="154">
        <f>D223+E223+F223</f>
        <v>-1251765.9099999997</v>
      </c>
      <c r="H223" s="154"/>
      <c r="I223" s="154"/>
      <c r="K223" s="152">
        <f>N155</f>
        <v>411804.92</v>
      </c>
      <c r="L223" s="178">
        <f>-L218</f>
        <v>57868.360000000044</v>
      </c>
      <c r="M223" s="162"/>
      <c r="N223" s="154">
        <f>K223+L223+M223</f>
        <v>469673.28</v>
      </c>
      <c r="O223" s="155">
        <f>G223+N223</f>
        <v>-782092.62999999966</v>
      </c>
    </row>
    <row r="224" spans="1:19" x14ac:dyDescent="0.2">
      <c r="A224" s="160"/>
      <c r="B224" s="160"/>
      <c r="C224" s="164" t="s">
        <v>153</v>
      </c>
      <c r="D224" s="165">
        <f>SUM(D221:D223)</f>
        <v>513025874.85909992</v>
      </c>
      <c r="E224" s="165">
        <f>SUM(E221:E223)</f>
        <v>38521571.969999976</v>
      </c>
      <c r="F224" s="165">
        <f>SUM(F221:F223)</f>
        <v>-2236196.9700000002</v>
      </c>
      <c r="G224" s="165">
        <f>SUM(G221:G223)</f>
        <v>549311249.85909998</v>
      </c>
      <c r="H224" s="165"/>
      <c r="I224" s="165"/>
      <c r="J224" s="167"/>
      <c r="K224" s="165">
        <f>SUM(K221:K223)</f>
        <v>-131567980.38579999</v>
      </c>
      <c r="L224" s="165">
        <f>SUM(L221:L223)</f>
        <v>-20728293.752700001</v>
      </c>
      <c r="M224" s="165">
        <f>SUM(M221:M223)</f>
        <v>880681.77000000014</v>
      </c>
      <c r="N224" s="165">
        <f>SUM(N221:N223)</f>
        <v>-151415592.36850002</v>
      </c>
      <c r="O224" s="165">
        <f>SUM(O221:O223)</f>
        <v>397895657.49060005</v>
      </c>
    </row>
    <row r="225" spans="1:15" ht="15" x14ac:dyDescent="0.25">
      <c r="A225" s="160"/>
      <c r="B225" s="160"/>
      <c r="C225" s="170" t="s">
        <v>154</v>
      </c>
      <c r="D225" s="153">
        <f>G157</f>
        <v>37939641.799999997</v>
      </c>
      <c r="E225" s="153">
        <f>-70806.87+890882.58+14740.77+915956.5+390313.45-8310716.92</f>
        <v>-6169630.4900000002</v>
      </c>
      <c r="F225" s="153"/>
      <c r="G225" s="154">
        <f t="shared" ref="G225" si="22">D225+E225+F225</f>
        <v>31770011.309999995</v>
      </c>
      <c r="H225" s="154"/>
      <c r="I225" s="154">
        <v>0</v>
      </c>
      <c r="J225" s="158"/>
      <c r="N225" s="154">
        <f t="shared" ref="N225" si="23">K225+L225+M225</f>
        <v>0</v>
      </c>
      <c r="O225" s="155">
        <f t="shared" ref="O225" si="24">G225+N225</f>
        <v>31770011.309999995</v>
      </c>
    </row>
    <row r="226" spans="1:15" x14ac:dyDescent="0.2">
      <c r="A226" s="160"/>
      <c r="B226" s="160"/>
      <c r="C226" s="170" t="s">
        <v>155</v>
      </c>
      <c r="D226" s="165">
        <f>SUM(D224:D225)</f>
        <v>550965516.65909994</v>
      </c>
      <c r="E226" s="165">
        <f t="shared" ref="E226:O226" si="25">SUM(E224:E225)</f>
        <v>32351941.479999974</v>
      </c>
      <c r="F226" s="165">
        <f t="shared" si="25"/>
        <v>-2236196.9700000002</v>
      </c>
      <c r="G226" s="165">
        <f t="shared" si="25"/>
        <v>581081261.16909993</v>
      </c>
      <c r="H226" s="165"/>
      <c r="I226" s="165">
        <f t="shared" si="25"/>
        <v>0</v>
      </c>
      <c r="J226" s="165">
        <f t="shared" si="25"/>
        <v>0</v>
      </c>
      <c r="K226" s="165">
        <f t="shared" si="25"/>
        <v>-131567980.38579999</v>
      </c>
      <c r="L226" s="165">
        <f t="shared" si="25"/>
        <v>-20728293.752700001</v>
      </c>
      <c r="M226" s="165">
        <f t="shared" si="25"/>
        <v>880681.77000000014</v>
      </c>
      <c r="N226" s="165">
        <f t="shared" si="25"/>
        <v>-151415592.36850002</v>
      </c>
      <c r="O226" s="165">
        <f t="shared" si="25"/>
        <v>429665668.80060005</v>
      </c>
    </row>
    <row r="227" spans="1:15" ht="15" x14ac:dyDescent="0.25">
      <c r="A227" s="160"/>
      <c r="B227" s="160"/>
      <c r="C227" s="359" t="s">
        <v>156</v>
      </c>
      <c r="D227" s="360"/>
      <c r="E227" s="360"/>
      <c r="F227" s="360"/>
      <c r="G227" s="360"/>
      <c r="H227" s="360"/>
      <c r="I227" s="360"/>
      <c r="J227" s="360"/>
      <c r="K227" s="361"/>
      <c r="L227" s="162"/>
      <c r="N227" s="171"/>
      <c r="O227" s="172"/>
    </row>
    <row r="228" spans="1:15" ht="15" x14ac:dyDescent="0.25">
      <c r="A228" s="160"/>
      <c r="B228" s="160"/>
      <c r="C228" s="359" t="s">
        <v>43</v>
      </c>
      <c r="D228" s="360"/>
      <c r="E228" s="360"/>
      <c r="F228" s="360"/>
      <c r="G228" s="360"/>
      <c r="H228" s="360"/>
      <c r="I228" s="360"/>
      <c r="J228" s="360"/>
      <c r="K228" s="361"/>
      <c r="L228" s="165">
        <f>L226+L227</f>
        <v>-20728293.752700001</v>
      </c>
      <c r="N228" s="171"/>
      <c r="O228" s="172"/>
    </row>
    <row r="229" spans="1:15" ht="26.25" customHeight="1" x14ac:dyDescent="0.2">
      <c r="D229" s="355" t="s">
        <v>157</v>
      </c>
      <c r="E229" s="355"/>
      <c r="F229" s="355"/>
      <c r="G229" s="172">
        <f>AVERAGE(D224,G224)</f>
        <v>531168562.35909998</v>
      </c>
      <c r="H229" s="172"/>
      <c r="K229" s="124" t="s">
        <v>158</v>
      </c>
      <c r="N229" s="172">
        <f>AVERAGE(K224,N224)</f>
        <v>-141491786.37715</v>
      </c>
    </row>
    <row r="230" spans="1:15" x14ac:dyDescent="0.2">
      <c r="D230" s="124"/>
      <c r="G230" s="172"/>
      <c r="H230" s="172"/>
      <c r="K230" s="124" t="s">
        <v>159</v>
      </c>
      <c r="N230" s="172">
        <f>G229+N229</f>
        <v>389676775.98194999</v>
      </c>
    </row>
    <row r="231" spans="1:15" x14ac:dyDescent="0.2">
      <c r="K231" s="123" t="s">
        <v>160</v>
      </c>
    </row>
    <row r="232" spans="1:15" ht="15" x14ac:dyDescent="0.25">
      <c r="A232" s="160">
        <v>10</v>
      </c>
      <c r="B232" s="160"/>
      <c r="C232" s="173" t="str">
        <f>+K232</f>
        <v>Transportation</v>
      </c>
      <c r="D232" s="174"/>
      <c r="E232" s="174"/>
      <c r="F232" s="174"/>
      <c r="G232" s="174"/>
      <c r="H232" s="174"/>
      <c r="I232" s="174"/>
      <c r="J232" s="174"/>
      <c r="K232" s="174" t="s">
        <v>161</v>
      </c>
      <c r="L232" s="174"/>
      <c r="M232" s="175">
        <f>+L220+L204</f>
        <v>-1195130.9999999995</v>
      </c>
    </row>
    <row r="233" spans="1:15" ht="15" x14ac:dyDescent="0.25">
      <c r="A233" s="160">
        <v>47</v>
      </c>
      <c r="B233" s="160"/>
      <c r="C233" s="173" t="str">
        <f>+K233</f>
        <v>Deferred Revenue</v>
      </c>
      <c r="D233" s="174"/>
      <c r="E233" s="174"/>
      <c r="F233" s="174"/>
      <c r="G233" s="174"/>
      <c r="H233" s="174"/>
      <c r="I233" s="174"/>
      <c r="J233" s="174"/>
      <c r="K233" s="174" t="s">
        <v>166</v>
      </c>
      <c r="L233" s="174"/>
      <c r="M233" s="175">
        <f>-F219-M219</f>
        <v>-429497.69</v>
      </c>
      <c r="N233" s="172"/>
    </row>
    <row r="234" spans="1:15" ht="15" x14ac:dyDescent="0.25">
      <c r="A234" s="160"/>
      <c r="B234" s="160"/>
      <c r="C234" s="173" t="str">
        <f t="shared" ref="C234:C237" si="26">+K234</f>
        <v>Net Derecognition</v>
      </c>
      <c r="D234" s="174"/>
      <c r="E234" s="174"/>
      <c r="F234" s="174"/>
      <c r="G234" s="174"/>
      <c r="H234" s="174"/>
      <c r="I234" s="174"/>
      <c r="J234" s="174"/>
      <c r="K234" s="174" t="s">
        <v>162</v>
      </c>
      <c r="L234" s="174"/>
      <c r="M234" s="175">
        <f>-(+F221+M221-F219-M219)</f>
        <v>1785012.8900000001</v>
      </c>
    </row>
    <row r="235" spans="1:15" ht="15" x14ac:dyDescent="0.25">
      <c r="A235" s="160"/>
      <c r="B235" s="160"/>
      <c r="C235" s="173" t="str">
        <f t="shared" si="26"/>
        <v>Land Disposal</v>
      </c>
      <c r="D235" s="174"/>
      <c r="E235" s="174"/>
      <c r="F235" s="174"/>
      <c r="G235" s="174"/>
      <c r="H235" s="174"/>
      <c r="I235" s="174"/>
      <c r="J235" s="174"/>
      <c r="K235" s="174" t="s">
        <v>167</v>
      </c>
      <c r="L235" s="174"/>
      <c r="M235" s="175">
        <f>+F181</f>
        <v>-2376.5599999999977</v>
      </c>
    </row>
    <row r="236" spans="1:15" ht="15" x14ac:dyDescent="0.25">
      <c r="A236" s="160"/>
      <c r="B236" s="160"/>
      <c r="C236" s="173" t="str">
        <f t="shared" si="26"/>
        <v>Z factor in P&amp;L</v>
      </c>
      <c r="D236" s="174"/>
      <c r="E236" s="174"/>
      <c r="F236" s="174"/>
      <c r="G236" s="174"/>
      <c r="H236" s="174"/>
      <c r="I236" s="174"/>
      <c r="J236" s="174"/>
      <c r="K236" s="174" t="s">
        <v>168</v>
      </c>
      <c r="L236" s="174"/>
      <c r="M236" s="175">
        <v>57330.47</v>
      </c>
    </row>
    <row r="237" spans="1:15" ht="15" x14ac:dyDescent="0.25">
      <c r="A237" s="160"/>
      <c r="B237" s="160"/>
      <c r="C237" s="173" t="str">
        <f t="shared" si="26"/>
        <v>Non Rate-Regulated utility asset</v>
      </c>
      <c r="D237" s="174"/>
      <c r="E237" s="174"/>
      <c r="F237" s="174"/>
      <c r="G237" s="174"/>
      <c r="H237" s="174"/>
      <c r="I237" s="174"/>
      <c r="J237" s="174"/>
      <c r="K237" s="174" t="s">
        <v>163</v>
      </c>
      <c r="L237" s="174"/>
      <c r="M237" s="175">
        <f>+L222</f>
        <v>35751.937299999998</v>
      </c>
    </row>
    <row r="238" spans="1:15" x14ac:dyDescent="0.2">
      <c r="K238" s="353" t="s">
        <v>164</v>
      </c>
      <c r="L238" s="354"/>
      <c r="M238" s="177">
        <f>L228-M232-M234-M237-M236-M233-M235</f>
        <v>-20979383.800000001</v>
      </c>
    </row>
    <row r="240" spans="1:15" x14ac:dyDescent="0.2">
      <c r="M240" s="172"/>
    </row>
    <row r="242" spans="1:19" ht="15.75" thickBot="1" x14ac:dyDescent="0.25">
      <c r="E242" s="135" t="s">
        <v>94</v>
      </c>
      <c r="F242" s="136" t="s">
        <v>12</v>
      </c>
    </row>
    <row r="243" spans="1:19" ht="15.75" thickBot="1" x14ac:dyDescent="0.3">
      <c r="E243" s="135" t="s">
        <v>95</v>
      </c>
      <c r="F243" s="137">
        <v>2023</v>
      </c>
      <c r="G243" s="138"/>
      <c r="H243" s="138"/>
      <c r="I243" s="139" t="b">
        <f>IF(F243=2014,4,IF(F243=2015,5,IF(F243=2016,6,IF(F243=2017,7,IF(F243=2018,8,IF(F243=2019,9,IF(F243=2020,10)))))))</f>
        <v>0</v>
      </c>
    </row>
    <row r="245" spans="1:19" x14ac:dyDescent="0.2">
      <c r="D245" s="356" t="s">
        <v>96</v>
      </c>
      <c r="E245" s="357"/>
      <c r="F245" s="357"/>
      <c r="G245" s="357"/>
      <c r="H245" s="357"/>
      <c r="I245" s="358"/>
      <c r="K245" s="140"/>
      <c r="L245" s="141"/>
      <c r="M245" s="141" t="s">
        <v>97</v>
      </c>
      <c r="N245" s="141"/>
      <c r="O245" s="142"/>
    </row>
    <row r="246" spans="1:19" ht="46.5" customHeight="1" x14ac:dyDescent="0.2">
      <c r="A246" s="143" t="s">
        <v>98</v>
      </c>
      <c r="B246" s="143" t="s">
        <v>99</v>
      </c>
      <c r="C246" s="144" t="s">
        <v>100</v>
      </c>
      <c r="D246" s="143" t="s">
        <v>101</v>
      </c>
      <c r="E246" s="143" t="s">
        <v>169</v>
      </c>
      <c r="F246" s="145" t="s">
        <v>102</v>
      </c>
      <c r="G246" s="145" t="s">
        <v>103</v>
      </c>
      <c r="H246" s="143" t="s">
        <v>104</v>
      </c>
      <c r="I246" s="143" t="s">
        <v>105</v>
      </c>
      <c r="J246" s="146"/>
      <c r="K246" s="143" t="s">
        <v>101</v>
      </c>
      <c r="L246" s="143" t="s">
        <v>169</v>
      </c>
      <c r="M246" s="147" t="s">
        <v>106</v>
      </c>
      <c r="N246" s="147" t="s">
        <v>103</v>
      </c>
      <c r="O246" s="147" t="s">
        <v>104</v>
      </c>
      <c r="P246" s="143" t="s">
        <v>107</v>
      </c>
    </row>
    <row r="247" spans="1:19" ht="15" x14ac:dyDescent="0.25">
      <c r="A247" s="149">
        <v>14.1</v>
      </c>
      <c r="B247" s="150">
        <v>1609</v>
      </c>
      <c r="C247" s="151" t="s">
        <v>108</v>
      </c>
      <c r="D247" s="152">
        <f t="shared" ref="D247:D290" si="27">G177</f>
        <v>2134700</v>
      </c>
      <c r="E247" s="152"/>
      <c r="F247" s="153">
        <v>0</v>
      </c>
      <c r="G247" s="153"/>
      <c r="H247" s="154">
        <f>D247+E247+F247+G247</f>
        <v>2134700</v>
      </c>
      <c r="I247" s="154">
        <v>0</v>
      </c>
      <c r="J247" s="146"/>
      <c r="K247" s="152">
        <f t="shared" ref="K247:K290" si="28">N177</f>
        <v>-410934.25</v>
      </c>
      <c r="L247" s="152"/>
      <c r="M247" s="153">
        <v>-164103.93999999994</v>
      </c>
      <c r="N247" s="153">
        <v>0</v>
      </c>
      <c r="O247" s="154">
        <f>K247+L247+M247+N247</f>
        <v>-575038.18999999994</v>
      </c>
      <c r="P247" s="155">
        <f t="shared" ref="P247:P290" si="29">H247+O247</f>
        <v>1559661.81</v>
      </c>
      <c r="S247" s="156" t="s">
        <v>332</v>
      </c>
    </row>
    <row r="248" spans="1:19" ht="15" x14ac:dyDescent="0.25">
      <c r="A248" s="149" t="s">
        <v>109</v>
      </c>
      <c r="B248" s="150">
        <v>1610</v>
      </c>
      <c r="C248" s="151" t="s">
        <v>110</v>
      </c>
      <c r="D248" s="152">
        <f t="shared" si="27"/>
        <v>4250203.4800000004</v>
      </c>
      <c r="E248" s="152"/>
      <c r="F248" s="153">
        <v>310063.09999999963</v>
      </c>
      <c r="G248" s="153"/>
      <c r="H248" s="154">
        <f t="shared" ref="H248:H295" si="30">D248+E248+F248+G248</f>
        <v>4560266.58</v>
      </c>
      <c r="I248" s="154"/>
      <c r="J248" s="146"/>
      <c r="K248" s="152">
        <f t="shared" si="28"/>
        <v>-3355774.49</v>
      </c>
      <c r="L248" s="152"/>
      <c r="M248" s="153">
        <v>-350134.25999999978</v>
      </c>
      <c r="N248" s="153">
        <v>0</v>
      </c>
      <c r="O248" s="154">
        <f t="shared" ref="O248:O290" si="31">K248+L248+M248+N248</f>
        <v>-3705908.75</v>
      </c>
      <c r="P248" s="155">
        <f t="shared" si="29"/>
        <v>854357.83000000007</v>
      </c>
      <c r="S248" s="156"/>
    </row>
    <row r="249" spans="1:19" ht="15" x14ac:dyDescent="0.25">
      <c r="A249" s="150">
        <v>12</v>
      </c>
      <c r="B249" s="150">
        <v>1611</v>
      </c>
      <c r="C249" s="157" t="s">
        <v>111</v>
      </c>
      <c r="D249" s="152">
        <f t="shared" si="27"/>
        <v>18533579.560000002</v>
      </c>
      <c r="E249" s="152">
        <v>0</v>
      </c>
      <c r="F249" s="153">
        <v>1843017.0499999998</v>
      </c>
      <c r="G249" s="153">
        <v>0</v>
      </c>
      <c r="H249" s="154">
        <f t="shared" si="30"/>
        <v>20376596.610000003</v>
      </c>
      <c r="I249" s="154">
        <v>0</v>
      </c>
      <c r="J249" s="158"/>
      <c r="K249" s="152">
        <f t="shared" si="28"/>
        <v>-15080803.420000002</v>
      </c>
      <c r="L249" s="152">
        <v>0</v>
      </c>
      <c r="M249" s="153">
        <v>-1952593.5799999991</v>
      </c>
      <c r="N249" s="153">
        <v>0</v>
      </c>
      <c r="O249" s="154">
        <f t="shared" si="31"/>
        <v>-17033397</v>
      </c>
      <c r="P249" s="155">
        <f t="shared" si="29"/>
        <v>3343199.6100000031</v>
      </c>
      <c r="S249" s="156" t="s">
        <v>333</v>
      </c>
    </row>
    <row r="250" spans="1:19" ht="15" x14ac:dyDescent="0.25">
      <c r="A250" s="150">
        <v>14.1</v>
      </c>
      <c r="B250" s="150">
        <v>1612</v>
      </c>
      <c r="C250" s="151" t="s">
        <v>112</v>
      </c>
      <c r="D250" s="152">
        <f t="shared" si="27"/>
        <v>461198.61000000034</v>
      </c>
      <c r="E250" s="152"/>
      <c r="F250" s="153">
        <v>0</v>
      </c>
      <c r="G250" s="153">
        <v>0</v>
      </c>
      <c r="H250" s="154">
        <f t="shared" si="30"/>
        <v>461198.61000000034</v>
      </c>
      <c r="I250" s="154">
        <v>0</v>
      </c>
      <c r="J250" s="158"/>
      <c r="K250" s="152">
        <f t="shared" si="28"/>
        <v>-104017.74</v>
      </c>
      <c r="L250" s="152"/>
      <c r="M250" s="153">
        <v>-12301.75</v>
      </c>
      <c r="N250" s="153">
        <v>0</v>
      </c>
      <c r="O250" s="154">
        <f t="shared" si="31"/>
        <v>-116319.49</v>
      </c>
      <c r="P250" s="155">
        <f t="shared" si="29"/>
        <v>344879.12000000034</v>
      </c>
      <c r="S250" s="156" t="s">
        <v>334</v>
      </c>
    </row>
    <row r="251" spans="1:19" ht="15" x14ac:dyDescent="0.25">
      <c r="A251" s="150" t="s">
        <v>109</v>
      </c>
      <c r="B251" s="150">
        <v>1805</v>
      </c>
      <c r="C251" s="151" t="s">
        <v>113</v>
      </c>
      <c r="D251" s="152">
        <f t="shared" si="27"/>
        <v>994989.53</v>
      </c>
      <c r="E251" s="152"/>
      <c r="F251" s="153">
        <v>195630.35999999987</v>
      </c>
      <c r="G251" s="153">
        <v>0</v>
      </c>
      <c r="H251" s="154">
        <f t="shared" si="30"/>
        <v>1190619.8899999999</v>
      </c>
      <c r="I251" s="154">
        <v>0</v>
      </c>
      <c r="J251" s="158"/>
      <c r="K251" s="152">
        <f t="shared" si="28"/>
        <v>0</v>
      </c>
      <c r="L251" s="152"/>
      <c r="M251" s="153">
        <v>0</v>
      </c>
      <c r="N251" s="153">
        <v>0</v>
      </c>
      <c r="O251" s="154">
        <f t="shared" si="31"/>
        <v>0</v>
      </c>
      <c r="P251" s="155">
        <f t="shared" si="29"/>
        <v>1190619.8899999999</v>
      </c>
      <c r="S251" s="156" t="s">
        <v>335</v>
      </c>
    </row>
    <row r="252" spans="1:19" ht="15" x14ac:dyDescent="0.25">
      <c r="A252" s="150">
        <v>47</v>
      </c>
      <c r="B252" s="150">
        <v>1808</v>
      </c>
      <c r="C252" s="151" t="s">
        <v>114</v>
      </c>
      <c r="D252" s="152">
        <f t="shared" si="27"/>
        <v>1409044.04</v>
      </c>
      <c r="E252" s="152"/>
      <c r="F252" s="153">
        <v>0</v>
      </c>
      <c r="G252" s="153">
        <v>0</v>
      </c>
      <c r="H252" s="154">
        <f t="shared" si="30"/>
        <v>1409044.04</v>
      </c>
      <c r="I252" s="154">
        <v>0</v>
      </c>
      <c r="J252" s="158"/>
      <c r="K252" s="152">
        <f t="shared" si="28"/>
        <v>-1201890.0000000002</v>
      </c>
      <c r="L252" s="152"/>
      <c r="M252" s="153">
        <v>-9573.8200000000652</v>
      </c>
      <c r="N252" s="153">
        <v>0</v>
      </c>
      <c r="O252" s="154">
        <f t="shared" si="31"/>
        <v>-1211463.8200000003</v>
      </c>
      <c r="P252" s="155">
        <f t="shared" si="29"/>
        <v>197580.21999999974</v>
      </c>
      <c r="S252" s="156" t="s">
        <v>336</v>
      </c>
    </row>
    <row r="253" spans="1:19" ht="15" x14ac:dyDescent="0.25">
      <c r="A253" s="150"/>
      <c r="B253" s="150">
        <v>1810</v>
      </c>
      <c r="C253" s="151" t="s">
        <v>115</v>
      </c>
      <c r="D253" s="152">
        <f t="shared" si="27"/>
        <v>0</v>
      </c>
      <c r="E253" s="152"/>
      <c r="F253" s="153"/>
      <c r="G253" s="153"/>
      <c r="H253" s="154">
        <f t="shared" si="30"/>
        <v>0</v>
      </c>
      <c r="I253" s="154">
        <v>0</v>
      </c>
      <c r="J253" s="158"/>
      <c r="K253" s="152">
        <f t="shared" si="28"/>
        <v>0</v>
      </c>
      <c r="L253" s="152"/>
      <c r="M253" s="153"/>
      <c r="N253" s="153"/>
      <c r="O253" s="154">
        <f t="shared" si="31"/>
        <v>0</v>
      </c>
      <c r="P253" s="155">
        <f t="shared" si="29"/>
        <v>0</v>
      </c>
      <c r="S253" s="156" t="s">
        <v>337</v>
      </c>
    </row>
    <row r="254" spans="1:19" ht="15" x14ac:dyDescent="0.25">
      <c r="A254" s="150">
        <v>47</v>
      </c>
      <c r="B254" s="150">
        <v>1815</v>
      </c>
      <c r="C254" s="151" t="s">
        <v>116</v>
      </c>
      <c r="D254" s="152">
        <f t="shared" si="27"/>
        <v>225104.49999999997</v>
      </c>
      <c r="E254" s="152"/>
      <c r="F254" s="153">
        <v>0</v>
      </c>
      <c r="G254" s="153">
        <v>0</v>
      </c>
      <c r="H254" s="154">
        <f t="shared" si="30"/>
        <v>225104.49999999997</v>
      </c>
      <c r="I254" s="154">
        <v>0</v>
      </c>
      <c r="J254" s="158"/>
      <c r="K254" s="152">
        <f t="shared" si="28"/>
        <v>-54212.810000000005</v>
      </c>
      <c r="L254" s="152"/>
      <c r="M254" s="153">
        <v>-5533.64</v>
      </c>
      <c r="N254" s="153">
        <v>0</v>
      </c>
      <c r="O254" s="154">
        <f t="shared" si="31"/>
        <v>-59746.450000000004</v>
      </c>
      <c r="P254" s="155">
        <f t="shared" si="29"/>
        <v>165358.04999999996</v>
      </c>
      <c r="S254" s="156" t="s">
        <v>338</v>
      </c>
    </row>
    <row r="255" spans="1:19" ht="15" x14ac:dyDescent="0.25">
      <c r="A255" s="150">
        <v>47</v>
      </c>
      <c r="B255" s="150">
        <v>1820</v>
      </c>
      <c r="C255" s="151" t="s">
        <v>117</v>
      </c>
      <c r="D255" s="152">
        <f t="shared" si="27"/>
        <v>67704707.988100007</v>
      </c>
      <c r="E255" s="152">
        <v>99624.23</v>
      </c>
      <c r="F255" s="153">
        <f>4734693.83+338342.72</f>
        <v>5073036.55</v>
      </c>
      <c r="G255" s="153">
        <v>-42863.070000000007</v>
      </c>
      <c r="H255" s="154">
        <f t="shared" si="30"/>
        <v>72834505.698100016</v>
      </c>
      <c r="I255" s="154">
        <v>0</v>
      </c>
      <c r="J255" s="158"/>
      <c r="K255" s="152">
        <f t="shared" si="28"/>
        <v>-13477482.699999997</v>
      </c>
      <c r="L255" s="152">
        <v>-1254.68</v>
      </c>
      <c r="M255" s="153">
        <f>-2045079.28-9038.35</f>
        <v>-2054117.6300000001</v>
      </c>
      <c r="N255" s="153">
        <v>15476.029999999999</v>
      </c>
      <c r="O255" s="154">
        <f t="shared" si="31"/>
        <v>-15517378.979999999</v>
      </c>
      <c r="P255" s="155">
        <f t="shared" si="29"/>
        <v>57317126.718100019</v>
      </c>
      <c r="S255" s="156" t="s">
        <v>339</v>
      </c>
    </row>
    <row r="256" spans="1:19" ht="15" x14ac:dyDescent="0.25">
      <c r="A256" s="150"/>
      <c r="B256" s="150">
        <v>1825</v>
      </c>
      <c r="C256" s="151" t="s">
        <v>118</v>
      </c>
      <c r="D256" s="152">
        <f t="shared" si="27"/>
        <v>0</v>
      </c>
      <c r="E256" s="152"/>
      <c r="F256" s="153"/>
      <c r="G256" s="153"/>
      <c r="H256" s="154">
        <f t="shared" si="30"/>
        <v>0</v>
      </c>
      <c r="I256" s="154">
        <v>0</v>
      </c>
      <c r="J256" s="158"/>
      <c r="K256" s="152">
        <f t="shared" si="28"/>
        <v>0</v>
      </c>
      <c r="L256" s="152"/>
      <c r="M256" s="153"/>
      <c r="N256" s="153"/>
      <c r="O256" s="154">
        <f t="shared" si="31"/>
        <v>0</v>
      </c>
      <c r="P256" s="155">
        <f t="shared" si="29"/>
        <v>0</v>
      </c>
      <c r="S256" s="156" t="s">
        <v>340</v>
      </c>
    </row>
    <row r="257" spans="1:19" ht="15" x14ac:dyDescent="0.25">
      <c r="A257" s="150">
        <v>47</v>
      </c>
      <c r="B257" s="150">
        <v>1830</v>
      </c>
      <c r="C257" s="151" t="s">
        <v>119</v>
      </c>
      <c r="D257" s="152">
        <f t="shared" si="27"/>
        <v>111132443.2</v>
      </c>
      <c r="E257" s="152">
        <v>2775710.43</v>
      </c>
      <c r="F257" s="153">
        <f>12059155.34-80559.72</f>
        <v>11978595.619999999</v>
      </c>
      <c r="G257" s="153">
        <v>-211340.31000000006</v>
      </c>
      <c r="H257" s="154">
        <f t="shared" si="30"/>
        <v>125675408.94000001</v>
      </c>
      <c r="I257" s="154">
        <v>0</v>
      </c>
      <c r="J257" s="158"/>
      <c r="K257" s="152">
        <f t="shared" si="28"/>
        <v>-17179060.130000003</v>
      </c>
      <c r="L257" s="152">
        <v>-34957.589999999997</v>
      </c>
      <c r="M257" s="153">
        <f>-3080907.33-67167.08</f>
        <v>-3148074.41</v>
      </c>
      <c r="N257" s="153">
        <v>55700.59</v>
      </c>
      <c r="O257" s="154">
        <f t="shared" si="31"/>
        <v>-20306391.540000003</v>
      </c>
      <c r="P257" s="155">
        <f t="shared" si="29"/>
        <v>105369017.40000001</v>
      </c>
      <c r="S257" s="156" t="s">
        <v>341</v>
      </c>
    </row>
    <row r="258" spans="1:19" ht="15" x14ac:dyDescent="0.25">
      <c r="A258" s="150">
        <v>47</v>
      </c>
      <c r="B258" s="150">
        <v>1835</v>
      </c>
      <c r="C258" s="151" t="s">
        <v>120</v>
      </c>
      <c r="D258" s="152">
        <f t="shared" si="27"/>
        <v>78808439.077499986</v>
      </c>
      <c r="E258" s="152">
        <v>287347.83</v>
      </c>
      <c r="F258" s="153">
        <f>4647411.1+302051.59</f>
        <v>4949462.6899999995</v>
      </c>
      <c r="G258" s="153">
        <v>-394168.87999999995</v>
      </c>
      <c r="H258" s="154">
        <f t="shared" si="30"/>
        <v>83651080.717499986</v>
      </c>
      <c r="I258" s="154">
        <v>0</v>
      </c>
      <c r="J258" s="158"/>
      <c r="K258" s="152">
        <f t="shared" si="28"/>
        <v>-13499951.950000001</v>
      </c>
      <c r="L258" s="152">
        <v>-3278.1000000000004</v>
      </c>
      <c r="M258" s="153">
        <f>-2055830.1-12906.76</f>
        <v>-2068736.86</v>
      </c>
      <c r="N258" s="153">
        <v>276575.64</v>
      </c>
      <c r="O258" s="154">
        <f t="shared" si="31"/>
        <v>-15295391.27</v>
      </c>
      <c r="P258" s="155">
        <f t="shared" si="29"/>
        <v>68355689.44749999</v>
      </c>
      <c r="S258" s="156" t="s">
        <v>342</v>
      </c>
    </row>
    <row r="259" spans="1:19" ht="15" x14ac:dyDescent="0.25">
      <c r="A259" s="150">
        <v>47</v>
      </c>
      <c r="B259" s="150">
        <v>1840</v>
      </c>
      <c r="C259" s="151" t="s">
        <v>121</v>
      </c>
      <c r="D259" s="152">
        <f t="shared" si="27"/>
        <v>57373454.613300003</v>
      </c>
      <c r="E259" s="152"/>
      <c r="F259" s="153">
        <v>6281379.5700000003</v>
      </c>
      <c r="G259" s="153">
        <v>-322232.00000000006</v>
      </c>
      <c r="H259" s="154">
        <f t="shared" si="30"/>
        <v>63332602.183300003</v>
      </c>
      <c r="I259" s="154">
        <v>0</v>
      </c>
      <c r="J259" s="158"/>
      <c r="K259" s="152">
        <f t="shared" si="28"/>
        <v>-6849621.9999999991</v>
      </c>
      <c r="L259" s="152"/>
      <c r="M259" s="153">
        <v>-1075875.8</v>
      </c>
      <c r="N259" s="153">
        <v>65613.600000000006</v>
      </c>
      <c r="O259" s="154">
        <f t="shared" si="31"/>
        <v>-7859884.1999999993</v>
      </c>
      <c r="P259" s="155">
        <f t="shared" si="29"/>
        <v>55472717.9833</v>
      </c>
      <c r="S259" s="156" t="s">
        <v>343</v>
      </c>
    </row>
    <row r="260" spans="1:19" ht="15" x14ac:dyDescent="0.25">
      <c r="A260" s="150">
        <v>47</v>
      </c>
      <c r="B260" s="150">
        <v>1845</v>
      </c>
      <c r="C260" s="151" t="s">
        <v>122</v>
      </c>
      <c r="D260" s="152">
        <f t="shared" si="27"/>
        <v>91780843.559899986</v>
      </c>
      <c r="E260" s="152">
        <v>382185.88</v>
      </c>
      <c r="F260" s="153">
        <f>8564610.96-307510.95</f>
        <v>8257100.0100000007</v>
      </c>
      <c r="G260" s="153">
        <v>-626812.26000000013</v>
      </c>
      <c r="H260" s="154">
        <f t="shared" si="30"/>
        <v>99793317.189899981</v>
      </c>
      <c r="I260" s="154">
        <v>0</v>
      </c>
      <c r="J260" s="158"/>
      <c r="K260" s="152">
        <f t="shared" si="28"/>
        <v>-14262889.75</v>
      </c>
      <c r="L260" s="152">
        <v>-7475.76</v>
      </c>
      <c r="M260" s="153">
        <f>-2676085.6+5415.79</f>
        <v>-2670669.81</v>
      </c>
      <c r="N260" s="153">
        <v>201078.74</v>
      </c>
      <c r="O260" s="154">
        <f t="shared" si="31"/>
        <v>-16739956.58</v>
      </c>
      <c r="P260" s="155">
        <f t="shared" si="29"/>
        <v>83053360.609899983</v>
      </c>
      <c r="S260" s="156" t="s">
        <v>344</v>
      </c>
    </row>
    <row r="261" spans="1:19" ht="15" x14ac:dyDescent="0.25">
      <c r="A261" s="150">
        <v>47</v>
      </c>
      <c r="B261" s="150">
        <v>1850</v>
      </c>
      <c r="C261" s="151" t="s">
        <v>123</v>
      </c>
      <c r="D261" s="152">
        <f t="shared" si="27"/>
        <v>71142756.577400014</v>
      </c>
      <c r="E261" s="152">
        <v>595462.92999999993</v>
      </c>
      <c r="F261" s="153">
        <f>6782469.99-49754.78</f>
        <v>6732715.21</v>
      </c>
      <c r="G261" s="153">
        <v>-362518.76999999984</v>
      </c>
      <c r="H261" s="154">
        <f t="shared" si="30"/>
        <v>78108415.947400019</v>
      </c>
      <c r="I261" s="154">
        <v>0</v>
      </c>
      <c r="J261" s="158"/>
      <c r="K261" s="152">
        <f t="shared" si="28"/>
        <v>-16029307.319999997</v>
      </c>
      <c r="L261" s="152">
        <v>-7990.76</v>
      </c>
      <c r="M261" s="153">
        <f>-2645001.91-14215.11</f>
        <v>-2659217.02</v>
      </c>
      <c r="N261" s="153">
        <v>121401.71999999999</v>
      </c>
      <c r="O261" s="154">
        <f t="shared" si="31"/>
        <v>-18575113.379999999</v>
      </c>
      <c r="P261" s="155">
        <f t="shared" si="29"/>
        <v>59533302.567400023</v>
      </c>
      <c r="S261" s="156" t="s">
        <v>345</v>
      </c>
    </row>
    <row r="262" spans="1:19" ht="15" x14ac:dyDescent="0.25">
      <c r="A262" s="150">
        <v>47</v>
      </c>
      <c r="B262" s="150">
        <v>1855</v>
      </c>
      <c r="C262" s="151" t="s">
        <v>124</v>
      </c>
      <c r="D262" s="152">
        <f t="shared" si="27"/>
        <v>49208047.159400001</v>
      </c>
      <c r="E262" s="152">
        <v>83084.929999999993</v>
      </c>
      <c r="F262" s="153">
        <f>4238755.89-2920.89</f>
        <v>4235835</v>
      </c>
      <c r="G262" s="153">
        <v>0</v>
      </c>
      <c r="H262" s="154">
        <f t="shared" si="30"/>
        <v>53526967.089400001</v>
      </c>
      <c r="I262" s="154">
        <v>0</v>
      </c>
      <c r="J262" s="158"/>
      <c r="K262" s="152">
        <f t="shared" si="28"/>
        <v>-8727510.7699999996</v>
      </c>
      <c r="L262" s="152">
        <v>-837.07</v>
      </c>
      <c r="M262" s="153">
        <f>-1279527.1-1601.56</f>
        <v>-1281128.6600000001</v>
      </c>
      <c r="N262" s="153">
        <v>0</v>
      </c>
      <c r="O262" s="154">
        <f t="shared" si="31"/>
        <v>-10009476.5</v>
      </c>
      <c r="P262" s="155">
        <f t="shared" si="29"/>
        <v>43517490.589400001</v>
      </c>
      <c r="S262" s="156" t="s">
        <v>346</v>
      </c>
    </row>
    <row r="263" spans="1:19" ht="15" x14ac:dyDescent="0.25">
      <c r="A263" s="150">
        <v>47</v>
      </c>
      <c r="B263" s="150">
        <v>1860</v>
      </c>
      <c r="C263" s="151" t="s">
        <v>125</v>
      </c>
      <c r="D263" s="152">
        <f t="shared" si="27"/>
        <v>2790529.22</v>
      </c>
      <c r="E263" s="152"/>
      <c r="F263" s="153">
        <v>209471.89999999994</v>
      </c>
      <c r="G263" s="153">
        <v>-308.70999999999185</v>
      </c>
      <c r="H263" s="154">
        <f t="shared" si="30"/>
        <v>2999692.41</v>
      </c>
      <c r="I263" s="154">
        <v>0</v>
      </c>
      <c r="J263" s="158"/>
      <c r="K263" s="152">
        <f t="shared" si="28"/>
        <v>-746696.10999999987</v>
      </c>
      <c r="L263" s="152">
        <v>0</v>
      </c>
      <c r="M263" s="153">
        <v>-123221.77999999994</v>
      </c>
      <c r="N263" s="153">
        <v>131.22000000000116</v>
      </c>
      <c r="O263" s="154">
        <f t="shared" si="31"/>
        <v>-869786.66999999981</v>
      </c>
      <c r="P263" s="155">
        <f t="shared" si="29"/>
        <v>2129905.7400000002</v>
      </c>
      <c r="S263" s="156" t="s">
        <v>347</v>
      </c>
    </row>
    <row r="264" spans="1:19" ht="15" x14ac:dyDescent="0.25">
      <c r="A264" s="150">
        <v>47</v>
      </c>
      <c r="B264" s="150">
        <v>1860</v>
      </c>
      <c r="C264" s="151" t="s">
        <v>126</v>
      </c>
      <c r="D264" s="152">
        <f t="shared" si="27"/>
        <v>23916091.478999998</v>
      </c>
      <c r="E264" s="152"/>
      <c r="F264" s="153">
        <v>1393688.5199999993</v>
      </c>
      <c r="G264" s="153">
        <v>-40191.030000000028</v>
      </c>
      <c r="H264" s="154">
        <f t="shared" si="30"/>
        <v>25269588.968999997</v>
      </c>
      <c r="I264" s="154">
        <v>0</v>
      </c>
      <c r="J264" s="158"/>
      <c r="K264" s="152">
        <f t="shared" si="28"/>
        <v>-15684345.060000002</v>
      </c>
      <c r="L264" s="152">
        <v>0</v>
      </c>
      <c r="M264" s="153">
        <v>-1943852.1599999995</v>
      </c>
      <c r="N264" s="153">
        <v>39003.53</v>
      </c>
      <c r="O264" s="154">
        <f t="shared" si="31"/>
        <v>-17589193.690000001</v>
      </c>
      <c r="P264" s="155">
        <f t="shared" si="29"/>
        <v>7680395.2789999954</v>
      </c>
      <c r="S264" s="156" t="s">
        <v>347</v>
      </c>
    </row>
    <row r="265" spans="1:19" ht="15" x14ac:dyDescent="0.25">
      <c r="A265" s="150">
        <v>47</v>
      </c>
      <c r="B265" s="150">
        <v>1865</v>
      </c>
      <c r="C265" s="151" t="s">
        <v>127</v>
      </c>
      <c r="D265" s="152">
        <f t="shared" si="27"/>
        <v>81548.159999999989</v>
      </c>
      <c r="E265" s="152"/>
      <c r="F265" s="153">
        <v>0</v>
      </c>
      <c r="G265" s="153">
        <v>0</v>
      </c>
      <c r="H265" s="154">
        <f t="shared" si="30"/>
        <v>81548.159999999989</v>
      </c>
      <c r="I265" s="154">
        <v>0</v>
      </c>
      <c r="J265" s="158"/>
      <c r="K265" s="152">
        <f t="shared" si="28"/>
        <v>-81548.160000000003</v>
      </c>
      <c r="L265" s="152"/>
      <c r="M265" s="153">
        <v>0</v>
      </c>
      <c r="N265" s="153">
        <v>0</v>
      </c>
      <c r="O265" s="154">
        <f t="shared" si="31"/>
        <v>-81548.160000000003</v>
      </c>
      <c r="P265" s="155">
        <f t="shared" si="29"/>
        <v>0</v>
      </c>
      <c r="S265" s="156"/>
    </row>
    <row r="266" spans="1:19" ht="15" x14ac:dyDescent="0.25">
      <c r="A266" s="150" t="s">
        <v>109</v>
      </c>
      <c r="B266" s="150">
        <v>1905</v>
      </c>
      <c r="C266" s="151" t="s">
        <v>113</v>
      </c>
      <c r="D266" s="152">
        <f t="shared" si="27"/>
        <v>1195031.2999999998</v>
      </c>
      <c r="E266" s="152"/>
      <c r="F266" s="153">
        <v>0</v>
      </c>
      <c r="G266" s="153">
        <v>0</v>
      </c>
      <c r="H266" s="154">
        <f t="shared" si="30"/>
        <v>1195031.2999999998</v>
      </c>
      <c r="I266" s="154">
        <v>0</v>
      </c>
      <c r="J266" s="158"/>
      <c r="K266" s="152">
        <f t="shared" si="28"/>
        <v>0</v>
      </c>
      <c r="L266" s="152"/>
      <c r="M266" s="153"/>
      <c r="N266" s="153">
        <v>0</v>
      </c>
      <c r="O266" s="154">
        <f t="shared" si="31"/>
        <v>0</v>
      </c>
      <c r="P266" s="155">
        <f t="shared" si="29"/>
        <v>1195031.2999999998</v>
      </c>
      <c r="S266" s="156" t="s">
        <v>348</v>
      </c>
    </row>
    <row r="267" spans="1:19" ht="15" x14ac:dyDescent="0.25">
      <c r="A267" s="150">
        <v>1</v>
      </c>
      <c r="B267" s="150">
        <v>1908</v>
      </c>
      <c r="C267" s="151" t="s">
        <v>128</v>
      </c>
      <c r="D267" s="152">
        <f t="shared" si="27"/>
        <v>30041391.439999998</v>
      </c>
      <c r="E267" s="152"/>
      <c r="F267" s="153">
        <v>1290285.3000000021</v>
      </c>
      <c r="G267" s="153">
        <v>0</v>
      </c>
      <c r="H267" s="154">
        <f t="shared" si="30"/>
        <v>31331676.739999998</v>
      </c>
      <c r="I267" s="154">
        <v>0</v>
      </c>
      <c r="J267" s="158"/>
      <c r="K267" s="152">
        <f t="shared" si="28"/>
        <v>-11277004.26</v>
      </c>
      <c r="L267" s="152"/>
      <c r="M267" s="153">
        <v>-1331191.7999999996</v>
      </c>
      <c r="N267" s="153">
        <v>0</v>
      </c>
      <c r="O267" s="154">
        <f t="shared" si="31"/>
        <v>-12608196.059999999</v>
      </c>
      <c r="P267" s="155">
        <f t="shared" si="29"/>
        <v>18723480.68</v>
      </c>
      <c r="S267" s="156" t="s">
        <v>349</v>
      </c>
    </row>
    <row r="268" spans="1:19" ht="15" x14ac:dyDescent="0.25">
      <c r="A268" s="150"/>
      <c r="B268" s="150">
        <v>1910</v>
      </c>
      <c r="C268" s="151" t="s">
        <v>115</v>
      </c>
      <c r="D268" s="152">
        <f t="shared" si="27"/>
        <v>0</v>
      </c>
      <c r="E268" s="152"/>
      <c r="F268" s="153"/>
      <c r="G268" s="153"/>
      <c r="H268" s="154">
        <f t="shared" si="30"/>
        <v>0</v>
      </c>
      <c r="I268" s="154">
        <v>0</v>
      </c>
      <c r="J268" s="158"/>
      <c r="K268" s="152">
        <f t="shared" si="28"/>
        <v>0</v>
      </c>
      <c r="L268" s="152"/>
      <c r="M268" s="153"/>
      <c r="N268" s="153"/>
      <c r="O268" s="154">
        <f t="shared" si="31"/>
        <v>0</v>
      </c>
      <c r="P268" s="155">
        <f t="shared" si="29"/>
        <v>0</v>
      </c>
      <c r="S268" s="156" t="s">
        <v>350</v>
      </c>
    </row>
    <row r="269" spans="1:19" ht="15" x14ac:dyDescent="0.25">
      <c r="A269" s="150">
        <v>8</v>
      </c>
      <c r="B269" s="150">
        <v>1915</v>
      </c>
      <c r="C269" s="151" t="s">
        <v>129</v>
      </c>
      <c r="D269" s="152">
        <f t="shared" si="27"/>
        <v>2495299.6799999997</v>
      </c>
      <c r="E269" s="152"/>
      <c r="F269" s="153">
        <v>68714.520000000019</v>
      </c>
      <c r="G269" s="153">
        <v>0</v>
      </c>
      <c r="H269" s="154">
        <f t="shared" si="30"/>
        <v>2564014.1999999997</v>
      </c>
      <c r="I269" s="154">
        <v>0</v>
      </c>
      <c r="J269" s="158"/>
      <c r="K269" s="152">
        <f t="shared" si="28"/>
        <v>-1832878</v>
      </c>
      <c r="L269" s="152"/>
      <c r="M269" s="153">
        <v>-127361.62000000011</v>
      </c>
      <c r="N269" s="153">
        <v>0</v>
      </c>
      <c r="O269" s="154">
        <f t="shared" si="31"/>
        <v>-1960239.62</v>
      </c>
      <c r="P269" s="155">
        <f t="shared" si="29"/>
        <v>603774.57999999961</v>
      </c>
      <c r="S269" s="156" t="s">
        <v>351</v>
      </c>
    </row>
    <row r="270" spans="1:19" ht="15" x14ac:dyDescent="0.25">
      <c r="A270" s="150"/>
      <c r="B270" s="150">
        <v>1915</v>
      </c>
      <c r="C270" s="151" t="s">
        <v>130</v>
      </c>
      <c r="D270" s="152">
        <f t="shared" si="27"/>
        <v>0</v>
      </c>
      <c r="E270" s="152"/>
      <c r="F270" s="153"/>
      <c r="G270" s="153"/>
      <c r="H270" s="154">
        <f t="shared" si="30"/>
        <v>0</v>
      </c>
      <c r="I270" s="154">
        <v>0</v>
      </c>
      <c r="J270" s="158"/>
      <c r="K270" s="152">
        <f t="shared" si="28"/>
        <v>0</v>
      </c>
      <c r="L270" s="152"/>
      <c r="M270" s="153"/>
      <c r="N270" s="153"/>
      <c r="O270" s="154">
        <f t="shared" si="31"/>
        <v>0</v>
      </c>
      <c r="P270" s="155">
        <f t="shared" si="29"/>
        <v>0</v>
      </c>
      <c r="S270" s="156" t="s">
        <v>351</v>
      </c>
    </row>
    <row r="271" spans="1:19" ht="15" x14ac:dyDescent="0.25">
      <c r="A271" s="150">
        <v>50</v>
      </c>
      <c r="B271" s="150">
        <v>1920</v>
      </c>
      <c r="C271" s="151" t="s">
        <v>131</v>
      </c>
      <c r="D271" s="152">
        <f t="shared" si="27"/>
        <v>10606198.010000002</v>
      </c>
      <c r="E271" s="152"/>
      <c r="F271" s="153">
        <v>1529499.6799999992</v>
      </c>
      <c r="G271" s="153">
        <v>0</v>
      </c>
      <c r="H271" s="154">
        <f t="shared" si="30"/>
        <v>12135697.690000001</v>
      </c>
      <c r="I271" s="154">
        <v>0</v>
      </c>
      <c r="J271" s="158"/>
      <c r="K271" s="152">
        <f t="shared" si="28"/>
        <v>-6169392.3700000001</v>
      </c>
      <c r="L271" s="152">
        <v>0</v>
      </c>
      <c r="M271" s="153">
        <v>-1544745.5899999996</v>
      </c>
      <c r="N271" s="153">
        <v>0</v>
      </c>
      <c r="O271" s="154">
        <f t="shared" si="31"/>
        <v>-7714137.96</v>
      </c>
      <c r="P271" s="155">
        <f t="shared" si="29"/>
        <v>4421559.7300000014</v>
      </c>
      <c r="S271" s="156" t="s">
        <v>352</v>
      </c>
    </row>
    <row r="272" spans="1:19" ht="15" x14ac:dyDescent="0.25">
      <c r="A272" s="150"/>
      <c r="B272" s="150">
        <v>1920</v>
      </c>
      <c r="C272" s="151" t="s">
        <v>132</v>
      </c>
      <c r="D272" s="152">
        <f t="shared" si="27"/>
        <v>0</v>
      </c>
      <c r="E272" s="152"/>
      <c r="F272" s="153"/>
      <c r="G272" s="153"/>
      <c r="H272" s="154">
        <f t="shared" si="30"/>
        <v>0</v>
      </c>
      <c r="I272" s="154">
        <v>0</v>
      </c>
      <c r="J272" s="158"/>
      <c r="K272" s="152">
        <f t="shared" si="28"/>
        <v>0</v>
      </c>
      <c r="L272" s="152"/>
      <c r="M272" s="153"/>
      <c r="N272" s="153"/>
      <c r="O272" s="154">
        <f t="shared" si="31"/>
        <v>0</v>
      </c>
      <c r="P272" s="155">
        <f t="shared" si="29"/>
        <v>0</v>
      </c>
      <c r="S272" s="156" t="s">
        <v>352</v>
      </c>
    </row>
    <row r="273" spans="1:19" ht="15" x14ac:dyDescent="0.25">
      <c r="A273" s="150"/>
      <c r="B273" s="150">
        <v>1920</v>
      </c>
      <c r="C273" s="151" t="s">
        <v>133</v>
      </c>
      <c r="D273" s="152">
        <f t="shared" si="27"/>
        <v>0</v>
      </c>
      <c r="E273" s="152"/>
      <c r="F273" s="153"/>
      <c r="G273" s="153"/>
      <c r="H273" s="154">
        <f t="shared" si="30"/>
        <v>0</v>
      </c>
      <c r="I273" s="154">
        <v>0</v>
      </c>
      <c r="J273" s="158"/>
      <c r="K273" s="152">
        <f t="shared" si="28"/>
        <v>0</v>
      </c>
      <c r="L273" s="152"/>
      <c r="M273" s="153"/>
      <c r="N273" s="153"/>
      <c r="O273" s="154">
        <f t="shared" si="31"/>
        <v>0</v>
      </c>
      <c r="P273" s="155">
        <f t="shared" si="29"/>
        <v>0</v>
      </c>
      <c r="S273" s="156" t="s">
        <v>352</v>
      </c>
    </row>
    <row r="274" spans="1:19" ht="15" x14ac:dyDescent="0.25">
      <c r="A274" s="150">
        <v>10</v>
      </c>
      <c r="B274" s="150">
        <v>1930</v>
      </c>
      <c r="C274" s="151" t="s">
        <v>134</v>
      </c>
      <c r="D274" s="152">
        <f t="shared" si="27"/>
        <v>13783168.880000001</v>
      </c>
      <c r="E274" s="152"/>
      <c r="F274" s="153">
        <v>1656251.7099999995</v>
      </c>
      <c r="G274" s="153">
        <v>-116172.42000000001</v>
      </c>
      <c r="H274" s="154">
        <f t="shared" si="30"/>
        <v>15323248.17</v>
      </c>
      <c r="I274" s="154">
        <v>0</v>
      </c>
      <c r="J274" s="158"/>
      <c r="K274" s="152">
        <f t="shared" si="28"/>
        <v>-6355497.4000000004</v>
      </c>
      <c r="L274" s="152"/>
      <c r="M274" s="153">
        <v>-1068258.3499999999</v>
      </c>
      <c r="N274" s="153">
        <v>80438.799999999988</v>
      </c>
      <c r="O274" s="154">
        <f t="shared" si="31"/>
        <v>-7343316.9500000002</v>
      </c>
      <c r="P274" s="155">
        <f t="shared" si="29"/>
        <v>7979931.2199999997</v>
      </c>
      <c r="S274" s="156" t="s">
        <v>353</v>
      </c>
    </row>
    <row r="275" spans="1:19" ht="15" x14ac:dyDescent="0.25">
      <c r="A275" s="150">
        <v>8</v>
      </c>
      <c r="B275" s="150">
        <v>1935</v>
      </c>
      <c r="C275" s="151" t="s">
        <v>135</v>
      </c>
      <c r="D275" s="152">
        <f t="shared" si="27"/>
        <v>108757.92</v>
      </c>
      <c r="E275" s="152"/>
      <c r="F275" s="153">
        <v>0</v>
      </c>
      <c r="G275" s="153">
        <v>0</v>
      </c>
      <c r="H275" s="154">
        <f t="shared" si="30"/>
        <v>108757.92</v>
      </c>
      <c r="I275" s="154">
        <v>0</v>
      </c>
      <c r="J275" s="158"/>
      <c r="K275" s="152">
        <f t="shared" si="28"/>
        <v>-69619.290000000008</v>
      </c>
      <c r="L275" s="152"/>
      <c r="M275" s="153">
        <v>-11186.840000000011</v>
      </c>
      <c r="N275" s="153">
        <v>0</v>
      </c>
      <c r="O275" s="154">
        <f t="shared" si="31"/>
        <v>-80806.130000000019</v>
      </c>
      <c r="P275" s="155">
        <f t="shared" si="29"/>
        <v>27951.789999999979</v>
      </c>
      <c r="S275" s="156" t="s">
        <v>354</v>
      </c>
    </row>
    <row r="276" spans="1:19" ht="15" x14ac:dyDescent="0.25">
      <c r="A276" s="150">
        <v>8</v>
      </c>
      <c r="B276" s="150">
        <v>1940</v>
      </c>
      <c r="C276" s="151" t="s">
        <v>136</v>
      </c>
      <c r="D276" s="152">
        <f t="shared" si="27"/>
        <v>3198959.48</v>
      </c>
      <c r="E276" s="152"/>
      <c r="F276" s="153">
        <v>416236.54000000004</v>
      </c>
      <c r="G276" s="153">
        <v>0</v>
      </c>
      <c r="H276" s="154">
        <f t="shared" si="30"/>
        <v>3615196.02</v>
      </c>
      <c r="I276" s="154">
        <v>0</v>
      </c>
      <c r="J276" s="158"/>
      <c r="K276" s="152">
        <f t="shared" si="28"/>
        <v>-1797395.6899999997</v>
      </c>
      <c r="L276" s="152"/>
      <c r="M276" s="153">
        <v>-277632.29000000004</v>
      </c>
      <c r="N276" s="153">
        <v>0</v>
      </c>
      <c r="O276" s="154">
        <f t="shared" si="31"/>
        <v>-2075027.9799999997</v>
      </c>
      <c r="P276" s="155">
        <f t="shared" si="29"/>
        <v>1540168.0400000003</v>
      </c>
      <c r="S276" s="156" t="s">
        <v>355</v>
      </c>
    </row>
    <row r="277" spans="1:19" ht="15" x14ac:dyDescent="0.25">
      <c r="A277" s="150">
        <v>8</v>
      </c>
      <c r="B277" s="150">
        <v>1945</v>
      </c>
      <c r="C277" s="151" t="s">
        <v>137</v>
      </c>
      <c r="D277" s="152">
        <f t="shared" si="27"/>
        <v>185377.4</v>
      </c>
      <c r="E277" s="152"/>
      <c r="F277" s="153">
        <v>0</v>
      </c>
      <c r="G277" s="153">
        <v>0</v>
      </c>
      <c r="H277" s="154">
        <f t="shared" si="30"/>
        <v>185377.4</v>
      </c>
      <c r="I277" s="154">
        <v>0</v>
      </c>
      <c r="J277" s="158"/>
      <c r="K277" s="152">
        <f t="shared" si="28"/>
        <v>-148261.24</v>
      </c>
      <c r="L277" s="152"/>
      <c r="M277" s="153">
        <v>-14135.100000000006</v>
      </c>
      <c r="N277" s="153">
        <v>0</v>
      </c>
      <c r="O277" s="154">
        <f t="shared" si="31"/>
        <v>-162396.34</v>
      </c>
      <c r="P277" s="155">
        <f t="shared" si="29"/>
        <v>22981.059999999998</v>
      </c>
      <c r="S277" s="156" t="s">
        <v>356</v>
      </c>
    </row>
    <row r="278" spans="1:19" ht="15" x14ac:dyDescent="0.25">
      <c r="A278" s="150"/>
      <c r="B278" s="150">
        <v>1950</v>
      </c>
      <c r="C278" s="151" t="s">
        <v>138</v>
      </c>
      <c r="D278" s="152">
        <f t="shared" si="27"/>
        <v>0</v>
      </c>
      <c r="E278" s="152"/>
      <c r="F278" s="153"/>
      <c r="G278" s="153"/>
      <c r="H278" s="154">
        <f t="shared" si="30"/>
        <v>0</v>
      </c>
      <c r="I278" s="154">
        <v>0</v>
      </c>
      <c r="J278" s="158"/>
      <c r="K278" s="152">
        <f t="shared" si="28"/>
        <v>0</v>
      </c>
      <c r="L278" s="152"/>
      <c r="M278" s="153"/>
      <c r="N278" s="153"/>
      <c r="O278" s="154">
        <f t="shared" si="31"/>
        <v>0</v>
      </c>
      <c r="P278" s="155">
        <f t="shared" si="29"/>
        <v>0</v>
      </c>
      <c r="S278" s="156" t="s">
        <v>357</v>
      </c>
    </row>
    <row r="279" spans="1:19" ht="15" x14ac:dyDescent="0.25">
      <c r="A279" s="150">
        <v>8</v>
      </c>
      <c r="B279" s="150">
        <v>1955</v>
      </c>
      <c r="C279" s="151" t="s">
        <v>139</v>
      </c>
      <c r="D279" s="152">
        <f t="shared" si="27"/>
        <v>2325931.7399999993</v>
      </c>
      <c r="E279" s="152">
        <v>6291</v>
      </c>
      <c r="F279" s="153">
        <f>0-6291</f>
        <v>-6291</v>
      </c>
      <c r="G279" s="153">
        <v>0</v>
      </c>
      <c r="H279" s="154">
        <f t="shared" si="30"/>
        <v>2325931.7399999993</v>
      </c>
      <c r="I279" s="154">
        <v>0</v>
      </c>
      <c r="J279" s="158"/>
      <c r="K279" s="152">
        <f t="shared" si="28"/>
        <v>-1535850.36</v>
      </c>
      <c r="L279" s="152">
        <v>-316.88</v>
      </c>
      <c r="M279" s="153">
        <f>-193588.43+316.88</f>
        <v>-193271.55</v>
      </c>
      <c r="N279" s="153">
        <v>0</v>
      </c>
      <c r="O279" s="154">
        <f t="shared" si="31"/>
        <v>-1729438.79</v>
      </c>
      <c r="P279" s="155">
        <f t="shared" si="29"/>
        <v>596492.94999999925</v>
      </c>
      <c r="S279" s="156" t="s">
        <v>358</v>
      </c>
    </row>
    <row r="280" spans="1:19" ht="15" x14ac:dyDescent="0.25">
      <c r="A280" s="150"/>
      <c r="B280" s="150">
        <v>1955</v>
      </c>
      <c r="C280" s="151" t="s">
        <v>140</v>
      </c>
      <c r="D280" s="152">
        <f t="shared" si="27"/>
        <v>0</v>
      </c>
      <c r="E280" s="152"/>
      <c r="F280" s="153"/>
      <c r="G280" s="153"/>
      <c r="H280" s="154">
        <f t="shared" si="30"/>
        <v>0</v>
      </c>
      <c r="I280" s="154">
        <v>0</v>
      </c>
      <c r="J280" s="158"/>
      <c r="K280" s="152">
        <f t="shared" si="28"/>
        <v>0</v>
      </c>
      <c r="L280" s="152"/>
      <c r="M280" s="153"/>
      <c r="N280" s="153"/>
      <c r="O280" s="154">
        <f t="shared" si="31"/>
        <v>0</v>
      </c>
      <c r="P280" s="155">
        <f t="shared" si="29"/>
        <v>0</v>
      </c>
      <c r="S280" s="156" t="s">
        <v>358</v>
      </c>
    </row>
    <row r="281" spans="1:19" ht="15" x14ac:dyDescent="0.25">
      <c r="A281" s="150">
        <v>8</v>
      </c>
      <c r="B281" s="150">
        <v>1960</v>
      </c>
      <c r="C281" s="151" t="s">
        <v>141</v>
      </c>
      <c r="D281" s="152">
        <f t="shared" si="27"/>
        <v>465818.34999999992</v>
      </c>
      <c r="E281" s="152"/>
      <c r="F281" s="153">
        <v>4396</v>
      </c>
      <c r="G281" s="153">
        <v>0</v>
      </c>
      <c r="H281" s="154">
        <f t="shared" si="30"/>
        <v>470214.34999999992</v>
      </c>
      <c r="I281" s="154">
        <v>0</v>
      </c>
      <c r="J281" s="158"/>
      <c r="K281" s="152">
        <f t="shared" si="28"/>
        <v>-276292.57999999996</v>
      </c>
      <c r="L281" s="152"/>
      <c r="M281" s="153">
        <v>-33726.19</v>
      </c>
      <c r="N281" s="153">
        <v>0</v>
      </c>
      <c r="O281" s="154">
        <f t="shared" si="31"/>
        <v>-310018.76999999996</v>
      </c>
      <c r="P281" s="155">
        <f t="shared" si="29"/>
        <v>160195.57999999996</v>
      </c>
      <c r="S281" s="156" t="s">
        <v>359</v>
      </c>
    </row>
    <row r="282" spans="1:19" ht="15" x14ac:dyDescent="0.25">
      <c r="A282" s="150"/>
      <c r="B282" s="150">
        <v>1970</v>
      </c>
      <c r="C282" s="151" t="s">
        <v>142</v>
      </c>
      <c r="D282" s="152">
        <f t="shared" si="27"/>
        <v>0</v>
      </c>
      <c r="E282" s="152"/>
      <c r="F282" s="153"/>
      <c r="G282" s="153"/>
      <c r="H282" s="154">
        <f t="shared" si="30"/>
        <v>0</v>
      </c>
      <c r="I282" s="154">
        <v>0</v>
      </c>
      <c r="J282" s="158"/>
      <c r="K282" s="152">
        <f t="shared" si="28"/>
        <v>0</v>
      </c>
      <c r="L282" s="152"/>
      <c r="M282" s="153"/>
      <c r="N282" s="153"/>
      <c r="O282" s="154">
        <f t="shared" si="31"/>
        <v>0</v>
      </c>
      <c r="P282" s="155">
        <f t="shared" si="29"/>
        <v>0</v>
      </c>
      <c r="S282" s="156" t="s">
        <v>360</v>
      </c>
    </row>
    <row r="283" spans="1:19" ht="15" x14ac:dyDescent="0.25">
      <c r="A283" s="150"/>
      <c r="B283" s="150">
        <v>1975</v>
      </c>
      <c r="C283" s="151" t="s">
        <v>143</v>
      </c>
      <c r="D283" s="152">
        <f t="shared" si="27"/>
        <v>0</v>
      </c>
      <c r="E283" s="152"/>
      <c r="F283" s="153"/>
      <c r="G283" s="153"/>
      <c r="H283" s="154">
        <f t="shared" si="30"/>
        <v>0</v>
      </c>
      <c r="I283" s="154">
        <v>0</v>
      </c>
      <c r="J283" s="158"/>
      <c r="K283" s="152">
        <f t="shared" si="28"/>
        <v>0</v>
      </c>
      <c r="L283" s="152"/>
      <c r="M283" s="153"/>
      <c r="N283" s="153"/>
      <c r="O283" s="154">
        <f t="shared" si="31"/>
        <v>0</v>
      </c>
      <c r="P283" s="155">
        <f t="shared" si="29"/>
        <v>0</v>
      </c>
      <c r="S283" s="156" t="s">
        <v>361</v>
      </c>
    </row>
    <row r="284" spans="1:19" ht="15" x14ac:dyDescent="0.25">
      <c r="A284" s="150">
        <v>8</v>
      </c>
      <c r="B284" s="150">
        <v>1980</v>
      </c>
      <c r="C284" s="151" t="s">
        <v>144</v>
      </c>
      <c r="D284" s="152">
        <f t="shared" si="27"/>
        <v>9016897.1689999979</v>
      </c>
      <c r="E284" s="152">
        <v>36317.19</v>
      </c>
      <c r="F284" s="153">
        <f>684539.06-6965.5</f>
        <v>677573.56</v>
      </c>
      <c r="G284" s="153">
        <v>0</v>
      </c>
      <c r="H284" s="154">
        <f t="shared" si="30"/>
        <v>9730787.9189999979</v>
      </c>
      <c r="I284" s="154">
        <v>0</v>
      </c>
      <c r="J284" s="158"/>
      <c r="K284" s="152">
        <f t="shared" si="28"/>
        <v>-4578190.6500000004</v>
      </c>
      <c r="L284" s="152">
        <v>-1219.6300000000001</v>
      </c>
      <c r="M284" s="153">
        <f>-484790.13-1879.56</f>
        <v>-486669.69</v>
      </c>
      <c r="N284" s="153">
        <v>0</v>
      </c>
      <c r="O284" s="154">
        <f t="shared" si="31"/>
        <v>-5066079.9700000007</v>
      </c>
      <c r="P284" s="155">
        <f t="shared" si="29"/>
        <v>4664707.9489999972</v>
      </c>
      <c r="S284" s="156" t="s">
        <v>362</v>
      </c>
    </row>
    <row r="285" spans="1:19" ht="15" x14ac:dyDescent="0.25">
      <c r="A285" s="150"/>
      <c r="B285" s="150">
        <v>1985</v>
      </c>
      <c r="C285" s="151" t="s">
        <v>145</v>
      </c>
      <c r="D285" s="152">
        <f t="shared" si="27"/>
        <v>0</v>
      </c>
      <c r="E285" s="152"/>
      <c r="F285" s="153"/>
      <c r="G285" s="153"/>
      <c r="H285" s="154">
        <f t="shared" si="30"/>
        <v>0</v>
      </c>
      <c r="I285" s="154">
        <v>0</v>
      </c>
      <c r="J285" s="158"/>
      <c r="K285" s="152">
        <f t="shared" si="28"/>
        <v>0</v>
      </c>
      <c r="L285" s="152"/>
      <c r="M285" s="153"/>
      <c r="N285" s="153"/>
      <c r="O285" s="154">
        <f t="shared" si="31"/>
        <v>0</v>
      </c>
      <c r="P285" s="155">
        <f t="shared" si="29"/>
        <v>0</v>
      </c>
      <c r="S285" s="156" t="s">
        <v>363</v>
      </c>
    </row>
    <row r="286" spans="1:19" ht="15" x14ac:dyDescent="0.25">
      <c r="A286" s="150"/>
      <c r="B286" s="150">
        <v>1990</v>
      </c>
      <c r="C286" s="159" t="s">
        <v>146</v>
      </c>
      <c r="D286" s="152">
        <f t="shared" si="27"/>
        <v>0</v>
      </c>
      <c r="E286" s="152"/>
      <c r="F286" s="153"/>
      <c r="G286" s="153"/>
      <c r="H286" s="154">
        <f t="shared" si="30"/>
        <v>0</v>
      </c>
      <c r="I286" s="154">
        <v>0</v>
      </c>
      <c r="J286" s="158"/>
      <c r="K286" s="152">
        <f t="shared" si="28"/>
        <v>0</v>
      </c>
      <c r="L286" s="152"/>
      <c r="M286" s="153"/>
      <c r="N286" s="153"/>
      <c r="O286" s="154">
        <f t="shared" si="31"/>
        <v>0</v>
      </c>
      <c r="P286" s="155">
        <f t="shared" si="29"/>
        <v>0</v>
      </c>
      <c r="S286" s="156" t="s">
        <v>364</v>
      </c>
    </row>
    <row r="287" spans="1:19" ht="15" x14ac:dyDescent="0.25">
      <c r="A287" s="150"/>
      <c r="B287" s="150">
        <v>1995</v>
      </c>
      <c r="C287" s="151" t="s">
        <v>147</v>
      </c>
      <c r="D287" s="152">
        <f t="shared" si="27"/>
        <v>0</v>
      </c>
      <c r="E287" s="152"/>
      <c r="F287" s="153"/>
      <c r="G287" s="153"/>
      <c r="H287" s="154">
        <f t="shared" si="30"/>
        <v>0</v>
      </c>
      <c r="I287" s="154">
        <v>0</v>
      </c>
      <c r="J287" s="158"/>
      <c r="K287" s="152">
        <f t="shared" si="28"/>
        <v>0</v>
      </c>
      <c r="L287" s="152"/>
      <c r="M287" s="153"/>
      <c r="N287" s="153"/>
      <c r="O287" s="154">
        <f t="shared" si="31"/>
        <v>0</v>
      </c>
      <c r="P287" s="155">
        <f t="shared" si="29"/>
        <v>0</v>
      </c>
      <c r="S287" s="156" t="s">
        <v>365</v>
      </c>
    </row>
    <row r="288" spans="1:19" ht="15" x14ac:dyDescent="0.25">
      <c r="A288" s="150">
        <v>43.2</v>
      </c>
      <c r="B288" s="150">
        <v>2075</v>
      </c>
      <c r="C288" s="151" t="s">
        <v>148</v>
      </c>
      <c r="D288" s="152">
        <f t="shared" si="27"/>
        <v>1251765.9099999997</v>
      </c>
      <c r="E288" s="152"/>
      <c r="F288" s="153">
        <v>0</v>
      </c>
      <c r="G288" s="153">
        <v>0</v>
      </c>
      <c r="H288" s="154">
        <f t="shared" si="30"/>
        <v>1251765.9099999997</v>
      </c>
      <c r="I288" s="154">
        <v>0</v>
      </c>
      <c r="J288" s="158"/>
      <c r="K288" s="152">
        <f t="shared" si="28"/>
        <v>-469673.28</v>
      </c>
      <c r="L288" s="152"/>
      <c r="M288" s="153">
        <v>-61440.040000000037</v>
      </c>
      <c r="N288" s="153">
        <v>0</v>
      </c>
      <c r="O288" s="154">
        <f t="shared" si="31"/>
        <v>-531113.32000000007</v>
      </c>
      <c r="P288" s="155">
        <f t="shared" si="29"/>
        <v>720652.58999999962</v>
      </c>
      <c r="S288" s="156"/>
    </row>
    <row r="289" spans="1:19" ht="15" x14ac:dyDescent="0.25">
      <c r="A289" s="150">
        <v>47</v>
      </c>
      <c r="B289" s="150">
        <v>2440</v>
      </c>
      <c r="C289" s="151" t="s">
        <v>149</v>
      </c>
      <c r="D289" s="152">
        <f t="shared" si="27"/>
        <v>-107333391.13000001</v>
      </c>
      <c r="E289" s="152"/>
      <c r="F289" s="153">
        <v>-14159680.899999995</v>
      </c>
      <c r="G289" s="153">
        <v>84150.599999999977</v>
      </c>
      <c r="H289" s="154">
        <f t="shared" si="30"/>
        <v>-121408921.43000001</v>
      </c>
      <c r="I289" s="154">
        <v>0</v>
      </c>
      <c r="K289" s="152">
        <f t="shared" si="28"/>
        <v>10562727.209999999</v>
      </c>
      <c r="L289" s="152"/>
      <c r="M289" s="153">
        <v>2834074.4200000018</v>
      </c>
      <c r="N289" s="153">
        <v>-4973.3400000000038</v>
      </c>
      <c r="O289" s="154">
        <f t="shared" si="31"/>
        <v>13391828.290000001</v>
      </c>
      <c r="P289" s="155">
        <f t="shared" si="29"/>
        <v>-108017093.14</v>
      </c>
      <c r="S289" s="156" t="s">
        <v>366</v>
      </c>
    </row>
    <row r="290" spans="1:19" ht="15" x14ac:dyDescent="0.25">
      <c r="A290" s="160" t="s">
        <v>109</v>
      </c>
      <c r="B290" s="160">
        <v>2005</v>
      </c>
      <c r="C290" s="161" t="s">
        <v>150</v>
      </c>
      <c r="D290" s="152">
        <f t="shared" si="27"/>
        <v>1949864.7900000003</v>
      </c>
      <c r="E290" s="152"/>
      <c r="F290" s="153">
        <v>0</v>
      </c>
      <c r="G290" s="153">
        <v>0</v>
      </c>
      <c r="H290" s="154">
        <f t="shared" si="30"/>
        <v>1949864.7900000003</v>
      </c>
      <c r="I290" s="154">
        <v>0</v>
      </c>
      <c r="K290" s="152">
        <f t="shared" si="28"/>
        <v>-1438877.6500000001</v>
      </c>
      <c r="L290" s="152"/>
      <c r="M290" s="153">
        <v>-177155.01</v>
      </c>
      <c r="N290" s="153">
        <v>0</v>
      </c>
      <c r="O290" s="154">
        <f t="shared" si="31"/>
        <v>-1616032.6600000001</v>
      </c>
      <c r="P290" s="155">
        <f t="shared" si="29"/>
        <v>333832.13000000012</v>
      </c>
      <c r="S290" s="156" t="s">
        <v>367</v>
      </c>
    </row>
    <row r="291" spans="1:19" x14ac:dyDescent="0.2">
      <c r="A291" s="160"/>
      <c r="B291" s="160"/>
      <c r="C291" s="164" t="s">
        <v>20</v>
      </c>
      <c r="D291" s="165">
        <f t="shared" ref="D291:I291" si="32">SUM(D247:D290)</f>
        <v>551238751.69359994</v>
      </c>
      <c r="E291" s="165">
        <f t="shared" si="32"/>
        <v>4266024.42</v>
      </c>
      <c r="F291" s="165">
        <f t="shared" si="32"/>
        <v>42936980.99000001</v>
      </c>
      <c r="G291" s="165">
        <f t="shared" si="32"/>
        <v>-2032456.8499999996</v>
      </c>
      <c r="H291" s="165">
        <f t="shared" si="32"/>
        <v>596409300.25359988</v>
      </c>
      <c r="I291" s="166">
        <f t="shared" si="32"/>
        <v>0</v>
      </c>
      <c r="J291" s="167"/>
      <c r="K291" s="165">
        <f t="shared" ref="K291:P291" si="33">SUM(K247:K290)</f>
        <v>-152132252.22000003</v>
      </c>
      <c r="L291" s="165">
        <f t="shared" si="33"/>
        <v>-57330.469999999994</v>
      </c>
      <c r="M291" s="165">
        <f t="shared" si="33"/>
        <v>-22011834.770000007</v>
      </c>
      <c r="N291" s="165">
        <f t="shared" si="33"/>
        <v>850446.52999999991</v>
      </c>
      <c r="O291" s="165">
        <f t="shared" si="33"/>
        <v>-173350970.92999998</v>
      </c>
      <c r="P291" s="165">
        <f t="shared" si="33"/>
        <v>423058329.32360005</v>
      </c>
    </row>
    <row r="292" spans="1:19" ht="25.5" x14ac:dyDescent="0.25">
      <c r="A292" s="160"/>
      <c r="B292" s="160"/>
      <c r="C292" s="168" t="s">
        <v>151</v>
      </c>
      <c r="D292" s="152">
        <f>G222</f>
        <v>-675735.92449999996</v>
      </c>
      <c r="E292" s="152"/>
      <c r="F292" s="162"/>
      <c r="G292" s="162"/>
      <c r="H292" s="154">
        <f t="shared" si="30"/>
        <v>-675735.92449999996</v>
      </c>
      <c r="I292" s="154"/>
      <c r="K292" s="152">
        <f>N222</f>
        <v>246986.57149999996</v>
      </c>
      <c r="L292" s="152"/>
      <c r="M292" s="153">
        <v>35751.928999999996</v>
      </c>
      <c r="N292" s="162"/>
      <c r="O292" s="154">
        <f>K292+L292+M292+N292</f>
        <v>282738.50049999997</v>
      </c>
      <c r="P292" s="155">
        <f>H292+O292</f>
        <v>-392997.424</v>
      </c>
    </row>
    <row r="293" spans="1:19" ht="24.75" x14ac:dyDescent="0.25">
      <c r="A293" s="160"/>
      <c r="B293" s="160"/>
      <c r="C293" s="169" t="s">
        <v>152</v>
      </c>
      <c r="D293" s="152">
        <f>G223</f>
        <v>-1251765.9099999997</v>
      </c>
      <c r="E293" s="152"/>
      <c r="F293" s="178">
        <f>-F288</f>
        <v>0</v>
      </c>
      <c r="G293" s="178">
        <f>-G288</f>
        <v>0</v>
      </c>
      <c r="H293" s="154">
        <f t="shared" si="30"/>
        <v>-1251765.9099999997</v>
      </c>
      <c r="I293" s="154"/>
      <c r="K293" s="152">
        <f>N223</f>
        <v>469673.28</v>
      </c>
      <c r="L293" s="152"/>
      <c r="M293" s="178">
        <f>-M288</f>
        <v>61440.040000000037</v>
      </c>
      <c r="N293" s="178">
        <f>-N288</f>
        <v>0</v>
      </c>
      <c r="O293" s="154">
        <f>K293+L293+M293+N293</f>
        <v>531113.32000000007</v>
      </c>
      <c r="P293" s="155">
        <f>H293+O293</f>
        <v>-720652.58999999962</v>
      </c>
    </row>
    <row r="294" spans="1:19" x14ac:dyDescent="0.2">
      <c r="A294" s="160"/>
      <c r="B294" s="160"/>
      <c r="C294" s="164" t="s">
        <v>153</v>
      </c>
      <c r="D294" s="165">
        <f>SUM(D291:D293)</f>
        <v>549311249.85909998</v>
      </c>
      <c r="E294" s="165">
        <f>SUM(E291:E293)</f>
        <v>4266024.42</v>
      </c>
      <c r="F294" s="165">
        <f>SUM(F291:F293)</f>
        <v>42936980.99000001</v>
      </c>
      <c r="G294" s="165">
        <f>SUM(G291:G293)</f>
        <v>-2032456.8499999996</v>
      </c>
      <c r="H294" s="165">
        <f>SUM(H291:H293)</f>
        <v>594481798.41909993</v>
      </c>
      <c r="I294" s="165"/>
      <c r="J294" s="167"/>
      <c r="K294" s="165">
        <f t="shared" ref="K294:P294" si="34">SUM(K291:K293)</f>
        <v>-151415592.36850002</v>
      </c>
      <c r="L294" s="165">
        <f t="shared" si="34"/>
        <v>-57330.469999999994</v>
      </c>
      <c r="M294" s="165">
        <f t="shared" si="34"/>
        <v>-21914642.801000006</v>
      </c>
      <c r="N294" s="165">
        <f t="shared" si="34"/>
        <v>850446.52999999991</v>
      </c>
      <c r="O294" s="165">
        <f t="shared" si="34"/>
        <v>-172537119.10949999</v>
      </c>
      <c r="P294" s="165">
        <f t="shared" si="34"/>
        <v>421944679.30960006</v>
      </c>
    </row>
    <row r="295" spans="1:19" ht="15" x14ac:dyDescent="0.25">
      <c r="A295" s="160"/>
      <c r="B295" s="160"/>
      <c r="C295" s="170" t="s">
        <v>154</v>
      </c>
      <c r="D295" s="153">
        <f>G225</f>
        <v>31770011.309999995</v>
      </c>
      <c r="E295" s="153"/>
      <c r="F295" s="153">
        <f>-185495.41+1003924.49+304708.23+24279241.41+1071686.95-20665224.91</f>
        <v>5808840.7599999979</v>
      </c>
      <c r="G295" s="153"/>
      <c r="H295" s="154">
        <f t="shared" si="30"/>
        <v>37578852.069999993</v>
      </c>
      <c r="I295" s="154">
        <v>0</v>
      </c>
      <c r="J295" s="158"/>
      <c r="O295" s="154">
        <f>K295+L295+M295+N295</f>
        <v>0</v>
      </c>
      <c r="P295" s="155">
        <f>H295+O295</f>
        <v>37578852.069999993</v>
      </c>
    </row>
    <row r="296" spans="1:19" x14ac:dyDescent="0.2">
      <c r="A296" s="160"/>
      <c r="B296" s="160"/>
      <c r="C296" s="170" t="s">
        <v>155</v>
      </c>
      <c r="D296" s="165">
        <f>SUM(D294:D295)</f>
        <v>581081261.16909993</v>
      </c>
      <c r="E296" s="165">
        <f>SUM(E294:E295)</f>
        <v>4266024.42</v>
      </c>
      <c r="F296" s="165">
        <f>SUM(F294:F295)</f>
        <v>48745821.750000007</v>
      </c>
      <c r="G296" s="165">
        <f>SUM(G294:G295)</f>
        <v>-2032456.8499999996</v>
      </c>
      <c r="H296" s="165">
        <f>SUM(H294:H295)</f>
        <v>632060650.48909998</v>
      </c>
      <c r="I296" s="165">
        <f t="shared" ref="I296:L296" si="35">SUM(I294:I295)</f>
        <v>0</v>
      </c>
      <c r="J296" s="165">
        <f t="shared" si="35"/>
        <v>0</v>
      </c>
      <c r="K296" s="165">
        <f t="shared" si="35"/>
        <v>-151415592.36850002</v>
      </c>
      <c r="L296" s="165">
        <f t="shared" si="35"/>
        <v>-57330.469999999994</v>
      </c>
      <c r="M296" s="165">
        <f>SUM(M294:M295)</f>
        <v>-21914642.801000006</v>
      </c>
      <c r="N296" s="165">
        <f>SUM(N294:N295)</f>
        <v>850446.52999999991</v>
      </c>
      <c r="O296" s="165">
        <f>SUM(O294:O295)</f>
        <v>-172537119.10949999</v>
      </c>
      <c r="P296" s="165">
        <f>SUM(P294:P295)</f>
        <v>459523531.37960005</v>
      </c>
    </row>
    <row r="297" spans="1:19" ht="15" x14ac:dyDescent="0.25">
      <c r="A297" s="160"/>
      <c r="B297" s="160"/>
      <c r="C297" s="359" t="s">
        <v>156</v>
      </c>
      <c r="D297" s="360"/>
      <c r="E297" s="360"/>
      <c r="F297" s="360"/>
      <c r="G297" s="360"/>
      <c r="H297" s="360"/>
      <c r="I297" s="360"/>
      <c r="J297" s="360"/>
      <c r="K297" s="361"/>
      <c r="M297" s="162"/>
      <c r="O297" s="171"/>
      <c r="P297" s="172"/>
    </row>
    <row r="298" spans="1:19" ht="15" x14ac:dyDescent="0.25">
      <c r="A298" s="160"/>
      <c r="B298" s="160"/>
      <c r="C298" s="359" t="s">
        <v>43</v>
      </c>
      <c r="D298" s="360"/>
      <c r="E298" s="360"/>
      <c r="F298" s="360"/>
      <c r="G298" s="360"/>
      <c r="H298" s="360"/>
      <c r="I298" s="360"/>
      <c r="J298" s="360"/>
      <c r="K298" s="361"/>
      <c r="M298" s="165">
        <f>M296+M297</f>
        <v>-21914642.801000006</v>
      </c>
      <c r="O298" s="171"/>
      <c r="P298" s="172"/>
    </row>
    <row r="299" spans="1:19" ht="26.25" customHeight="1" x14ac:dyDescent="0.2">
      <c r="D299" s="355" t="s">
        <v>157</v>
      </c>
      <c r="E299" s="355"/>
      <c r="F299" s="355"/>
      <c r="H299" s="172">
        <f>AVERAGE(D294,H294)</f>
        <v>571896524.13909996</v>
      </c>
      <c r="L299" s="124" t="s">
        <v>158</v>
      </c>
      <c r="O299" s="172">
        <f>AVERAGE(K294,O294)</f>
        <v>-161976355.73900002</v>
      </c>
    </row>
    <row r="300" spans="1:19" x14ac:dyDescent="0.2">
      <c r="D300" s="124"/>
      <c r="G300" s="172"/>
      <c r="H300" s="172"/>
      <c r="L300" s="124" t="s">
        <v>159</v>
      </c>
      <c r="O300" s="172">
        <f>H299+O299</f>
        <v>409920168.40009993</v>
      </c>
    </row>
    <row r="301" spans="1:19" x14ac:dyDescent="0.2">
      <c r="K301" s="123" t="s">
        <v>160</v>
      </c>
    </row>
    <row r="302" spans="1:19" ht="15" x14ac:dyDescent="0.25">
      <c r="A302" s="160">
        <v>10</v>
      </c>
      <c r="B302" s="160"/>
      <c r="C302" s="173" t="str">
        <f>+K302</f>
        <v>Transportation</v>
      </c>
      <c r="D302" s="174"/>
      <c r="E302" s="174"/>
      <c r="F302" s="174"/>
      <c r="G302" s="174"/>
      <c r="H302" s="174"/>
      <c r="I302" s="174"/>
      <c r="J302" s="174"/>
      <c r="K302" s="174" t="s">
        <v>161</v>
      </c>
      <c r="L302" s="174"/>
      <c r="M302" s="175">
        <f>+M274+M290</f>
        <v>-1245413.3599999999</v>
      </c>
    </row>
    <row r="303" spans="1:19" ht="15" x14ac:dyDescent="0.25">
      <c r="A303" s="160">
        <v>47</v>
      </c>
      <c r="B303" s="160"/>
      <c r="C303" s="173" t="str">
        <f t="shared" ref="C303:C306" si="36">+K303</f>
        <v>Deferred Revenue</v>
      </c>
      <c r="D303" s="174"/>
      <c r="E303" s="174"/>
      <c r="F303" s="174"/>
      <c r="G303" s="174"/>
      <c r="H303" s="174"/>
      <c r="I303" s="174"/>
      <c r="J303" s="174"/>
      <c r="K303" s="174" t="s">
        <v>166</v>
      </c>
      <c r="L303" s="174"/>
      <c r="M303" s="175">
        <v>-79177.259999999995</v>
      </c>
    </row>
    <row r="304" spans="1:19" ht="15" x14ac:dyDescent="0.25">
      <c r="A304" s="160"/>
      <c r="B304" s="160"/>
      <c r="C304" s="173" t="str">
        <f t="shared" si="36"/>
        <v>Net Derecognition</v>
      </c>
      <c r="D304" s="174"/>
      <c r="E304" s="174"/>
      <c r="F304" s="174"/>
      <c r="G304" s="174"/>
      <c r="H304" s="174"/>
      <c r="I304" s="174"/>
      <c r="J304" s="174"/>
      <c r="K304" s="174" t="s">
        <v>162</v>
      </c>
      <c r="L304" s="174"/>
      <c r="M304" s="175">
        <v>1261187.58</v>
      </c>
    </row>
    <row r="305" spans="1:19" ht="15" x14ac:dyDescent="0.25">
      <c r="A305" s="160"/>
      <c r="B305" s="160"/>
      <c r="C305" s="173" t="str">
        <f t="shared" si="36"/>
        <v>Disposal of Utility Property</v>
      </c>
      <c r="D305" s="174"/>
      <c r="E305" s="174"/>
      <c r="F305" s="174"/>
      <c r="G305" s="174"/>
      <c r="H305" s="174"/>
      <c r="I305" s="174"/>
      <c r="J305" s="174"/>
      <c r="K305" s="174" t="s">
        <v>165</v>
      </c>
      <c r="L305" s="174"/>
      <c r="M305" s="175">
        <v>-35733.620000000003</v>
      </c>
    </row>
    <row r="306" spans="1:19" ht="15" x14ac:dyDescent="0.25">
      <c r="A306" s="160"/>
      <c r="B306" s="160"/>
      <c r="C306" s="173" t="str">
        <f t="shared" si="36"/>
        <v>Non Rate-Regulated utility asset</v>
      </c>
      <c r="D306" s="174"/>
      <c r="E306" s="174"/>
      <c r="F306" s="174"/>
      <c r="G306" s="174"/>
      <c r="H306" s="174"/>
      <c r="I306" s="174"/>
      <c r="J306" s="174"/>
      <c r="K306" s="174" t="s">
        <v>163</v>
      </c>
      <c r="L306" s="174"/>
      <c r="M306" s="175">
        <v>35751.93</v>
      </c>
    </row>
    <row r="307" spans="1:19" x14ac:dyDescent="0.2">
      <c r="K307" s="353" t="s">
        <v>164</v>
      </c>
      <c r="L307" s="354"/>
      <c r="M307" s="177">
        <f>M298-M302-M303-M306-M304-M305</f>
        <v>-21851258.071000006</v>
      </c>
    </row>
    <row r="311" spans="1:19" ht="15.75" thickBot="1" x14ac:dyDescent="0.25">
      <c r="E311" s="135" t="s">
        <v>94</v>
      </c>
      <c r="F311" s="136" t="s">
        <v>12</v>
      </c>
    </row>
    <row r="312" spans="1:19" ht="15.75" thickBot="1" x14ac:dyDescent="0.3">
      <c r="E312" s="135" t="s">
        <v>95</v>
      </c>
      <c r="F312" s="137">
        <v>2024</v>
      </c>
      <c r="G312" s="138"/>
      <c r="H312" s="138"/>
      <c r="I312" s="139" t="b">
        <f>IF(F312=2014,4,IF(F312=2015,5,IF(F312=2016,6,IF(F312=2017,7,IF(F312=2018,8,IF(F312=2019,9,IF(F312=2020,10)))))))</f>
        <v>0</v>
      </c>
    </row>
    <row r="314" spans="1:19" x14ac:dyDescent="0.2">
      <c r="D314" s="356" t="s">
        <v>96</v>
      </c>
      <c r="E314" s="357"/>
      <c r="F314" s="357"/>
      <c r="G314" s="357"/>
      <c r="H314" s="357"/>
      <c r="I314" s="358"/>
      <c r="K314" s="140"/>
      <c r="L314" s="141" t="s">
        <v>97</v>
      </c>
      <c r="M314" s="141"/>
      <c r="N314" s="142"/>
    </row>
    <row r="315" spans="1:19" ht="30" customHeight="1" x14ac:dyDescent="0.2">
      <c r="A315" s="143" t="s">
        <v>98</v>
      </c>
      <c r="B315" s="143" t="s">
        <v>99</v>
      </c>
      <c r="C315" s="144" t="s">
        <v>100</v>
      </c>
      <c r="D315" s="143" t="s">
        <v>101</v>
      </c>
      <c r="E315" s="145" t="s">
        <v>102</v>
      </c>
      <c r="F315" s="145" t="s">
        <v>103</v>
      </c>
      <c r="G315" s="143" t="s">
        <v>104</v>
      </c>
      <c r="H315" s="143"/>
      <c r="I315" s="143" t="s">
        <v>105</v>
      </c>
      <c r="J315" s="146"/>
      <c r="K315" s="143" t="s">
        <v>101</v>
      </c>
      <c r="L315" s="147" t="s">
        <v>106</v>
      </c>
      <c r="M315" s="147" t="s">
        <v>103</v>
      </c>
      <c r="N315" s="148" t="s">
        <v>104</v>
      </c>
      <c r="O315" s="143" t="s">
        <v>107</v>
      </c>
    </row>
    <row r="316" spans="1:19" ht="15" x14ac:dyDescent="0.25">
      <c r="A316" s="149">
        <v>14.1</v>
      </c>
      <c r="B316" s="150">
        <v>1609</v>
      </c>
      <c r="C316" s="151" t="s">
        <v>108</v>
      </c>
      <c r="D316" s="152">
        <f t="shared" ref="D316:D359" si="37">H247</f>
        <v>2134700</v>
      </c>
      <c r="E316" s="153">
        <v>4062099.9999999995</v>
      </c>
      <c r="F316" s="153"/>
      <c r="G316" s="154">
        <f>D316+E316+F316</f>
        <v>6196800</v>
      </c>
      <c r="H316" s="154"/>
      <c r="I316" s="154">
        <v>0</v>
      </c>
      <c r="J316" s="146"/>
      <c r="K316" s="152">
        <f t="shared" ref="K316:K359" si="38">O247</f>
        <v>-575038.18999999994</v>
      </c>
      <c r="L316" s="153">
        <v>-391942.16</v>
      </c>
      <c r="M316" s="153">
        <v>0</v>
      </c>
      <c r="N316" s="154">
        <f>K316+L316+M316</f>
        <v>-966980.34999999986</v>
      </c>
      <c r="O316" s="155">
        <f>G316+N316</f>
        <v>5229819.6500000004</v>
      </c>
      <c r="S316" s="156" t="s">
        <v>332</v>
      </c>
    </row>
    <row r="317" spans="1:19" ht="15" x14ac:dyDescent="0.25">
      <c r="A317" s="149" t="s">
        <v>109</v>
      </c>
      <c r="B317" s="150">
        <v>1610</v>
      </c>
      <c r="C317" s="151" t="s">
        <v>110</v>
      </c>
      <c r="D317" s="152">
        <f t="shared" si="37"/>
        <v>4560266.58</v>
      </c>
      <c r="E317" s="153">
        <v>0</v>
      </c>
      <c r="F317" s="153"/>
      <c r="G317" s="154">
        <f>D317+E317+F317</f>
        <v>4560266.58</v>
      </c>
      <c r="H317" s="154"/>
      <c r="I317" s="154"/>
      <c r="J317" s="146"/>
      <c r="K317" s="152">
        <f t="shared" si="38"/>
        <v>-3705908.75</v>
      </c>
      <c r="L317" s="153">
        <v>-266955.62</v>
      </c>
      <c r="M317" s="153">
        <v>0</v>
      </c>
      <c r="N317" s="154">
        <f>K317+L317+M317</f>
        <v>-3972864.37</v>
      </c>
      <c r="O317" s="155">
        <f>G317+N317</f>
        <v>587402.21</v>
      </c>
      <c r="S317" s="156"/>
    </row>
    <row r="318" spans="1:19" ht="15" x14ac:dyDescent="0.25">
      <c r="A318" s="150">
        <v>12</v>
      </c>
      <c r="B318" s="150">
        <v>1611</v>
      </c>
      <c r="C318" s="157" t="s">
        <v>111</v>
      </c>
      <c r="D318" s="152">
        <f t="shared" si="37"/>
        <v>20376596.610000003</v>
      </c>
      <c r="E318" s="153">
        <v>1443687.73</v>
      </c>
      <c r="F318" s="153">
        <v>0</v>
      </c>
      <c r="G318" s="154">
        <f>D318+E318+F318</f>
        <v>21820284.340000004</v>
      </c>
      <c r="H318" s="154"/>
      <c r="I318" s="154">
        <v>0</v>
      </c>
      <c r="J318" s="158"/>
      <c r="K318" s="152">
        <f t="shared" si="38"/>
        <v>-17033397</v>
      </c>
      <c r="L318" s="153">
        <v>-1749646.6599999997</v>
      </c>
      <c r="M318" s="153">
        <v>0</v>
      </c>
      <c r="N318" s="154">
        <f>K318+L318+M318</f>
        <v>-18783043.66</v>
      </c>
      <c r="O318" s="155">
        <f>G318+N318</f>
        <v>3037240.6800000034</v>
      </c>
      <c r="S318" s="156" t="s">
        <v>333</v>
      </c>
    </row>
    <row r="319" spans="1:19" ht="15" x14ac:dyDescent="0.25">
      <c r="A319" s="150">
        <v>14.1</v>
      </c>
      <c r="B319" s="150">
        <v>1612</v>
      </c>
      <c r="C319" s="151" t="s">
        <v>112</v>
      </c>
      <c r="D319" s="152">
        <f t="shared" si="37"/>
        <v>461198.61000000034</v>
      </c>
      <c r="E319" s="153">
        <v>0</v>
      </c>
      <c r="F319" s="153">
        <v>0</v>
      </c>
      <c r="G319" s="154">
        <f>D319+E319+F319</f>
        <v>461198.61000000034</v>
      </c>
      <c r="H319" s="154"/>
      <c r="I319" s="154">
        <v>0</v>
      </c>
      <c r="J319" s="158"/>
      <c r="K319" s="152">
        <f t="shared" si="38"/>
        <v>-116319.49</v>
      </c>
      <c r="L319" s="153">
        <v>-12335.44</v>
      </c>
      <c r="M319" s="153">
        <v>0</v>
      </c>
      <c r="N319" s="154">
        <f>K319+L319+M319</f>
        <v>-128654.93000000001</v>
      </c>
      <c r="O319" s="155">
        <f>G319+N319</f>
        <v>332543.68000000034</v>
      </c>
      <c r="S319" s="156" t="s">
        <v>334</v>
      </c>
    </row>
    <row r="320" spans="1:19" ht="15" x14ac:dyDescent="0.25">
      <c r="A320" s="150" t="s">
        <v>109</v>
      </c>
      <c r="B320" s="150">
        <v>1805</v>
      </c>
      <c r="C320" s="151" t="s">
        <v>113</v>
      </c>
      <c r="D320" s="152">
        <f t="shared" si="37"/>
        <v>1190619.8899999999</v>
      </c>
      <c r="E320" s="153">
        <v>0</v>
      </c>
      <c r="F320" s="153">
        <v>0</v>
      </c>
      <c r="G320" s="154">
        <f>D320+E320+F320</f>
        <v>1190619.8899999999</v>
      </c>
      <c r="H320" s="154"/>
      <c r="I320" s="154">
        <v>0</v>
      </c>
      <c r="J320" s="158"/>
      <c r="K320" s="152">
        <f t="shared" si="38"/>
        <v>0</v>
      </c>
      <c r="L320" s="153">
        <v>0</v>
      </c>
      <c r="M320" s="153">
        <v>0</v>
      </c>
      <c r="N320" s="154">
        <f>K320+L320+M320</f>
        <v>0</v>
      </c>
      <c r="O320" s="155">
        <f>G320+N320</f>
        <v>1190619.8899999999</v>
      </c>
      <c r="S320" s="156" t="s">
        <v>335</v>
      </c>
    </row>
    <row r="321" spans="1:19" ht="15" x14ac:dyDescent="0.25">
      <c r="A321" s="150">
        <v>47</v>
      </c>
      <c r="B321" s="150">
        <v>1808</v>
      </c>
      <c r="C321" s="151" t="s">
        <v>114</v>
      </c>
      <c r="D321" s="152">
        <f t="shared" si="37"/>
        <v>1409044.04</v>
      </c>
      <c r="E321" s="153">
        <v>0</v>
      </c>
      <c r="F321" s="153">
        <v>0</v>
      </c>
      <c r="G321" s="154">
        <f t="shared" ref="G321:G359" si="39">D321+E321+F321</f>
        <v>1409044.04</v>
      </c>
      <c r="H321" s="154"/>
      <c r="I321" s="154">
        <v>0</v>
      </c>
      <c r="J321" s="158"/>
      <c r="K321" s="152">
        <f t="shared" si="38"/>
        <v>-1211463.8200000003</v>
      </c>
      <c r="L321" s="153">
        <v>-9600.0400000000009</v>
      </c>
      <c r="M321" s="153">
        <v>0</v>
      </c>
      <c r="N321" s="154">
        <f t="shared" ref="N321:N359" si="40">K321+L321+M321</f>
        <v>-1221063.8600000003</v>
      </c>
      <c r="O321" s="155">
        <f t="shared" ref="O321:O359" si="41">G321+N321</f>
        <v>187980.1799999997</v>
      </c>
      <c r="S321" s="156" t="s">
        <v>336</v>
      </c>
    </row>
    <row r="322" spans="1:19" ht="15" x14ac:dyDescent="0.25">
      <c r="A322" s="150"/>
      <c r="B322" s="150">
        <v>1810</v>
      </c>
      <c r="C322" s="151" t="s">
        <v>115</v>
      </c>
      <c r="D322" s="152">
        <f t="shared" si="37"/>
        <v>0</v>
      </c>
      <c r="E322" s="153"/>
      <c r="F322" s="153"/>
      <c r="G322" s="154">
        <f t="shared" si="39"/>
        <v>0</v>
      </c>
      <c r="H322" s="154"/>
      <c r="I322" s="154">
        <v>0</v>
      </c>
      <c r="J322" s="158"/>
      <c r="K322" s="152">
        <f t="shared" si="38"/>
        <v>0</v>
      </c>
      <c r="L322" s="153"/>
      <c r="M322" s="153"/>
      <c r="N322" s="154">
        <f t="shared" si="40"/>
        <v>0</v>
      </c>
      <c r="O322" s="155">
        <f t="shared" si="41"/>
        <v>0</v>
      </c>
      <c r="S322" s="156" t="s">
        <v>337</v>
      </c>
    </row>
    <row r="323" spans="1:19" ht="15" x14ac:dyDescent="0.25">
      <c r="A323" s="150">
        <v>47</v>
      </c>
      <c r="B323" s="150">
        <v>1815</v>
      </c>
      <c r="C323" s="151" t="s">
        <v>116</v>
      </c>
      <c r="D323" s="152">
        <f t="shared" si="37"/>
        <v>225104.49999999997</v>
      </c>
      <c r="E323" s="153">
        <v>0</v>
      </c>
      <c r="F323" s="153">
        <v>0</v>
      </c>
      <c r="G323" s="154">
        <f t="shared" si="39"/>
        <v>225104.49999999997</v>
      </c>
      <c r="H323" s="154"/>
      <c r="I323" s="154">
        <v>0</v>
      </c>
      <c r="J323" s="158"/>
      <c r="K323" s="152">
        <f t="shared" si="38"/>
        <v>-59746.450000000004</v>
      </c>
      <c r="L323" s="153">
        <v>-5548.7800000000279</v>
      </c>
      <c r="M323" s="153">
        <v>0</v>
      </c>
      <c r="N323" s="154">
        <f t="shared" si="40"/>
        <v>-65295.230000000032</v>
      </c>
      <c r="O323" s="155">
        <f t="shared" si="41"/>
        <v>159809.26999999993</v>
      </c>
      <c r="S323" s="156" t="s">
        <v>338</v>
      </c>
    </row>
    <row r="324" spans="1:19" ht="15" x14ac:dyDescent="0.25">
      <c r="A324" s="150">
        <v>47</v>
      </c>
      <c r="B324" s="150">
        <v>1820</v>
      </c>
      <c r="C324" s="151" t="s">
        <v>117</v>
      </c>
      <c r="D324" s="152">
        <f t="shared" si="37"/>
        <v>72834505.698100016</v>
      </c>
      <c r="E324" s="153">
        <v>5399197.3300000001</v>
      </c>
      <c r="F324" s="153">
        <v>-1068391.3400000001</v>
      </c>
      <c r="G324" s="154">
        <f t="shared" si="39"/>
        <v>77165311.68810001</v>
      </c>
      <c r="H324" s="154"/>
      <c r="I324" s="154">
        <v>0</v>
      </c>
      <c r="J324" s="158"/>
      <c r="K324" s="152">
        <f t="shared" si="38"/>
        <v>-15517378.979999999</v>
      </c>
      <c r="L324" s="153">
        <v>-2173424.7400000002</v>
      </c>
      <c r="M324" s="153">
        <v>422096.30999999994</v>
      </c>
      <c r="N324" s="154">
        <f t="shared" si="40"/>
        <v>-17268707.41</v>
      </c>
      <c r="O324" s="155">
        <f t="shared" si="41"/>
        <v>59896604.278100014</v>
      </c>
      <c r="S324" s="156" t="s">
        <v>339</v>
      </c>
    </row>
    <row r="325" spans="1:19" ht="15" x14ac:dyDescent="0.25">
      <c r="A325" s="150"/>
      <c r="B325" s="150">
        <v>1825</v>
      </c>
      <c r="C325" s="151" t="s">
        <v>118</v>
      </c>
      <c r="D325" s="152">
        <f t="shared" si="37"/>
        <v>0</v>
      </c>
      <c r="E325" s="153"/>
      <c r="F325" s="153"/>
      <c r="G325" s="154">
        <f t="shared" si="39"/>
        <v>0</v>
      </c>
      <c r="H325" s="154"/>
      <c r="I325" s="154">
        <v>0</v>
      </c>
      <c r="J325" s="158"/>
      <c r="K325" s="152">
        <f t="shared" si="38"/>
        <v>0</v>
      </c>
      <c r="L325" s="153"/>
      <c r="M325" s="153">
        <v>0</v>
      </c>
      <c r="N325" s="154">
        <f t="shared" si="40"/>
        <v>0</v>
      </c>
      <c r="O325" s="155">
        <f t="shared" si="41"/>
        <v>0</v>
      </c>
      <c r="S325" s="156" t="s">
        <v>340</v>
      </c>
    </row>
    <row r="326" spans="1:19" ht="15" x14ac:dyDescent="0.25">
      <c r="A326" s="150">
        <v>47</v>
      </c>
      <c r="B326" s="150">
        <v>1830</v>
      </c>
      <c r="C326" s="151" t="s">
        <v>119</v>
      </c>
      <c r="D326" s="152">
        <f t="shared" si="37"/>
        <v>125675408.94000001</v>
      </c>
      <c r="E326" s="153">
        <v>11109615.440000001</v>
      </c>
      <c r="F326" s="153">
        <v>-316630.17</v>
      </c>
      <c r="G326" s="154">
        <f t="shared" si="39"/>
        <v>136468394.21000004</v>
      </c>
      <c r="H326" s="154"/>
      <c r="I326" s="154">
        <v>0</v>
      </c>
      <c r="J326" s="158"/>
      <c r="K326" s="152">
        <f t="shared" si="38"/>
        <v>-20306391.540000003</v>
      </c>
      <c r="L326" s="153">
        <v>-3446565.1100000003</v>
      </c>
      <c r="M326" s="153">
        <v>66079.61</v>
      </c>
      <c r="N326" s="154">
        <f t="shared" si="40"/>
        <v>-23686877.040000003</v>
      </c>
      <c r="O326" s="155">
        <f t="shared" si="41"/>
        <v>112781517.17000003</v>
      </c>
      <c r="S326" s="156" t="s">
        <v>341</v>
      </c>
    </row>
    <row r="327" spans="1:19" ht="15" x14ac:dyDescent="0.25">
      <c r="A327" s="150">
        <v>47</v>
      </c>
      <c r="B327" s="150">
        <v>1835</v>
      </c>
      <c r="C327" s="151" t="s">
        <v>120</v>
      </c>
      <c r="D327" s="152">
        <f t="shared" si="37"/>
        <v>83651080.717499986</v>
      </c>
      <c r="E327" s="153">
        <v>4450190.2699999996</v>
      </c>
      <c r="F327" s="153">
        <v>-266701.19</v>
      </c>
      <c r="G327" s="154">
        <f t="shared" si="39"/>
        <v>87834569.797499985</v>
      </c>
      <c r="H327" s="154"/>
      <c r="I327" s="154">
        <v>0</v>
      </c>
      <c r="J327" s="158"/>
      <c r="K327" s="152">
        <f t="shared" si="38"/>
        <v>-15295391.27</v>
      </c>
      <c r="L327" s="153">
        <v>-2146292.88</v>
      </c>
      <c r="M327" s="153">
        <v>144147</v>
      </c>
      <c r="N327" s="154">
        <f t="shared" si="40"/>
        <v>-17297537.149999999</v>
      </c>
      <c r="O327" s="155">
        <f t="shared" si="41"/>
        <v>70537032.647499979</v>
      </c>
      <c r="S327" s="156" t="s">
        <v>342</v>
      </c>
    </row>
    <row r="328" spans="1:19" ht="15" x14ac:dyDescent="0.25">
      <c r="A328" s="150">
        <v>47</v>
      </c>
      <c r="B328" s="150">
        <v>1840</v>
      </c>
      <c r="C328" s="151" t="s">
        <v>121</v>
      </c>
      <c r="D328" s="152">
        <f t="shared" si="37"/>
        <v>63332602.183300003</v>
      </c>
      <c r="E328" s="153">
        <v>1839813.41</v>
      </c>
      <c r="F328" s="153">
        <v>0</v>
      </c>
      <c r="G328" s="154">
        <f t="shared" si="39"/>
        <v>65172415.5933</v>
      </c>
      <c r="H328" s="154"/>
      <c r="I328" s="154">
        <v>0</v>
      </c>
      <c r="J328" s="158"/>
      <c r="K328" s="152">
        <f t="shared" si="38"/>
        <v>-7859884.1999999993</v>
      </c>
      <c r="L328" s="153">
        <v>-1141194.3899999999</v>
      </c>
      <c r="M328" s="153">
        <v>0</v>
      </c>
      <c r="N328" s="154">
        <f t="shared" si="40"/>
        <v>-9001078.5899999999</v>
      </c>
      <c r="O328" s="155">
        <f t="shared" si="41"/>
        <v>56171337.003299996</v>
      </c>
      <c r="S328" s="156" t="s">
        <v>343</v>
      </c>
    </row>
    <row r="329" spans="1:19" ht="15" x14ac:dyDescent="0.25">
      <c r="A329" s="150">
        <v>47</v>
      </c>
      <c r="B329" s="150">
        <v>1845</v>
      </c>
      <c r="C329" s="151" t="s">
        <v>122</v>
      </c>
      <c r="D329" s="152">
        <f t="shared" si="37"/>
        <v>99793317.189899981</v>
      </c>
      <c r="E329" s="153">
        <v>4364170.9300000006</v>
      </c>
      <c r="F329" s="153">
        <v>-144115.89000000001</v>
      </c>
      <c r="G329" s="154">
        <f t="shared" si="39"/>
        <v>104013372.22989999</v>
      </c>
      <c r="H329" s="154"/>
      <c r="I329" s="154">
        <v>0</v>
      </c>
      <c r="J329" s="158"/>
      <c r="K329" s="152">
        <f t="shared" si="38"/>
        <v>-16739956.58</v>
      </c>
      <c r="L329" s="153">
        <v>-2835581.07</v>
      </c>
      <c r="M329" s="153">
        <v>59773.54</v>
      </c>
      <c r="N329" s="154">
        <f t="shared" si="40"/>
        <v>-19515764.109999999</v>
      </c>
      <c r="O329" s="155">
        <f t="shared" si="41"/>
        <v>84497608.119899988</v>
      </c>
      <c r="S329" s="156" t="s">
        <v>344</v>
      </c>
    </row>
    <row r="330" spans="1:19" ht="15" x14ac:dyDescent="0.25">
      <c r="A330" s="150">
        <v>47</v>
      </c>
      <c r="B330" s="150">
        <v>1850</v>
      </c>
      <c r="C330" s="151" t="s">
        <v>123</v>
      </c>
      <c r="D330" s="152">
        <f t="shared" si="37"/>
        <v>78108415.947400019</v>
      </c>
      <c r="E330" s="153">
        <v>4142032.1800000006</v>
      </c>
      <c r="F330" s="153">
        <v>-411014.7</v>
      </c>
      <c r="G330" s="154">
        <f t="shared" si="39"/>
        <v>81839433.427400023</v>
      </c>
      <c r="H330" s="154"/>
      <c r="I330" s="154">
        <v>0</v>
      </c>
      <c r="J330" s="158"/>
      <c r="K330" s="152">
        <f t="shared" si="38"/>
        <v>-18575113.379999999</v>
      </c>
      <c r="L330" s="153">
        <v>-2799634.3499999996</v>
      </c>
      <c r="M330" s="153">
        <v>168123.39</v>
      </c>
      <c r="N330" s="154">
        <f t="shared" si="40"/>
        <v>-21206624.339999996</v>
      </c>
      <c r="O330" s="155">
        <f t="shared" si="41"/>
        <v>60632809.087400027</v>
      </c>
      <c r="S330" s="156" t="s">
        <v>345</v>
      </c>
    </row>
    <row r="331" spans="1:19" ht="15" x14ac:dyDescent="0.25">
      <c r="A331" s="150">
        <v>47</v>
      </c>
      <c r="B331" s="150">
        <v>1855</v>
      </c>
      <c r="C331" s="151" t="s">
        <v>124</v>
      </c>
      <c r="D331" s="152">
        <f t="shared" si="37"/>
        <v>53526967.089400001</v>
      </c>
      <c r="E331" s="153">
        <v>3537149.99</v>
      </c>
      <c r="F331" s="153">
        <v>0</v>
      </c>
      <c r="G331" s="154">
        <f t="shared" si="39"/>
        <v>57064117.079400003</v>
      </c>
      <c r="H331" s="154"/>
      <c r="I331" s="154">
        <v>0</v>
      </c>
      <c r="J331" s="158"/>
      <c r="K331" s="152">
        <f t="shared" si="38"/>
        <v>-10009476.5</v>
      </c>
      <c r="L331" s="153">
        <v>-1375079.7700000003</v>
      </c>
      <c r="M331" s="153">
        <v>0</v>
      </c>
      <c r="N331" s="154">
        <f t="shared" si="40"/>
        <v>-11384556.27</v>
      </c>
      <c r="O331" s="155">
        <f t="shared" si="41"/>
        <v>45679560.809400007</v>
      </c>
      <c r="S331" s="156" t="s">
        <v>346</v>
      </c>
    </row>
    <row r="332" spans="1:19" ht="15" x14ac:dyDescent="0.25">
      <c r="A332" s="150">
        <v>47</v>
      </c>
      <c r="B332" s="150">
        <v>1860</v>
      </c>
      <c r="C332" s="151" t="s">
        <v>125</v>
      </c>
      <c r="D332" s="152">
        <f t="shared" si="37"/>
        <v>2999692.41</v>
      </c>
      <c r="E332" s="153">
        <v>275914.82</v>
      </c>
      <c r="F332" s="153">
        <v>-5537.21</v>
      </c>
      <c r="G332" s="154">
        <f t="shared" si="39"/>
        <v>3270070.02</v>
      </c>
      <c r="H332" s="154"/>
      <c r="I332" s="154">
        <v>0</v>
      </c>
      <c r="J332" s="158"/>
      <c r="K332" s="152">
        <f t="shared" si="38"/>
        <v>-869786.66999999981</v>
      </c>
      <c r="L332" s="153">
        <v>-133237.76999999999</v>
      </c>
      <c r="M332" s="153">
        <v>2323.13</v>
      </c>
      <c r="N332" s="154">
        <f t="shared" si="40"/>
        <v>-1000701.3099999998</v>
      </c>
      <c r="O332" s="155">
        <f t="shared" si="41"/>
        <v>2269368.71</v>
      </c>
      <c r="S332" s="156" t="s">
        <v>347</v>
      </c>
    </row>
    <row r="333" spans="1:19" ht="15" x14ac:dyDescent="0.25">
      <c r="A333" s="150">
        <v>47</v>
      </c>
      <c r="B333" s="150">
        <v>1860</v>
      </c>
      <c r="C333" s="151" t="s">
        <v>126</v>
      </c>
      <c r="D333" s="152">
        <f t="shared" si="37"/>
        <v>25269588.968999997</v>
      </c>
      <c r="E333" s="153">
        <v>1757413.7200000002</v>
      </c>
      <c r="F333" s="153">
        <v>-175246.02</v>
      </c>
      <c r="G333" s="154">
        <f t="shared" si="39"/>
        <v>26851756.668999996</v>
      </c>
      <c r="H333" s="154"/>
      <c r="I333" s="154">
        <v>0</v>
      </c>
      <c r="J333" s="158"/>
      <c r="K333" s="152">
        <f t="shared" si="38"/>
        <v>-17589193.690000001</v>
      </c>
      <c r="L333" s="153">
        <v>-1048402.0599999999</v>
      </c>
      <c r="M333" s="153">
        <v>172353.94</v>
      </c>
      <c r="N333" s="154">
        <f t="shared" si="40"/>
        <v>-18465241.809999999</v>
      </c>
      <c r="O333" s="155">
        <f t="shared" si="41"/>
        <v>8386514.8589999974</v>
      </c>
      <c r="S333" s="156" t="s">
        <v>347</v>
      </c>
    </row>
    <row r="334" spans="1:19" ht="15" x14ac:dyDescent="0.25">
      <c r="A334" s="150">
        <v>47</v>
      </c>
      <c r="B334" s="150">
        <v>1865</v>
      </c>
      <c r="C334" s="151" t="s">
        <v>127</v>
      </c>
      <c r="D334" s="152">
        <f t="shared" si="37"/>
        <v>81548.159999999989</v>
      </c>
      <c r="E334" s="153">
        <v>0</v>
      </c>
      <c r="F334" s="153">
        <v>0</v>
      </c>
      <c r="G334" s="154">
        <f t="shared" si="39"/>
        <v>81548.159999999989</v>
      </c>
      <c r="H334" s="154"/>
      <c r="I334" s="154"/>
      <c r="J334" s="158"/>
      <c r="K334" s="152">
        <f t="shared" si="38"/>
        <v>-81548.160000000003</v>
      </c>
      <c r="L334" s="153">
        <v>0</v>
      </c>
      <c r="M334" s="153">
        <v>0</v>
      </c>
      <c r="N334" s="154">
        <f t="shared" si="40"/>
        <v>-81548.160000000003</v>
      </c>
      <c r="O334" s="155">
        <f t="shared" si="41"/>
        <v>0</v>
      </c>
      <c r="S334" s="156"/>
    </row>
    <row r="335" spans="1:19" ht="15" x14ac:dyDescent="0.25">
      <c r="A335" s="150" t="s">
        <v>109</v>
      </c>
      <c r="B335" s="150">
        <v>1905</v>
      </c>
      <c r="C335" s="151" t="s">
        <v>113</v>
      </c>
      <c r="D335" s="152">
        <f t="shared" si="37"/>
        <v>1195031.2999999998</v>
      </c>
      <c r="E335" s="153">
        <v>0</v>
      </c>
      <c r="F335" s="153">
        <v>0</v>
      </c>
      <c r="G335" s="154">
        <f t="shared" si="39"/>
        <v>1195031.2999999998</v>
      </c>
      <c r="H335" s="154"/>
      <c r="I335" s="154">
        <v>0</v>
      </c>
      <c r="J335" s="158"/>
      <c r="K335" s="152">
        <f t="shared" si="38"/>
        <v>0</v>
      </c>
      <c r="L335" s="153"/>
      <c r="M335" s="153">
        <v>0</v>
      </c>
      <c r="N335" s="154">
        <f t="shared" si="40"/>
        <v>0</v>
      </c>
      <c r="O335" s="155">
        <f t="shared" si="41"/>
        <v>1195031.2999999998</v>
      </c>
      <c r="S335" s="156" t="s">
        <v>348</v>
      </c>
    </row>
    <row r="336" spans="1:19" ht="15" x14ac:dyDescent="0.25">
      <c r="A336" s="150">
        <v>1</v>
      </c>
      <c r="B336" s="150">
        <v>1908</v>
      </c>
      <c r="C336" s="151" t="s">
        <v>128</v>
      </c>
      <c r="D336" s="152">
        <f t="shared" si="37"/>
        <v>31331676.739999998</v>
      </c>
      <c r="E336" s="153">
        <v>613154.39</v>
      </c>
      <c r="F336" s="153">
        <v>0</v>
      </c>
      <c r="G336" s="154">
        <f t="shared" si="39"/>
        <v>31944831.129999999</v>
      </c>
      <c r="H336" s="154"/>
      <c r="I336" s="154">
        <v>0</v>
      </c>
      <c r="J336" s="158"/>
      <c r="K336" s="152">
        <f t="shared" si="38"/>
        <v>-12608196.059999999</v>
      </c>
      <c r="L336" s="153">
        <v>-1379319.28</v>
      </c>
      <c r="M336" s="153">
        <v>0</v>
      </c>
      <c r="N336" s="154">
        <f t="shared" si="40"/>
        <v>-13987515.339999998</v>
      </c>
      <c r="O336" s="155">
        <f t="shared" si="41"/>
        <v>17957315.789999999</v>
      </c>
      <c r="S336" s="156" t="s">
        <v>349</v>
      </c>
    </row>
    <row r="337" spans="1:19" ht="15" x14ac:dyDescent="0.25">
      <c r="A337" s="150"/>
      <c r="B337" s="150">
        <v>1910</v>
      </c>
      <c r="C337" s="151" t="s">
        <v>115</v>
      </c>
      <c r="D337" s="152">
        <f t="shared" si="37"/>
        <v>0</v>
      </c>
      <c r="E337" s="153"/>
      <c r="F337" s="153"/>
      <c r="G337" s="154">
        <f t="shared" si="39"/>
        <v>0</v>
      </c>
      <c r="H337" s="154"/>
      <c r="I337" s="154">
        <v>0</v>
      </c>
      <c r="J337" s="158"/>
      <c r="K337" s="152">
        <f t="shared" si="38"/>
        <v>0</v>
      </c>
      <c r="L337" s="153"/>
      <c r="M337" s="153"/>
      <c r="N337" s="154">
        <f t="shared" si="40"/>
        <v>0</v>
      </c>
      <c r="O337" s="155">
        <f t="shared" si="41"/>
        <v>0</v>
      </c>
      <c r="S337" s="156" t="s">
        <v>350</v>
      </c>
    </row>
    <row r="338" spans="1:19" ht="15" x14ac:dyDescent="0.25">
      <c r="A338" s="150">
        <v>8</v>
      </c>
      <c r="B338" s="150">
        <v>1915</v>
      </c>
      <c r="C338" s="151" t="s">
        <v>129</v>
      </c>
      <c r="D338" s="152">
        <f t="shared" si="37"/>
        <v>2564014.1999999997</v>
      </c>
      <c r="E338" s="153">
        <v>75058.880000000005</v>
      </c>
      <c r="F338" s="153">
        <v>0</v>
      </c>
      <c r="G338" s="154">
        <f t="shared" si="39"/>
        <v>2639073.0799999996</v>
      </c>
      <c r="H338" s="154"/>
      <c r="I338" s="154">
        <v>0</v>
      </c>
      <c r="J338" s="158"/>
      <c r="K338" s="152">
        <f t="shared" si="38"/>
        <v>-1960239.62</v>
      </c>
      <c r="L338" s="153">
        <v>-127651.84</v>
      </c>
      <c r="M338" s="153">
        <v>0</v>
      </c>
      <c r="N338" s="154">
        <f t="shared" si="40"/>
        <v>-2087891.4600000002</v>
      </c>
      <c r="O338" s="155">
        <f t="shared" si="41"/>
        <v>551181.61999999941</v>
      </c>
      <c r="S338" s="156" t="s">
        <v>351</v>
      </c>
    </row>
    <row r="339" spans="1:19" ht="15" x14ac:dyDescent="0.25">
      <c r="A339" s="150"/>
      <c r="B339" s="150">
        <v>1915</v>
      </c>
      <c r="C339" s="151" t="s">
        <v>130</v>
      </c>
      <c r="D339" s="152">
        <f t="shared" si="37"/>
        <v>0</v>
      </c>
      <c r="E339" s="153"/>
      <c r="F339" s="153"/>
      <c r="G339" s="154">
        <f t="shared" si="39"/>
        <v>0</v>
      </c>
      <c r="H339" s="154"/>
      <c r="I339" s="154">
        <v>0</v>
      </c>
      <c r="J339" s="158"/>
      <c r="K339" s="152">
        <f t="shared" si="38"/>
        <v>0</v>
      </c>
      <c r="L339" s="153"/>
      <c r="M339" s="153"/>
      <c r="N339" s="154">
        <f t="shared" si="40"/>
        <v>0</v>
      </c>
      <c r="O339" s="155">
        <f t="shared" si="41"/>
        <v>0</v>
      </c>
      <c r="S339" s="156" t="s">
        <v>351</v>
      </c>
    </row>
    <row r="340" spans="1:19" ht="15" x14ac:dyDescent="0.25">
      <c r="A340" s="150">
        <v>50</v>
      </c>
      <c r="B340" s="150">
        <v>1920</v>
      </c>
      <c r="C340" s="151" t="s">
        <v>131</v>
      </c>
      <c r="D340" s="152">
        <f t="shared" si="37"/>
        <v>12135697.690000001</v>
      </c>
      <c r="E340" s="153">
        <v>1585948.28</v>
      </c>
      <c r="F340" s="153">
        <v>0</v>
      </c>
      <c r="G340" s="154">
        <f t="shared" si="39"/>
        <v>13721645.970000001</v>
      </c>
      <c r="H340" s="154"/>
      <c r="I340" s="154">
        <v>0</v>
      </c>
      <c r="J340" s="158"/>
      <c r="K340" s="152">
        <f t="shared" si="38"/>
        <v>-7714137.96</v>
      </c>
      <c r="L340" s="153">
        <v>-1742280.38</v>
      </c>
      <c r="M340" s="153">
        <v>0</v>
      </c>
      <c r="N340" s="154">
        <f t="shared" si="40"/>
        <v>-9456418.3399999999</v>
      </c>
      <c r="O340" s="155">
        <f t="shared" si="41"/>
        <v>4265227.6300000008</v>
      </c>
      <c r="S340" s="156" t="s">
        <v>352</v>
      </c>
    </row>
    <row r="341" spans="1:19" ht="15" x14ac:dyDescent="0.25">
      <c r="A341" s="150"/>
      <c r="B341" s="150">
        <v>1920</v>
      </c>
      <c r="C341" s="151" t="s">
        <v>132</v>
      </c>
      <c r="D341" s="152">
        <f t="shared" si="37"/>
        <v>0</v>
      </c>
      <c r="E341" s="153"/>
      <c r="F341" s="153"/>
      <c r="G341" s="154">
        <f t="shared" si="39"/>
        <v>0</v>
      </c>
      <c r="H341" s="154"/>
      <c r="I341" s="154">
        <v>0</v>
      </c>
      <c r="J341" s="158"/>
      <c r="K341" s="152">
        <f t="shared" si="38"/>
        <v>0</v>
      </c>
      <c r="L341" s="153"/>
      <c r="M341" s="153"/>
      <c r="N341" s="154">
        <f t="shared" si="40"/>
        <v>0</v>
      </c>
      <c r="O341" s="155">
        <f t="shared" si="41"/>
        <v>0</v>
      </c>
      <c r="S341" s="156" t="s">
        <v>352</v>
      </c>
    </row>
    <row r="342" spans="1:19" ht="15" x14ac:dyDescent="0.25">
      <c r="A342" s="150"/>
      <c r="B342" s="150">
        <v>1920</v>
      </c>
      <c r="C342" s="151" t="s">
        <v>133</v>
      </c>
      <c r="D342" s="152">
        <f t="shared" si="37"/>
        <v>0</v>
      </c>
      <c r="E342" s="153"/>
      <c r="F342" s="153"/>
      <c r="G342" s="154">
        <f t="shared" si="39"/>
        <v>0</v>
      </c>
      <c r="H342" s="154"/>
      <c r="I342" s="154">
        <v>0</v>
      </c>
      <c r="J342" s="158"/>
      <c r="K342" s="152">
        <f t="shared" si="38"/>
        <v>0</v>
      </c>
      <c r="L342" s="153"/>
      <c r="M342" s="153"/>
      <c r="N342" s="154">
        <f t="shared" si="40"/>
        <v>0</v>
      </c>
      <c r="O342" s="155">
        <f t="shared" si="41"/>
        <v>0</v>
      </c>
      <c r="S342" s="156" t="s">
        <v>352</v>
      </c>
    </row>
    <row r="343" spans="1:19" ht="15" x14ac:dyDescent="0.25">
      <c r="A343" s="150">
        <v>10</v>
      </c>
      <c r="B343" s="150">
        <v>1930</v>
      </c>
      <c r="C343" s="151" t="s">
        <v>134</v>
      </c>
      <c r="D343" s="152">
        <f t="shared" si="37"/>
        <v>15323248.17</v>
      </c>
      <c r="E343" s="153">
        <v>877034.91</v>
      </c>
      <c r="F343" s="153">
        <v>-304009.40999999997</v>
      </c>
      <c r="G343" s="154">
        <f t="shared" si="39"/>
        <v>15896273.67</v>
      </c>
      <c r="H343" s="154"/>
      <c r="I343" s="154">
        <v>0</v>
      </c>
      <c r="J343" s="158"/>
      <c r="K343" s="152">
        <f t="shared" si="38"/>
        <v>-7343316.9500000002</v>
      </c>
      <c r="L343" s="153">
        <v>-1117542.2</v>
      </c>
      <c r="M343" s="153">
        <v>257080.32000000001</v>
      </c>
      <c r="N343" s="154">
        <f t="shared" si="40"/>
        <v>-8203778.8300000001</v>
      </c>
      <c r="O343" s="155">
        <f t="shared" si="41"/>
        <v>7692494.8399999999</v>
      </c>
      <c r="S343" s="156" t="s">
        <v>353</v>
      </c>
    </row>
    <row r="344" spans="1:19" ht="15" x14ac:dyDescent="0.25">
      <c r="A344" s="150">
        <v>8</v>
      </c>
      <c r="B344" s="150">
        <v>1935</v>
      </c>
      <c r="C344" s="151" t="s">
        <v>135</v>
      </c>
      <c r="D344" s="152">
        <f t="shared" si="37"/>
        <v>108757.92</v>
      </c>
      <c r="E344" s="153">
        <v>0</v>
      </c>
      <c r="F344" s="153">
        <v>0</v>
      </c>
      <c r="G344" s="154">
        <f t="shared" si="39"/>
        <v>108757.92</v>
      </c>
      <c r="H344" s="154"/>
      <c r="I344" s="154">
        <v>0</v>
      </c>
      <c r="J344" s="158"/>
      <c r="K344" s="152">
        <f t="shared" si="38"/>
        <v>-80806.130000000019</v>
      </c>
      <c r="L344" s="153">
        <v>-11217.49</v>
      </c>
      <c r="M344" s="153"/>
      <c r="N344" s="154">
        <f t="shared" si="40"/>
        <v>-92023.620000000024</v>
      </c>
      <c r="O344" s="155">
        <f t="shared" si="41"/>
        <v>16734.299999999974</v>
      </c>
      <c r="S344" s="156" t="s">
        <v>354</v>
      </c>
    </row>
    <row r="345" spans="1:19" ht="15" x14ac:dyDescent="0.25">
      <c r="A345" s="150">
        <v>8</v>
      </c>
      <c r="B345" s="150">
        <v>1940</v>
      </c>
      <c r="C345" s="151" t="s">
        <v>136</v>
      </c>
      <c r="D345" s="152">
        <f t="shared" si="37"/>
        <v>3615196.02</v>
      </c>
      <c r="E345" s="153">
        <v>355089.37</v>
      </c>
      <c r="F345" s="153">
        <v>0</v>
      </c>
      <c r="G345" s="154">
        <f t="shared" si="39"/>
        <v>3970285.39</v>
      </c>
      <c r="H345" s="154"/>
      <c r="I345" s="154">
        <v>0</v>
      </c>
      <c r="J345" s="158"/>
      <c r="K345" s="152">
        <f t="shared" si="38"/>
        <v>-2075027.9799999997</v>
      </c>
      <c r="L345" s="153">
        <v>-295860.90000000002</v>
      </c>
      <c r="M345" s="153">
        <v>0</v>
      </c>
      <c r="N345" s="154">
        <f t="shared" si="40"/>
        <v>-2370888.88</v>
      </c>
      <c r="O345" s="155">
        <f t="shared" si="41"/>
        <v>1599396.5100000002</v>
      </c>
      <c r="S345" s="156" t="s">
        <v>355</v>
      </c>
    </row>
    <row r="346" spans="1:19" ht="15" x14ac:dyDescent="0.25">
      <c r="A346" s="150">
        <v>8</v>
      </c>
      <c r="B346" s="150">
        <v>1945</v>
      </c>
      <c r="C346" s="151" t="s">
        <v>137</v>
      </c>
      <c r="D346" s="152">
        <f t="shared" si="37"/>
        <v>185377.4</v>
      </c>
      <c r="E346" s="153">
        <v>0</v>
      </c>
      <c r="F346" s="153">
        <v>0</v>
      </c>
      <c r="G346" s="154">
        <f t="shared" si="39"/>
        <v>185377.4</v>
      </c>
      <c r="H346" s="154"/>
      <c r="I346" s="154">
        <v>0</v>
      </c>
      <c r="J346" s="158"/>
      <c r="K346" s="152">
        <f t="shared" si="38"/>
        <v>-162396.34</v>
      </c>
      <c r="L346" s="153">
        <v>-8391.75</v>
      </c>
      <c r="M346" s="153">
        <v>0</v>
      </c>
      <c r="N346" s="154">
        <f t="shared" si="40"/>
        <v>-170788.09</v>
      </c>
      <c r="O346" s="155">
        <f t="shared" si="41"/>
        <v>14589.309999999998</v>
      </c>
      <c r="S346" s="156" t="s">
        <v>356</v>
      </c>
    </row>
    <row r="347" spans="1:19" ht="15" x14ac:dyDescent="0.25">
      <c r="A347" s="150"/>
      <c r="B347" s="150">
        <v>1950</v>
      </c>
      <c r="C347" s="151" t="s">
        <v>138</v>
      </c>
      <c r="D347" s="152">
        <f t="shared" si="37"/>
        <v>0</v>
      </c>
      <c r="E347" s="153"/>
      <c r="F347" s="153"/>
      <c r="G347" s="154">
        <f t="shared" si="39"/>
        <v>0</v>
      </c>
      <c r="H347" s="154"/>
      <c r="I347" s="154">
        <v>0</v>
      </c>
      <c r="J347" s="158"/>
      <c r="K347" s="152">
        <f t="shared" si="38"/>
        <v>0</v>
      </c>
      <c r="L347" s="153"/>
      <c r="M347" s="153"/>
      <c r="N347" s="154">
        <f t="shared" si="40"/>
        <v>0</v>
      </c>
      <c r="O347" s="155">
        <f t="shared" si="41"/>
        <v>0</v>
      </c>
      <c r="S347" s="156" t="s">
        <v>357</v>
      </c>
    </row>
    <row r="348" spans="1:19" ht="15" x14ac:dyDescent="0.25">
      <c r="A348" s="150">
        <v>8</v>
      </c>
      <c r="B348" s="150">
        <v>1955</v>
      </c>
      <c r="C348" s="151" t="s">
        <v>139</v>
      </c>
      <c r="D348" s="152">
        <f t="shared" si="37"/>
        <v>2325931.7399999993</v>
      </c>
      <c r="E348" s="153">
        <v>0</v>
      </c>
      <c r="F348" s="153">
        <v>0</v>
      </c>
      <c r="G348" s="154">
        <f t="shared" si="39"/>
        <v>2325931.7399999993</v>
      </c>
      <c r="H348" s="154"/>
      <c r="I348" s="154">
        <v>0</v>
      </c>
      <c r="J348" s="158"/>
      <c r="K348" s="152">
        <f t="shared" si="38"/>
        <v>-1729438.79</v>
      </c>
      <c r="L348" s="153">
        <v>-151278.53</v>
      </c>
      <c r="M348" s="153">
        <v>0</v>
      </c>
      <c r="N348" s="154">
        <f t="shared" si="40"/>
        <v>-1880717.32</v>
      </c>
      <c r="O348" s="155">
        <f t="shared" si="41"/>
        <v>445214.41999999923</v>
      </c>
      <c r="S348" s="156" t="s">
        <v>358</v>
      </c>
    </row>
    <row r="349" spans="1:19" ht="15" x14ac:dyDescent="0.25">
      <c r="A349" s="150"/>
      <c r="B349" s="150">
        <v>1955</v>
      </c>
      <c r="C349" s="151" t="s">
        <v>140</v>
      </c>
      <c r="D349" s="152">
        <f t="shared" si="37"/>
        <v>0</v>
      </c>
      <c r="E349" s="153"/>
      <c r="F349" s="153"/>
      <c r="G349" s="154">
        <f t="shared" si="39"/>
        <v>0</v>
      </c>
      <c r="H349" s="154"/>
      <c r="I349" s="154">
        <v>0</v>
      </c>
      <c r="J349" s="158"/>
      <c r="K349" s="152">
        <f t="shared" si="38"/>
        <v>0</v>
      </c>
      <c r="L349" s="153"/>
      <c r="M349" s="153"/>
      <c r="N349" s="154">
        <f t="shared" si="40"/>
        <v>0</v>
      </c>
      <c r="O349" s="155">
        <f t="shared" si="41"/>
        <v>0</v>
      </c>
      <c r="S349" s="156" t="s">
        <v>358</v>
      </c>
    </row>
    <row r="350" spans="1:19" ht="15" x14ac:dyDescent="0.25">
      <c r="A350" s="150">
        <v>8</v>
      </c>
      <c r="B350" s="150">
        <v>1960</v>
      </c>
      <c r="C350" s="151" t="s">
        <v>141</v>
      </c>
      <c r="D350" s="152">
        <f t="shared" si="37"/>
        <v>470214.34999999992</v>
      </c>
      <c r="E350" s="153">
        <v>0</v>
      </c>
      <c r="F350" s="153">
        <v>0</v>
      </c>
      <c r="G350" s="154">
        <f t="shared" si="39"/>
        <v>470214.34999999992</v>
      </c>
      <c r="H350" s="154"/>
      <c r="I350" s="154">
        <v>0</v>
      </c>
      <c r="J350" s="158"/>
      <c r="K350" s="152">
        <f t="shared" si="38"/>
        <v>-310018.76999999996</v>
      </c>
      <c r="L350" s="153">
        <v>-30950.15</v>
      </c>
      <c r="M350" s="153">
        <v>0</v>
      </c>
      <c r="N350" s="154">
        <f t="shared" si="40"/>
        <v>-340968.92</v>
      </c>
      <c r="O350" s="155">
        <f t="shared" si="41"/>
        <v>129245.42999999993</v>
      </c>
      <c r="S350" s="156" t="s">
        <v>359</v>
      </c>
    </row>
    <row r="351" spans="1:19" ht="15" x14ac:dyDescent="0.25">
      <c r="A351" s="150"/>
      <c r="B351" s="150">
        <v>1970</v>
      </c>
      <c r="C351" s="151" t="s">
        <v>142</v>
      </c>
      <c r="D351" s="152">
        <f t="shared" si="37"/>
        <v>0</v>
      </c>
      <c r="E351" s="153"/>
      <c r="F351" s="153"/>
      <c r="G351" s="154">
        <f t="shared" si="39"/>
        <v>0</v>
      </c>
      <c r="H351" s="154"/>
      <c r="I351" s="154">
        <v>0</v>
      </c>
      <c r="J351" s="158"/>
      <c r="K351" s="152">
        <f t="shared" si="38"/>
        <v>0</v>
      </c>
      <c r="L351" s="153"/>
      <c r="M351" s="153"/>
      <c r="N351" s="154">
        <f t="shared" si="40"/>
        <v>0</v>
      </c>
      <c r="O351" s="155">
        <f t="shared" si="41"/>
        <v>0</v>
      </c>
      <c r="S351" s="156" t="s">
        <v>360</v>
      </c>
    </row>
    <row r="352" spans="1:19" ht="15" x14ac:dyDescent="0.25">
      <c r="A352" s="150"/>
      <c r="B352" s="150">
        <v>1975</v>
      </c>
      <c r="C352" s="151" t="s">
        <v>143</v>
      </c>
      <c r="D352" s="152">
        <f t="shared" si="37"/>
        <v>0</v>
      </c>
      <c r="E352" s="153"/>
      <c r="F352" s="153"/>
      <c r="G352" s="154">
        <f t="shared" si="39"/>
        <v>0</v>
      </c>
      <c r="H352" s="154"/>
      <c r="I352" s="154">
        <v>0</v>
      </c>
      <c r="J352" s="158"/>
      <c r="K352" s="152">
        <f t="shared" si="38"/>
        <v>0</v>
      </c>
      <c r="L352" s="153"/>
      <c r="M352" s="153"/>
      <c r="N352" s="154">
        <f t="shared" si="40"/>
        <v>0</v>
      </c>
      <c r="O352" s="155">
        <f t="shared" si="41"/>
        <v>0</v>
      </c>
      <c r="S352" s="156" t="s">
        <v>361</v>
      </c>
    </row>
    <row r="353" spans="1:19" ht="15" x14ac:dyDescent="0.25">
      <c r="A353" s="150">
        <v>8</v>
      </c>
      <c r="B353" s="150">
        <v>1980</v>
      </c>
      <c r="C353" s="151" t="s">
        <v>144</v>
      </c>
      <c r="D353" s="152">
        <f t="shared" si="37"/>
        <v>9730787.9189999979</v>
      </c>
      <c r="E353" s="153">
        <v>597246.1</v>
      </c>
      <c r="F353" s="153">
        <v>0</v>
      </c>
      <c r="G353" s="154">
        <f t="shared" si="39"/>
        <v>10328034.018999998</v>
      </c>
      <c r="H353" s="154"/>
      <c r="I353" s="154">
        <v>0</v>
      </c>
      <c r="J353" s="158"/>
      <c r="K353" s="152">
        <f t="shared" si="38"/>
        <v>-5066079.9700000007</v>
      </c>
      <c r="L353" s="153">
        <v>-528448.1399999999</v>
      </c>
      <c r="M353" s="153">
        <v>0</v>
      </c>
      <c r="N353" s="154">
        <f t="shared" si="40"/>
        <v>-5594528.1100000003</v>
      </c>
      <c r="O353" s="155">
        <f t="shared" si="41"/>
        <v>4733505.9089999972</v>
      </c>
      <c r="S353" s="156" t="s">
        <v>362</v>
      </c>
    </row>
    <row r="354" spans="1:19" ht="15" x14ac:dyDescent="0.25">
      <c r="A354" s="150"/>
      <c r="B354" s="150">
        <v>1985</v>
      </c>
      <c r="C354" s="151" t="s">
        <v>145</v>
      </c>
      <c r="D354" s="152">
        <f t="shared" si="37"/>
        <v>0</v>
      </c>
      <c r="E354" s="153"/>
      <c r="F354" s="153"/>
      <c r="G354" s="154">
        <f t="shared" si="39"/>
        <v>0</v>
      </c>
      <c r="H354" s="154"/>
      <c r="I354" s="154">
        <v>0</v>
      </c>
      <c r="J354" s="158"/>
      <c r="K354" s="152">
        <f t="shared" si="38"/>
        <v>0</v>
      </c>
      <c r="L354" s="153"/>
      <c r="M354" s="153"/>
      <c r="N354" s="154">
        <f t="shared" si="40"/>
        <v>0</v>
      </c>
      <c r="O354" s="155">
        <f t="shared" si="41"/>
        <v>0</v>
      </c>
      <c r="S354" s="156" t="s">
        <v>363</v>
      </c>
    </row>
    <row r="355" spans="1:19" ht="15" x14ac:dyDescent="0.25">
      <c r="A355" s="150"/>
      <c r="B355" s="150">
        <v>1990</v>
      </c>
      <c r="C355" s="159" t="s">
        <v>146</v>
      </c>
      <c r="D355" s="152">
        <f t="shared" si="37"/>
        <v>0</v>
      </c>
      <c r="E355" s="153"/>
      <c r="F355" s="153"/>
      <c r="G355" s="154">
        <f t="shared" si="39"/>
        <v>0</v>
      </c>
      <c r="H355" s="154"/>
      <c r="I355" s="154">
        <v>0</v>
      </c>
      <c r="J355" s="158"/>
      <c r="K355" s="152">
        <f t="shared" si="38"/>
        <v>0</v>
      </c>
      <c r="L355" s="153"/>
      <c r="M355" s="153"/>
      <c r="N355" s="154">
        <f t="shared" si="40"/>
        <v>0</v>
      </c>
      <c r="O355" s="155">
        <f t="shared" si="41"/>
        <v>0</v>
      </c>
      <c r="S355" s="156" t="s">
        <v>364</v>
      </c>
    </row>
    <row r="356" spans="1:19" ht="15" x14ac:dyDescent="0.25">
      <c r="A356" s="150"/>
      <c r="B356" s="150">
        <v>1995</v>
      </c>
      <c r="C356" s="151" t="s">
        <v>147</v>
      </c>
      <c r="D356" s="152">
        <f t="shared" si="37"/>
        <v>0</v>
      </c>
      <c r="E356" s="153"/>
      <c r="F356" s="153"/>
      <c r="G356" s="154">
        <f t="shared" si="39"/>
        <v>0</v>
      </c>
      <c r="H356" s="154"/>
      <c r="I356" s="154">
        <v>0</v>
      </c>
      <c r="J356" s="158"/>
      <c r="K356" s="152">
        <f t="shared" si="38"/>
        <v>0</v>
      </c>
      <c r="L356" s="153"/>
      <c r="M356" s="153"/>
      <c r="N356" s="154">
        <f t="shared" si="40"/>
        <v>0</v>
      </c>
      <c r="O356" s="155">
        <f t="shared" si="41"/>
        <v>0</v>
      </c>
      <c r="S356" s="156" t="s">
        <v>365</v>
      </c>
    </row>
    <row r="357" spans="1:19" ht="15" x14ac:dyDescent="0.25">
      <c r="A357" s="150">
        <v>43.2</v>
      </c>
      <c r="B357" s="150">
        <v>2075</v>
      </c>
      <c r="C357" s="151" t="s">
        <v>148</v>
      </c>
      <c r="D357" s="152">
        <f t="shared" si="37"/>
        <v>1251765.9099999997</v>
      </c>
      <c r="E357" s="153">
        <v>0</v>
      </c>
      <c r="F357" s="153">
        <v>0</v>
      </c>
      <c r="G357" s="154">
        <f t="shared" si="39"/>
        <v>1251765.9099999997</v>
      </c>
      <c r="H357" s="154"/>
      <c r="I357" s="154"/>
      <c r="K357" s="152">
        <f t="shared" si="38"/>
        <v>-531113.32000000007</v>
      </c>
      <c r="L357" s="153">
        <v>-56225.52</v>
      </c>
      <c r="M357" s="153">
        <v>0</v>
      </c>
      <c r="N357" s="154">
        <f t="shared" si="40"/>
        <v>-587338.84000000008</v>
      </c>
      <c r="O357" s="155">
        <f t="shared" si="41"/>
        <v>664427.0699999996</v>
      </c>
      <c r="S357" s="156"/>
    </row>
    <row r="358" spans="1:19" ht="15" x14ac:dyDescent="0.25">
      <c r="A358" s="150">
        <v>47</v>
      </c>
      <c r="B358" s="150">
        <v>2440</v>
      </c>
      <c r="C358" s="151" t="s">
        <v>149</v>
      </c>
      <c r="D358" s="152">
        <f t="shared" si="37"/>
        <v>-121408921.43000001</v>
      </c>
      <c r="E358" s="153">
        <v>-8720349.25</v>
      </c>
      <c r="F358" s="153">
        <v>133100.49</v>
      </c>
      <c r="G358" s="154">
        <f t="shared" si="39"/>
        <v>-129996170.19000001</v>
      </c>
      <c r="H358" s="154"/>
      <c r="I358" s="154">
        <v>0</v>
      </c>
      <c r="K358" s="152">
        <f t="shared" si="38"/>
        <v>13391828.290000001</v>
      </c>
      <c r="L358" s="153">
        <f>3108229.69+15113.91</f>
        <v>3123343.6</v>
      </c>
      <c r="M358" s="153">
        <v>-15113.909999999998</v>
      </c>
      <c r="N358" s="154">
        <f t="shared" si="40"/>
        <v>16500057.98</v>
      </c>
      <c r="O358" s="155">
        <f t="shared" si="41"/>
        <v>-113496112.21000001</v>
      </c>
      <c r="S358" s="156" t="s">
        <v>366</v>
      </c>
    </row>
    <row r="359" spans="1:19" ht="15" x14ac:dyDescent="0.25">
      <c r="A359" s="160" t="s">
        <v>109</v>
      </c>
      <c r="B359" s="160">
        <v>2005</v>
      </c>
      <c r="C359" s="161" t="s">
        <v>150</v>
      </c>
      <c r="D359" s="152">
        <f t="shared" si="37"/>
        <v>1949864.7900000003</v>
      </c>
      <c r="E359" s="153">
        <v>0</v>
      </c>
      <c r="F359" s="153">
        <v>0</v>
      </c>
      <c r="G359" s="154">
        <f t="shared" si="39"/>
        <v>1949864.7900000003</v>
      </c>
      <c r="H359" s="154"/>
      <c r="I359" s="154">
        <v>0</v>
      </c>
      <c r="K359" s="152">
        <f t="shared" si="38"/>
        <v>-1616032.6600000001</v>
      </c>
      <c r="L359" s="153">
        <v>-124371.83999999985</v>
      </c>
      <c r="M359" s="162">
        <v>0</v>
      </c>
      <c r="N359" s="154">
        <f t="shared" si="40"/>
        <v>-1740404.5</v>
      </c>
      <c r="O359" s="155">
        <f t="shared" si="41"/>
        <v>209460.29000000027</v>
      </c>
      <c r="S359" s="156" t="s">
        <v>367</v>
      </c>
    </row>
    <row r="360" spans="1:19" x14ac:dyDescent="0.2">
      <c r="A360" s="160"/>
      <c r="B360" s="160"/>
      <c r="C360" s="164" t="s">
        <v>20</v>
      </c>
      <c r="D360" s="165">
        <f>SUM(D316:D359)</f>
        <v>596409300.25359988</v>
      </c>
      <c r="E360" s="165">
        <f>SUM(E316:E359)</f>
        <v>37764468.5</v>
      </c>
      <c r="F360" s="165">
        <f>SUM(F316:F359)</f>
        <v>-2558545.4400000004</v>
      </c>
      <c r="G360" s="165">
        <f>SUM(G316:G359)</f>
        <v>631615223.31359982</v>
      </c>
      <c r="H360" s="165"/>
      <c r="I360" s="166">
        <f>SUM(I316:I359)</f>
        <v>0</v>
      </c>
      <c r="J360" s="167"/>
      <c r="K360" s="165">
        <f>SUM(K316:K359)</f>
        <v>-173350970.92999998</v>
      </c>
      <c r="L360" s="165">
        <f>SUM(L316:L359)</f>
        <v>-21985635.259999994</v>
      </c>
      <c r="M360" s="165">
        <f>SUM(M316:M359)</f>
        <v>1276863.33</v>
      </c>
      <c r="N360" s="165">
        <f>SUM(N316:N359)</f>
        <v>-194059742.86000004</v>
      </c>
      <c r="O360" s="165">
        <f>SUM(O316:O359)</f>
        <v>437555480.45359999</v>
      </c>
    </row>
    <row r="361" spans="1:19" ht="25.5" x14ac:dyDescent="0.25">
      <c r="A361" s="160"/>
      <c r="B361" s="160"/>
      <c r="C361" s="168" t="s">
        <v>151</v>
      </c>
      <c r="D361" s="152">
        <f>H292</f>
        <v>-675735.92449999996</v>
      </c>
      <c r="E361" s="162"/>
      <c r="F361" s="162"/>
      <c r="G361" s="154">
        <f>D361+E361+F361</f>
        <v>-675735.92449999996</v>
      </c>
      <c r="H361" s="154"/>
      <c r="I361" s="154"/>
      <c r="K361" s="152">
        <f>O292</f>
        <v>282738.50049999997</v>
      </c>
      <c r="L361" s="178">
        <v>35849.872099999993</v>
      </c>
      <c r="M361" s="162"/>
      <c r="N361" s="154">
        <f>K361+L361+M361</f>
        <v>318588.37259999994</v>
      </c>
      <c r="O361" s="155">
        <f>G361+N361</f>
        <v>-357147.55190000002</v>
      </c>
    </row>
    <row r="362" spans="1:19" ht="24.75" x14ac:dyDescent="0.25">
      <c r="A362" s="160"/>
      <c r="B362" s="160"/>
      <c r="C362" s="169" t="s">
        <v>152</v>
      </c>
      <c r="D362" s="152">
        <f>H293</f>
        <v>-1251765.9099999997</v>
      </c>
      <c r="E362" s="178">
        <f>-E357</f>
        <v>0</v>
      </c>
      <c r="F362" s="178">
        <f>-F357</f>
        <v>0</v>
      </c>
      <c r="G362" s="154">
        <f>D362+E362+F362</f>
        <v>-1251765.9099999997</v>
      </c>
      <c r="H362" s="154"/>
      <c r="I362" s="154"/>
      <c r="K362" s="152">
        <f>O293</f>
        <v>531113.32000000007</v>
      </c>
      <c r="L362" s="178">
        <f>-L357</f>
        <v>56225.52</v>
      </c>
      <c r="M362" s="178">
        <f>-M357</f>
        <v>0</v>
      </c>
      <c r="N362" s="154">
        <f>K362+L362+M362</f>
        <v>587338.84000000008</v>
      </c>
      <c r="O362" s="155">
        <f>G362+N362</f>
        <v>-664427.0699999996</v>
      </c>
    </row>
    <row r="363" spans="1:19" x14ac:dyDescent="0.2">
      <c r="A363" s="160"/>
      <c r="B363" s="160"/>
      <c r="C363" s="164" t="s">
        <v>153</v>
      </c>
      <c r="D363" s="165">
        <f>SUM(D360:D362)</f>
        <v>594481798.41909993</v>
      </c>
      <c r="E363" s="165">
        <f>SUM(E360:E362)</f>
        <v>37764468.5</v>
      </c>
      <c r="F363" s="165">
        <f>SUM(F360:F362)</f>
        <v>-2558545.4400000004</v>
      </c>
      <c r="G363" s="165">
        <f>SUM(G360:G362)</f>
        <v>629687721.47909987</v>
      </c>
      <c r="H363" s="165"/>
      <c r="I363" s="165"/>
      <c r="J363" s="167"/>
      <c r="K363" s="165">
        <f>SUM(K360:K362)</f>
        <v>-172537119.10949999</v>
      </c>
      <c r="L363" s="165">
        <f>SUM(L360:L362)</f>
        <v>-21893559.867899995</v>
      </c>
      <c r="M363" s="165">
        <f>SUM(M360:M362)</f>
        <v>1276863.33</v>
      </c>
      <c r="N363" s="165">
        <f>SUM(N360:N362)</f>
        <v>-193153815.64740005</v>
      </c>
      <c r="O363" s="165">
        <f>SUM(O360:O362)</f>
        <v>436533905.83169997</v>
      </c>
    </row>
    <row r="364" spans="1:19" ht="15" x14ac:dyDescent="0.25">
      <c r="A364" s="160"/>
      <c r="B364" s="160"/>
      <c r="C364" s="170" t="s">
        <v>154</v>
      </c>
      <c r="D364" s="153">
        <f>H295</f>
        <v>37578852.069999993</v>
      </c>
      <c r="E364" s="153">
        <f>70313.46-342431.05+406596.03+39796276.15+2059783.75-16002823.86</f>
        <v>25987714.479999997</v>
      </c>
      <c r="F364" s="153"/>
      <c r="G364" s="154">
        <f t="shared" ref="G364" si="42">D364+E364+F364</f>
        <v>63566566.54999999</v>
      </c>
      <c r="H364" s="154"/>
      <c r="I364" s="154">
        <v>0</v>
      </c>
      <c r="J364" s="158"/>
      <c r="N364" s="154">
        <f t="shared" ref="N364" si="43">K364+L364+M364</f>
        <v>0</v>
      </c>
      <c r="O364" s="155">
        <f t="shared" ref="O364" si="44">G364+N364</f>
        <v>63566566.54999999</v>
      </c>
    </row>
    <row r="365" spans="1:19" x14ac:dyDescent="0.2">
      <c r="A365" s="160"/>
      <c r="B365" s="160"/>
      <c r="C365" s="170" t="s">
        <v>155</v>
      </c>
      <c r="D365" s="165">
        <f>SUM(D363:D364)</f>
        <v>632060650.48909998</v>
      </c>
      <c r="E365" s="165">
        <f t="shared" ref="E365:O365" si="45">SUM(E363:E364)</f>
        <v>63752182.979999997</v>
      </c>
      <c r="F365" s="165">
        <f t="shared" si="45"/>
        <v>-2558545.4400000004</v>
      </c>
      <c r="G365" s="165">
        <f t="shared" si="45"/>
        <v>693254288.02909982</v>
      </c>
      <c r="H365" s="165"/>
      <c r="I365" s="165">
        <f t="shared" si="45"/>
        <v>0</v>
      </c>
      <c r="J365" s="165">
        <f t="shared" si="45"/>
        <v>0</v>
      </c>
      <c r="K365" s="165">
        <f t="shared" si="45"/>
        <v>-172537119.10949999</v>
      </c>
      <c r="L365" s="165">
        <f t="shared" si="45"/>
        <v>-21893559.867899995</v>
      </c>
      <c r="M365" s="165">
        <f t="shared" si="45"/>
        <v>1276863.33</v>
      </c>
      <c r="N365" s="165">
        <f t="shared" si="45"/>
        <v>-193153815.64740005</v>
      </c>
      <c r="O365" s="165">
        <f t="shared" si="45"/>
        <v>500100472.38169998</v>
      </c>
    </row>
    <row r="366" spans="1:19" ht="15" x14ac:dyDescent="0.25">
      <c r="A366" s="160"/>
      <c r="B366" s="160"/>
      <c r="C366" s="359" t="s">
        <v>156</v>
      </c>
      <c r="D366" s="360"/>
      <c r="E366" s="360"/>
      <c r="F366" s="360"/>
      <c r="G366" s="360"/>
      <c r="H366" s="360"/>
      <c r="I366" s="360"/>
      <c r="J366" s="360"/>
      <c r="K366" s="361"/>
      <c r="L366" s="162"/>
      <c r="N366" s="171"/>
      <c r="O366" s="172"/>
    </row>
    <row r="367" spans="1:19" ht="15" x14ac:dyDescent="0.25">
      <c r="A367" s="160"/>
      <c r="B367" s="160"/>
      <c r="C367" s="359" t="s">
        <v>43</v>
      </c>
      <c r="D367" s="360"/>
      <c r="E367" s="360"/>
      <c r="F367" s="360"/>
      <c r="G367" s="360"/>
      <c r="H367" s="360"/>
      <c r="I367" s="360"/>
      <c r="J367" s="360"/>
      <c r="K367" s="361"/>
      <c r="L367" s="165">
        <f>L365+L366</f>
        <v>-21893559.867899995</v>
      </c>
      <c r="N367" s="171"/>
      <c r="O367" s="172"/>
    </row>
    <row r="368" spans="1:19" ht="26.25" customHeight="1" x14ac:dyDescent="0.2">
      <c r="D368" s="355" t="s">
        <v>157</v>
      </c>
      <c r="E368" s="355"/>
      <c r="F368" s="355"/>
      <c r="G368" s="172">
        <f>AVERAGE(D363,G363)</f>
        <v>612084759.9490999</v>
      </c>
      <c r="H368" s="172"/>
      <c r="K368" s="124" t="s">
        <v>158</v>
      </c>
      <c r="N368" s="172">
        <f>AVERAGE(K363,N363)</f>
        <v>-182845467.37845004</v>
      </c>
    </row>
    <row r="369" spans="1:15" x14ac:dyDescent="0.2">
      <c r="D369" s="124"/>
      <c r="G369" s="172"/>
      <c r="H369" s="172"/>
      <c r="K369" s="124" t="s">
        <v>159</v>
      </c>
      <c r="N369" s="172">
        <f>G368+N368</f>
        <v>429239292.57064986</v>
      </c>
    </row>
    <row r="370" spans="1:15" x14ac:dyDescent="0.2">
      <c r="K370" s="123" t="s">
        <v>160</v>
      </c>
    </row>
    <row r="371" spans="1:15" ht="15" x14ac:dyDescent="0.25">
      <c r="A371" s="160">
        <v>10</v>
      </c>
      <c r="B371" s="160"/>
      <c r="C371" s="173" t="str">
        <f>+K371</f>
        <v>Transportation</v>
      </c>
      <c r="D371" s="174"/>
      <c r="E371" s="174"/>
      <c r="F371" s="174"/>
      <c r="G371" s="174"/>
      <c r="H371" s="174"/>
      <c r="I371" s="174"/>
      <c r="J371" s="174"/>
      <c r="K371" s="174" t="s">
        <v>161</v>
      </c>
      <c r="L371" s="174"/>
      <c r="M371" s="175">
        <f>+L343+L359</f>
        <v>-1241914.0399999998</v>
      </c>
    </row>
    <row r="372" spans="1:15" ht="15" x14ac:dyDescent="0.25">
      <c r="A372" s="160">
        <v>47</v>
      </c>
      <c r="B372" s="160"/>
      <c r="C372" s="173" t="str">
        <f t="shared" ref="C372:C375" si="46">+K372</f>
        <v>Deferred Revenue</v>
      </c>
      <c r="D372" s="174"/>
      <c r="E372" s="174"/>
      <c r="F372" s="174"/>
      <c r="G372" s="174"/>
      <c r="H372" s="174"/>
      <c r="I372" s="174"/>
      <c r="J372" s="174"/>
      <c r="K372" s="174" t="s">
        <v>166</v>
      </c>
      <c r="L372" s="174"/>
      <c r="M372" s="175">
        <v>-117986.58</v>
      </c>
    </row>
    <row r="373" spans="1:15" ht="15" x14ac:dyDescent="0.25">
      <c r="A373" s="160"/>
      <c r="B373" s="160"/>
      <c r="C373" s="173" t="str">
        <f t="shared" si="46"/>
        <v>Net Derecognition</v>
      </c>
      <c r="D373" s="174"/>
      <c r="E373" s="174"/>
      <c r="F373" s="174"/>
      <c r="G373" s="174"/>
      <c r="H373" s="174"/>
      <c r="I373" s="174"/>
      <c r="J373" s="174"/>
      <c r="K373" s="174" t="s">
        <v>162</v>
      </c>
      <c r="L373" s="174"/>
      <c r="M373" s="175">
        <v>1399668.69</v>
      </c>
    </row>
    <row r="374" spans="1:15" ht="15" x14ac:dyDescent="0.25">
      <c r="A374" s="160"/>
      <c r="B374" s="160"/>
      <c r="C374" s="173" t="str">
        <f t="shared" si="46"/>
        <v>Disposal of Utility Property</v>
      </c>
      <c r="D374" s="174"/>
      <c r="E374" s="174"/>
      <c r="F374" s="174"/>
      <c r="G374" s="174"/>
      <c r="H374" s="174"/>
      <c r="I374" s="174"/>
      <c r="J374" s="174"/>
      <c r="K374" s="174" t="s">
        <v>165</v>
      </c>
      <c r="L374" s="174"/>
      <c r="M374" s="175">
        <v>-46929.09</v>
      </c>
    </row>
    <row r="375" spans="1:15" ht="15" x14ac:dyDescent="0.25">
      <c r="A375" s="160"/>
      <c r="B375" s="160"/>
      <c r="C375" s="173" t="str">
        <f t="shared" si="46"/>
        <v>Non Rate-Regulated utility asset</v>
      </c>
      <c r="D375" s="174"/>
      <c r="E375" s="174"/>
      <c r="F375" s="174"/>
      <c r="G375" s="174"/>
      <c r="H375" s="174"/>
      <c r="I375" s="174"/>
      <c r="J375" s="174"/>
      <c r="K375" s="174" t="s">
        <v>163</v>
      </c>
      <c r="L375" s="174"/>
      <c r="M375" s="175">
        <v>35849.870000000003</v>
      </c>
    </row>
    <row r="376" spans="1:15" x14ac:dyDescent="0.2">
      <c r="K376" s="353" t="s">
        <v>164</v>
      </c>
      <c r="L376" s="354"/>
      <c r="M376" s="177">
        <f>L367-M371-M372-M375-M373-M374</f>
        <v>-21922248.717900001</v>
      </c>
    </row>
    <row r="378" spans="1:15" x14ac:dyDescent="0.2">
      <c r="M378" s="172"/>
    </row>
    <row r="380" spans="1:15" ht="15.75" thickBot="1" x14ac:dyDescent="0.25">
      <c r="E380" s="135" t="s">
        <v>94</v>
      </c>
      <c r="F380" s="136" t="s">
        <v>12</v>
      </c>
    </row>
    <row r="381" spans="1:15" ht="15.75" thickBot="1" x14ac:dyDescent="0.3">
      <c r="E381" s="135" t="s">
        <v>95</v>
      </c>
      <c r="F381" s="137">
        <v>2025</v>
      </c>
      <c r="G381" s="138"/>
      <c r="H381" s="138"/>
      <c r="I381" s="139" t="b">
        <f>IF(F381=2014,4,IF(F381=2015,5,IF(F381=2016,6,IF(F381=2017,7,IF(F381=2018,8,IF(F381=2019,9,IF(F381=2020,10)))))))</f>
        <v>0</v>
      </c>
    </row>
    <row r="383" spans="1:15" x14ac:dyDescent="0.2">
      <c r="D383" s="356" t="s">
        <v>96</v>
      </c>
      <c r="E383" s="357"/>
      <c r="F383" s="357"/>
      <c r="G383" s="357"/>
      <c r="H383" s="357"/>
      <c r="I383" s="358"/>
      <c r="K383" s="140"/>
      <c r="L383" s="141" t="s">
        <v>97</v>
      </c>
      <c r="M383" s="141"/>
      <c r="N383" s="142"/>
    </row>
    <row r="384" spans="1:15" ht="30" customHeight="1" x14ac:dyDescent="0.2">
      <c r="A384" s="143" t="s">
        <v>98</v>
      </c>
      <c r="B384" s="143" t="s">
        <v>99</v>
      </c>
      <c r="C384" s="144" t="s">
        <v>100</v>
      </c>
      <c r="D384" s="143" t="s">
        <v>101</v>
      </c>
      <c r="E384" s="145" t="s">
        <v>102</v>
      </c>
      <c r="F384" s="145" t="s">
        <v>103</v>
      </c>
      <c r="G384" s="143" t="s">
        <v>104</v>
      </c>
      <c r="H384" s="143"/>
      <c r="I384" s="143" t="s">
        <v>105</v>
      </c>
      <c r="J384" s="146"/>
      <c r="K384" s="143" t="s">
        <v>101</v>
      </c>
      <c r="L384" s="147" t="s">
        <v>106</v>
      </c>
      <c r="M384" s="147" t="s">
        <v>103</v>
      </c>
      <c r="N384" s="148" t="s">
        <v>104</v>
      </c>
      <c r="O384" s="143" t="s">
        <v>107</v>
      </c>
    </row>
    <row r="385" spans="1:19" ht="15" x14ac:dyDescent="0.25">
      <c r="A385" s="149">
        <v>14.1</v>
      </c>
      <c r="B385" s="150">
        <v>1609</v>
      </c>
      <c r="C385" s="151" t="s">
        <v>108</v>
      </c>
      <c r="D385" s="180">
        <f t="shared" ref="D385:D428" si="47">G316</f>
        <v>6196800</v>
      </c>
      <c r="E385" s="153"/>
      <c r="F385" s="153"/>
      <c r="G385" s="154">
        <f>D385+E385+F385</f>
        <v>6196800</v>
      </c>
      <c r="H385" s="154"/>
      <c r="I385" s="154">
        <v>0</v>
      </c>
      <c r="J385" s="146"/>
      <c r="K385" s="180">
        <f t="shared" ref="K385:K428" si="48">N316</f>
        <v>-966980.34999999986</v>
      </c>
      <c r="L385" s="153">
        <v>-615173.75839999993</v>
      </c>
      <c r="M385" s="153"/>
      <c r="N385" s="154">
        <f>K385+L385+M385</f>
        <v>-1582154.1083999998</v>
      </c>
      <c r="O385" s="155">
        <f>G385+N385</f>
        <v>4614645.8915999997</v>
      </c>
      <c r="S385" s="156" t="s">
        <v>332</v>
      </c>
    </row>
    <row r="386" spans="1:19" ht="15" x14ac:dyDescent="0.25">
      <c r="A386" s="149" t="s">
        <v>109</v>
      </c>
      <c r="B386" s="150">
        <v>1610</v>
      </c>
      <c r="C386" s="151" t="s">
        <v>110</v>
      </c>
      <c r="D386" s="180">
        <f t="shared" si="47"/>
        <v>4560266.58</v>
      </c>
      <c r="E386" s="153"/>
      <c r="F386" s="153"/>
      <c r="G386" s="154">
        <f>D386+E386+F386</f>
        <v>4560266.58</v>
      </c>
      <c r="H386" s="154"/>
      <c r="I386" s="154"/>
      <c r="J386" s="146"/>
      <c r="K386" s="180">
        <f t="shared" si="48"/>
        <v>-3972864.37</v>
      </c>
      <c r="L386" s="153">
        <v>-185997.9926</v>
      </c>
      <c r="M386" s="153"/>
      <c r="N386" s="154">
        <f>K386+L386+M386</f>
        <v>-4158862.3626000001</v>
      </c>
      <c r="O386" s="155">
        <f>G386+N386</f>
        <v>401404.21739999996</v>
      </c>
      <c r="S386" s="156"/>
    </row>
    <row r="387" spans="1:19" ht="15" x14ac:dyDescent="0.25">
      <c r="A387" s="150">
        <v>12</v>
      </c>
      <c r="B387" s="150">
        <v>1611</v>
      </c>
      <c r="C387" s="157" t="s">
        <v>111</v>
      </c>
      <c r="D387" s="180">
        <f t="shared" si="47"/>
        <v>21820284.340000004</v>
      </c>
      <c r="E387" s="153">
        <v>2514958.2499999995</v>
      </c>
      <c r="F387" s="153"/>
      <c r="G387" s="154">
        <f>D387+E387+F387</f>
        <v>24335242.590000004</v>
      </c>
      <c r="H387" s="154"/>
      <c r="I387" s="154">
        <v>0</v>
      </c>
      <c r="J387" s="158"/>
      <c r="K387" s="180">
        <f t="shared" si="48"/>
        <v>-18783043.66</v>
      </c>
      <c r="L387" s="153">
        <v>-1816354.2436999995</v>
      </c>
      <c r="M387" s="153"/>
      <c r="N387" s="154">
        <f>K387+L387+M387</f>
        <v>-20599397.903700002</v>
      </c>
      <c r="O387" s="155">
        <f>G387+N387</f>
        <v>3735844.686300002</v>
      </c>
      <c r="S387" s="156" t="s">
        <v>333</v>
      </c>
    </row>
    <row r="388" spans="1:19" ht="15" x14ac:dyDescent="0.25">
      <c r="A388" s="150">
        <v>14.1</v>
      </c>
      <c r="B388" s="150">
        <v>1612</v>
      </c>
      <c r="C388" s="151" t="s">
        <v>112</v>
      </c>
      <c r="D388" s="180">
        <f t="shared" si="47"/>
        <v>461198.61000000034</v>
      </c>
      <c r="E388" s="153"/>
      <c r="F388" s="153"/>
      <c r="G388" s="154">
        <f>D388+E388+F388</f>
        <v>461198.61000000034</v>
      </c>
      <c r="H388" s="154"/>
      <c r="I388" s="154">
        <v>0</v>
      </c>
      <c r="J388" s="158"/>
      <c r="K388" s="180">
        <f t="shared" si="48"/>
        <v>-128654.93000000001</v>
      </c>
      <c r="L388" s="153">
        <v>-12301.7492</v>
      </c>
      <c r="M388" s="153"/>
      <c r="N388" s="154">
        <f>K388+L388+M388</f>
        <v>-140956.67920000001</v>
      </c>
      <c r="O388" s="155">
        <f>G388+N388</f>
        <v>320241.93080000032</v>
      </c>
      <c r="S388" s="156" t="s">
        <v>334</v>
      </c>
    </row>
    <row r="389" spans="1:19" ht="15" x14ac:dyDescent="0.25">
      <c r="A389" s="150" t="s">
        <v>109</v>
      </c>
      <c r="B389" s="150">
        <v>1805</v>
      </c>
      <c r="C389" s="151" t="s">
        <v>113</v>
      </c>
      <c r="D389" s="180">
        <f t="shared" si="47"/>
        <v>1190619.8899999999</v>
      </c>
      <c r="E389" s="153"/>
      <c r="F389" s="153"/>
      <c r="G389" s="154">
        <f>D389+E389+F389</f>
        <v>1190619.8899999999</v>
      </c>
      <c r="H389" s="154"/>
      <c r="I389" s="154">
        <v>0</v>
      </c>
      <c r="J389" s="158"/>
      <c r="K389" s="180">
        <f t="shared" si="48"/>
        <v>0</v>
      </c>
      <c r="L389" s="153"/>
      <c r="M389" s="153"/>
      <c r="N389" s="154">
        <f>K389+L389+M389</f>
        <v>0</v>
      </c>
      <c r="O389" s="155">
        <f>G389+N389</f>
        <v>1190619.8899999999</v>
      </c>
      <c r="S389" s="156" t="s">
        <v>335</v>
      </c>
    </row>
    <row r="390" spans="1:19" ht="15" x14ac:dyDescent="0.25">
      <c r="A390" s="150">
        <v>47</v>
      </c>
      <c r="B390" s="150">
        <v>1808</v>
      </c>
      <c r="C390" s="151" t="s">
        <v>114</v>
      </c>
      <c r="D390" s="180">
        <f t="shared" si="47"/>
        <v>1409044.04</v>
      </c>
      <c r="E390" s="153"/>
      <c r="F390" s="153"/>
      <c r="G390" s="154">
        <f t="shared" ref="G390:G428" si="49">D390+E390+F390</f>
        <v>1409044.04</v>
      </c>
      <c r="H390" s="154"/>
      <c r="I390" s="154">
        <v>0</v>
      </c>
      <c r="J390" s="158"/>
      <c r="K390" s="180">
        <f t="shared" si="48"/>
        <v>-1221063.8600000003</v>
      </c>
      <c r="L390" s="153">
        <v>-9573.8109999999997</v>
      </c>
      <c r="M390" s="153"/>
      <c r="N390" s="154">
        <f t="shared" ref="N390:N428" si="50">K390+L390+M390</f>
        <v>-1230637.6710000003</v>
      </c>
      <c r="O390" s="155">
        <f t="shared" ref="O390:O428" si="51">G390+N390</f>
        <v>178406.36899999972</v>
      </c>
      <c r="S390" s="156" t="s">
        <v>336</v>
      </c>
    </row>
    <row r="391" spans="1:19" ht="15" x14ac:dyDescent="0.25">
      <c r="A391" s="150"/>
      <c r="B391" s="150">
        <v>1810</v>
      </c>
      <c r="C391" s="151" t="s">
        <v>115</v>
      </c>
      <c r="D391" s="180">
        <f t="shared" si="47"/>
        <v>0</v>
      </c>
      <c r="E391" s="153"/>
      <c r="F391" s="153"/>
      <c r="G391" s="154">
        <f t="shared" si="49"/>
        <v>0</v>
      </c>
      <c r="H391" s="154"/>
      <c r="I391" s="154">
        <v>0</v>
      </c>
      <c r="J391" s="158"/>
      <c r="K391" s="180">
        <f t="shared" si="48"/>
        <v>0</v>
      </c>
      <c r="L391" s="153"/>
      <c r="M391" s="153"/>
      <c r="N391" s="154">
        <f t="shared" si="50"/>
        <v>0</v>
      </c>
      <c r="O391" s="155">
        <f t="shared" si="51"/>
        <v>0</v>
      </c>
      <c r="S391" s="156" t="s">
        <v>337</v>
      </c>
    </row>
    <row r="392" spans="1:19" ht="15" x14ac:dyDescent="0.25">
      <c r="A392" s="150">
        <v>47</v>
      </c>
      <c r="B392" s="150">
        <v>1815</v>
      </c>
      <c r="C392" s="151" t="s">
        <v>116</v>
      </c>
      <c r="D392" s="180">
        <f t="shared" si="47"/>
        <v>225104.49999999997</v>
      </c>
      <c r="E392" s="153"/>
      <c r="F392" s="153"/>
      <c r="G392" s="154">
        <f t="shared" si="49"/>
        <v>225104.49999999997</v>
      </c>
      <c r="H392" s="154"/>
      <c r="I392" s="154">
        <v>0</v>
      </c>
      <c r="J392" s="158"/>
      <c r="K392" s="180">
        <f t="shared" si="48"/>
        <v>-65295.230000000032</v>
      </c>
      <c r="L392" s="153">
        <v>-5533.6344000000972</v>
      </c>
      <c r="M392" s="153"/>
      <c r="N392" s="154">
        <f t="shared" si="50"/>
        <v>-70828.864400000137</v>
      </c>
      <c r="O392" s="155">
        <f t="shared" si="51"/>
        <v>154275.63559999983</v>
      </c>
      <c r="S392" s="156" t="s">
        <v>338</v>
      </c>
    </row>
    <row r="393" spans="1:19" ht="15" x14ac:dyDescent="0.25">
      <c r="A393" s="150">
        <v>47</v>
      </c>
      <c r="B393" s="150">
        <v>1820</v>
      </c>
      <c r="C393" s="151" t="s">
        <v>117</v>
      </c>
      <c r="D393" s="180">
        <f t="shared" si="47"/>
        <v>77165311.68810001</v>
      </c>
      <c r="E393" s="153">
        <v>3926926.6902000001</v>
      </c>
      <c r="F393" s="153">
        <v>-1141953.29</v>
      </c>
      <c r="G393" s="154">
        <f t="shared" si="49"/>
        <v>79950285.088300005</v>
      </c>
      <c r="H393" s="154"/>
      <c r="I393" s="154">
        <v>0</v>
      </c>
      <c r="J393" s="158"/>
      <c r="K393" s="180">
        <f t="shared" si="48"/>
        <v>-17268707.41</v>
      </c>
      <c r="L393" s="153">
        <v>-2254393.7336325003</v>
      </c>
      <c r="M393" s="153">
        <v>341128.12900000002</v>
      </c>
      <c r="N393" s="154">
        <f t="shared" si="50"/>
        <v>-19181973.014632501</v>
      </c>
      <c r="O393" s="155">
        <f t="shared" si="51"/>
        <v>60768312.073667504</v>
      </c>
      <c r="S393" s="156" t="s">
        <v>339</v>
      </c>
    </row>
    <row r="394" spans="1:19" ht="15" x14ac:dyDescent="0.25">
      <c r="A394" s="150"/>
      <c r="B394" s="150">
        <v>1825</v>
      </c>
      <c r="C394" s="151" t="s">
        <v>118</v>
      </c>
      <c r="D394" s="180">
        <f t="shared" si="47"/>
        <v>0</v>
      </c>
      <c r="E394" s="153"/>
      <c r="F394" s="153"/>
      <c r="G394" s="154">
        <f t="shared" si="49"/>
        <v>0</v>
      </c>
      <c r="H394" s="154"/>
      <c r="I394" s="154">
        <v>0</v>
      </c>
      <c r="J394" s="158"/>
      <c r="K394" s="180">
        <f t="shared" si="48"/>
        <v>0</v>
      </c>
      <c r="L394" s="153"/>
      <c r="M394" s="153"/>
      <c r="N394" s="154">
        <f t="shared" si="50"/>
        <v>0</v>
      </c>
      <c r="O394" s="155">
        <f t="shared" si="51"/>
        <v>0</v>
      </c>
      <c r="S394" s="156" t="s">
        <v>340</v>
      </c>
    </row>
    <row r="395" spans="1:19" ht="15" x14ac:dyDescent="0.25">
      <c r="A395" s="150">
        <v>47</v>
      </c>
      <c r="B395" s="150">
        <v>1830</v>
      </c>
      <c r="C395" s="151" t="s">
        <v>119</v>
      </c>
      <c r="D395" s="180">
        <f t="shared" si="47"/>
        <v>136468394.21000004</v>
      </c>
      <c r="E395" s="153">
        <v>22402170.560789999</v>
      </c>
      <c r="F395" s="153">
        <v>-258538.51481609044</v>
      </c>
      <c r="G395" s="154">
        <f t="shared" si="49"/>
        <v>158612026.25597396</v>
      </c>
      <c r="H395" s="154"/>
      <c r="I395" s="154">
        <v>0</v>
      </c>
      <c r="J395" s="158"/>
      <c r="K395" s="180">
        <f t="shared" si="48"/>
        <v>-23686877.040000003</v>
      </c>
      <c r="L395" s="153">
        <v>-3841330.9527098741</v>
      </c>
      <c r="M395" s="153">
        <v>56339.49318308715</v>
      </c>
      <c r="N395" s="154">
        <f t="shared" si="50"/>
        <v>-27471868.499526788</v>
      </c>
      <c r="O395" s="155">
        <f t="shared" si="51"/>
        <v>131140157.75644718</v>
      </c>
      <c r="S395" s="156" t="s">
        <v>341</v>
      </c>
    </row>
    <row r="396" spans="1:19" ht="15" x14ac:dyDescent="0.25">
      <c r="A396" s="150">
        <v>47</v>
      </c>
      <c r="B396" s="150">
        <v>1835</v>
      </c>
      <c r="C396" s="151" t="s">
        <v>120</v>
      </c>
      <c r="D396" s="180">
        <f t="shared" si="47"/>
        <v>87834569.797499985</v>
      </c>
      <c r="E396" s="153">
        <v>15576805.0197</v>
      </c>
      <c r="F396" s="153">
        <v>-256860.6594093382</v>
      </c>
      <c r="G396" s="154">
        <f t="shared" si="49"/>
        <v>103154514.15779065</v>
      </c>
      <c r="H396" s="154"/>
      <c r="I396" s="154">
        <v>0</v>
      </c>
      <c r="J396" s="158"/>
      <c r="K396" s="180">
        <f t="shared" si="48"/>
        <v>-17297537.149999999</v>
      </c>
      <c r="L396" s="153">
        <v>-2341290.7214818336</v>
      </c>
      <c r="M396" s="153">
        <v>161835.51987396396</v>
      </c>
      <c r="N396" s="154">
        <f t="shared" si="50"/>
        <v>-19476992.351607867</v>
      </c>
      <c r="O396" s="155">
        <f t="shared" si="51"/>
        <v>83677521.806182772</v>
      </c>
      <c r="S396" s="156" t="s">
        <v>342</v>
      </c>
    </row>
    <row r="397" spans="1:19" ht="15" x14ac:dyDescent="0.25">
      <c r="A397" s="150">
        <v>47</v>
      </c>
      <c r="B397" s="150">
        <v>1840</v>
      </c>
      <c r="C397" s="151" t="s">
        <v>121</v>
      </c>
      <c r="D397" s="180">
        <f t="shared" si="47"/>
        <v>65172415.5933</v>
      </c>
      <c r="E397" s="153">
        <v>9613790.4969999995</v>
      </c>
      <c r="F397" s="153">
        <v>0</v>
      </c>
      <c r="G397" s="154">
        <f t="shared" si="49"/>
        <v>74786206.090299994</v>
      </c>
      <c r="H397" s="154"/>
      <c r="I397" s="154">
        <v>0</v>
      </c>
      <c r="J397" s="158"/>
      <c r="K397" s="180">
        <f t="shared" si="48"/>
        <v>-9001078.5899999999</v>
      </c>
      <c r="L397" s="153">
        <v>-1233426.2997083336</v>
      </c>
      <c r="M397" s="153">
        <v>0</v>
      </c>
      <c r="N397" s="154">
        <f t="shared" si="50"/>
        <v>-10234504.889708333</v>
      </c>
      <c r="O397" s="155">
        <f t="shared" si="51"/>
        <v>64551701.200591661</v>
      </c>
      <c r="S397" s="156" t="s">
        <v>343</v>
      </c>
    </row>
    <row r="398" spans="1:19" ht="15" x14ac:dyDescent="0.25">
      <c r="A398" s="150">
        <v>47</v>
      </c>
      <c r="B398" s="150">
        <v>1845</v>
      </c>
      <c r="C398" s="151" t="s">
        <v>122</v>
      </c>
      <c r="D398" s="180">
        <f t="shared" si="47"/>
        <v>104013372.22989999</v>
      </c>
      <c r="E398" s="153">
        <v>15538045.173179999</v>
      </c>
      <c r="F398" s="153">
        <v>-79855.380843738138</v>
      </c>
      <c r="G398" s="154">
        <f t="shared" si="49"/>
        <v>119471562.02223624</v>
      </c>
      <c r="H398" s="154"/>
      <c r="I398" s="154">
        <v>0</v>
      </c>
      <c r="J398" s="158"/>
      <c r="K398" s="180">
        <f t="shared" si="48"/>
        <v>-19515764.109999999</v>
      </c>
      <c r="L398" s="153">
        <v>-3094091.7050545486</v>
      </c>
      <c r="M398" s="153">
        <v>29509.27662863817</v>
      </c>
      <c r="N398" s="154">
        <f t="shared" si="50"/>
        <v>-22580346.538425907</v>
      </c>
      <c r="O398" s="155">
        <f t="shared" si="51"/>
        <v>96891215.483810335</v>
      </c>
      <c r="S398" s="156" t="s">
        <v>344</v>
      </c>
    </row>
    <row r="399" spans="1:19" ht="15" x14ac:dyDescent="0.25">
      <c r="A399" s="150">
        <v>47</v>
      </c>
      <c r="B399" s="150">
        <v>1850</v>
      </c>
      <c r="C399" s="151" t="s">
        <v>123</v>
      </c>
      <c r="D399" s="180">
        <f t="shared" si="47"/>
        <v>81839433.427400023</v>
      </c>
      <c r="E399" s="153">
        <v>7619403.4170699995</v>
      </c>
      <c r="F399" s="153">
        <v>-390832.79815853119</v>
      </c>
      <c r="G399" s="154">
        <f t="shared" si="49"/>
        <v>89068004.046311498</v>
      </c>
      <c r="H399" s="154"/>
      <c r="I399" s="154">
        <v>0</v>
      </c>
      <c r="J399" s="158"/>
      <c r="K399" s="180">
        <f t="shared" si="48"/>
        <v>-21206624.339999996</v>
      </c>
      <c r="L399" s="153">
        <v>-2971509.0682765841</v>
      </c>
      <c r="M399" s="153">
        <v>155382.51042559918</v>
      </c>
      <c r="N399" s="154">
        <f t="shared" si="50"/>
        <v>-24022750.897850983</v>
      </c>
      <c r="O399" s="155">
        <f t="shared" si="51"/>
        <v>65045253.148460515</v>
      </c>
      <c r="S399" s="156" t="s">
        <v>345</v>
      </c>
    </row>
    <row r="400" spans="1:19" ht="15" x14ac:dyDescent="0.25">
      <c r="A400" s="150">
        <v>47</v>
      </c>
      <c r="B400" s="150">
        <v>1855</v>
      </c>
      <c r="C400" s="151" t="s">
        <v>124</v>
      </c>
      <c r="D400" s="180">
        <f t="shared" si="47"/>
        <v>57064117.079400003</v>
      </c>
      <c r="E400" s="153">
        <v>4760459.1966399997</v>
      </c>
      <c r="F400" s="153"/>
      <c r="G400" s="154">
        <f t="shared" si="49"/>
        <v>61824576.276040003</v>
      </c>
      <c r="H400" s="154"/>
      <c r="I400" s="154">
        <v>0</v>
      </c>
      <c r="J400" s="158"/>
      <c r="K400" s="180">
        <f t="shared" si="48"/>
        <v>-11384556.27</v>
      </c>
      <c r="L400" s="153">
        <v>-1464615.4984900497</v>
      </c>
      <c r="M400" s="153"/>
      <c r="N400" s="154">
        <f t="shared" si="50"/>
        <v>-12849171.76849005</v>
      </c>
      <c r="O400" s="155">
        <f t="shared" si="51"/>
        <v>48975404.507549956</v>
      </c>
      <c r="S400" s="156" t="s">
        <v>346</v>
      </c>
    </row>
    <row r="401" spans="1:19" ht="15" x14ac:dyDescent="0.25">
      <c r="A401" s="150">
        <v>47</v>
      </c>
      <c r="B401" s="150">
        <v>1860</v>
      </c>
      <c r="C401" s="151" t="s">
        <v>125</v>
      </c>
      <c r="D401" s="180">
        <f t="shared" si="47"/>
        <v>3270070.02</v>
      </c>
      <c r="E401" s="153">
        <v>178500</v>
      </c>
      <c r="F401" s="153">
        <v>-5648.3140181909375</v>
      </c>
      <c r="G401" s="154">
        <f t="shared" si="49"/>
        <v>3442921.7059818092</v>
      </c>
      <c r="H401" s="154"/>
      <c r="I401" s="154">
        <v>0</v>
      </c>
      <c r="J401" s="158"/>
      <c r="K401" s="180">
        <f t="shared" si="48"/>
        <v>-1000701.3099999998</v>
      </c>
      <c r="L401" s="153">
        <v>-140276.43070000003</v>
      </c>
      <c r="M401" s="153">
        <v>2852.7090016496063</v>
      </c>
      <c r="N401" s="154">
        <f t="shared" si="50"/>
        <v>-1138125.0316983503</v>
      </c>
      <c r="O401" s="155">
        <f t="shared" si="51"/>
        <v>2304796.6742834589</v>
      </c>
      <c r="S401" s="156" t="s">
        <v>347</v>
      </c>
    </row>
    <row r="402" spans="1:19" ht="15" x14ac:dyDescent="0.25">
      <c r="A402" s="150">
        <v>47</v>
      </c>
      <c r="B402" s="150">
        <v>1860</v>
      </c>
      <c r="C402" s="151" t="s">
        <v>126</v>
      </c>
      <c r="D402" s="180">
        <f t="shared" si="47"/>
        <v>26851756.668999996</v>
      </c>
      <c r="E402" s="153">
        <v>1248480</v>
      </c>
      <c r="F402" s="153">
        <v>-131908.70102443418</v>
      </c>
      <c r="G402" s="154">
        <f t="shared" si="49"/>
        <v>27968327.967975561</v>
      </c>
      <c r="H402" s="154"/>
      <c r="I402" s="154">
        <v>0</v>
      </c>
      <c r="J402" s="158"/>
      <c r="K402" s="180">
        <f t="shared" si="48"/>
        <v>-18465241.809999999</v>
      </c>
      <c r="L402" s="153">
        <v>-1054502.1492999999</v>
      </c>
      <c r="M402" s="153">
        <v>119802.83490896715</v>
      </c>
      <c r="N402" s="154">
        <f t="shared" si="50"/>
        <v>-19399941.124391034</v>
      </c>
      <c r="O402" s="155">
        <f t="shared" si="51"/>
        <v>8568386.8435845263</v>
      </c>
      <c r="S402" s="156" t="s">
        <v>347</v>
      </c>
    </row>
    <row r="403" spans="1:19" ht="15" x14ac:dyDescent="0.25">
      <c r="A403" s="150">
        <v>47</v>
      </c>
      <c r="B403" s="150">
        <v>1865</v>
      </c>
      <c r="C403" s="151" t="s">
        <v>127</v>
      </c>
      <c r="D403" s="180">
        <f t="shared" si="47"/>
        <v>81548.159999999989</v>
      </c>
      <c r="E403" s="153"/>
      <c r="F403" s="153"/>
      <c r="G403" s="154">
        <f t="shared" si="49"/>
        <v>81548.159999999989</v>
      </c>
      <c r="H403" s="154"/>
      <c r="I403" s="154">
        <v>0</v>
      </c>
      <c r="J403" s="158"/>
      <c r="K403" s="180">
        <f t="shared" si="48"/>
        <v>-81548.160000000003</v>
      </c>
      <c r="L403" s="153"/>
      <c r="M403" s="153"/>
      <c r="N403" s="154">
        <f t="shared" si="50"/>
        <v>-81548.160000000003</v>
      </c>
      <c r="O403" s="155">
        <f t="shared" si="51"/>
        <v>0</v>
      </c>
      <c r="S403" s="156"/>
    </row>
    <row r="404" spans="1:19" ht="15" x14ac:dyDescent="0.25">
      <c r="A404" s="150" t="s">
        <v>109</v>
      </c>
      <c r="B404" s="150">
        <v>1905</v>
      </c>
      <c r="C404" s="151" t="s">
        <v>113</v>
      </c>
      <c r="D404" s="180">
        <f t="shared" si="47"/>
        <v>1195031.2999999998</v>
      </c>
      <c r="E404" s="153"/>
      <c r="F404" s="153"/>
      <c r="G404" s="154">
        <f t="shared" si="49"/>
        <v>1195031.2999999998</v>
      </c>
      <c r="H404" s="154"/>
      <c r="I404" s="154">
        <v>0</v>
      </c>
      <c r="J404" s="158"/>
      <c r="K404" s="180">
        <f t="shared" si="48"/>
        <v>0</v>
      </c>
      <c r="L404" s="153"/>
      <c r="M404" s="153"/>
      <c r="N404" s="154">
        <f t="shared" si="50"/>
        <v>0</v>
      </c>
      <c r="O404" s="155">
        <f t="shared" si="51"/>
        <v>1195031.2999999998</v>
      </c>
      <c r="S404" s="156" t="s">
        <v>348</v>
      </c>
    </row>
    <row r="405" spans="1:19" ht="15" x14ac:dyDescent="0.25">
      <c r="A405" s="150">
        <v>1</v>
      </c>
      <c r="B405" s="150">
        <v>1908</v>
      </c>
      <c r="C405" s="151" t="s">
        <v>128</v>
      </c>
      <c r="D405" s="180">
        <f t="shared" si="47"/>
        <v>31944831.129999999</v>
      </c>
      <c r="E405" s="153">
        <v>150000</v>
      </c>
      <c r="F405" s="153"/>
      <c r="G405" s="154">
        <f t="shared" si="49"/>
        <v>32094831.129999999</v>
      </c>
      <c r="H405" s="154"/>
      <c r="I405" s="154">
        <v>0</v>
      </c>
      <c r="J405" s="158"/>
      <c r="K405" s="180">
        <f t="shared" si="48"/>
        <v>-13987515.339999998</v>
      </c>
      <c r="L405" s="153">
        <v>-1336152.9641</v>
      </c>
      <c r="M405" s="153"/>
      <c r="N405" s="154">
        <f t="shared" si="50"/>
        <v>-15323668.304099998</v>
      </c>
      <c r="O405" s="155">
        <f t="shared" si="51"/>
        <v>16771162.825900001</v>
      </c>
      <c r="S405" s="156" t="s">
        <v>349</v>
      </c>
    </row>
    <row r="406" spans="1:19" ht="15" x14ac:dyDescent="0.25">
      <c r="A406" s="150"/>
      <c r="B406" s="150">
        <v>1910</v>
      </c>
      <c r="C406" s="151" t="s">
        <v>115</v>
      </c>
      <c r="D406" s="180">
        <f t="shared" si="47"/>
        <v>0</v>
      </c>
      <c r="E406" s="153">
        <v>0</v>
      </c>
      <c r="F406" s="153"/>
      <c r="G406" s="154">
        <f t="shared" si="49"/>
        <v>0</v>
      </c>
      <c r="H406" s="154"/>
      <c r="I406" s="154">
        <v>0</v>
      </c>
      <c r="J406" s="158"/>
      <c r="K406" s="180">
        <f t="shared" si="48"/>
        <v>0</v>
      </c>
      <c r="L406" s="153"/>
      <c r="M406" s="153"/>
      <c r="N406" s="154">
        <f t="shared" si="50"/>
        <v>0</v>
      </c>
      <c r="O406" s="155">
        <f t="shared" si="51"/>
        <v>0</v>
      </c>
      <c r="S406" s="156" t="s">
        <v>350</v>
      </c>
    </row>
    <row r="407" spans="1:19" ht="15" x14ac:dyDescent="0.25">
      <c r="A407" s="150">
        <v>8</v>
      </c>
      <c r="B407" s="150">
        <v>1915</v>
      </c>
      <c r="C407" s="151" t="s">
        <v>129</v>
      </c>
      <c r="D407" s="180">
        <f t="shared" si="47"/>
        <v>2639073.0799999996</v>
      </c>
      <c r="E407" s="153">
        <v>60000</v>
      </c>
      <c r="F407" s="153"/>
      <c r="G407" s="154">
        <f t="shared" si="49"/>
        <v>2699073.0799999996</v>
      </c>
      <c r="H407" s="154"/>
      <c r="I407" s="154">
        <v>0</v>
      </c>
      <c r="J407" s="158"/>
      <c r="K407" s="180">
        <f t="shared" si="48"/>
        <v>-2087891.4600000002</v>
      </c>
      <c r="L407" s="153">
        <v>-120601.1309</v>
      </c>
      <c r="M407" s="153"/>
      <c r="N407" s="154">
        <f t="shared" si="50"/>
        <v>-2208492.5909000002</v>
      </c>
      <c r="O407" s="155">
        <f t="shared" si="51"/>
        <v>490580.48909999942</v>
      </c>
      <c r="S407" s="156" t="s">
        <v>351</v>
      </c>
    </row>
    <row r="408" spans="1:19" ht="15" x14ac:dyDescent="0.25">
      <c r="A408" s="150"/>
      <c r="B408" s="150">
        <v>1915</v>
      </c>
      <c r="C408" s="151" t="s">
        <v>130</v>
      </c>
      <c r="D408" s="180">
        <f t="shared" si="47"/>
        <v>0</v>
      </c>
      <c r="E408" s="153"/>
      <c r="F408" s="153"/>
      <c r="G408" s="154">
        <f t="shared" si="49"/>
        <v>0</v>
      </c>
      <c r="H408" s="154"/>
      <c r="I408" s="154">
        <v>0</v>
      </c>
      <c r="J408" s="158"/>
      <c r="K408" s="180">
        <f t="shared" si="48"/>
        <v>0</v>
      </c>
      <c r="L408" s="153"/>
      <c r="M408" s="153"/>
      <c r="N408" s="154">
        <f t="shared" si="50"/>
        <v>0</v>
      </c>
      <c r="O408" s="155">
        <f t="shared" si="51"/>
        <v>0</v>
      </c>
      <c r="S408" s="156" t="s">
        <v>351</v>
      </c>
    </row>
    <row r="409" spans="1:19" ht="15" x14ac:dyDescent="0.25">
      <c r="A409" s="150">
        <v>50</v>
      </c>
      <c r="B409" s="150">
        <v>1920</v>
      </c>
      <c r="C409" s="151" t="s">
        <v>131</v>
      </c>
      <c r="D409" s="180">
        <f t="shared" si="47"/>
        <v>13721645.970000001</v>
      </c>
      <c r="E409" s="153">
        <v>1113603.3500000006</v>
      </c>
      <c r="F409" s="153"/>
      <c r="G409" s="154">
        <f t="shared" si="49"/>
        <v>14835249.32</v>
      </c>
      <c r="H409" s="154"/>
      <c r="I409" s="154">
        <v>0</v>
      </c>
      <c r="J409" s="158"/>
      <c r="K409" s="180">
        <f t="shared" si="48"/>
        <v>-9456418.3399999999</v>
      </c>
      <c r="L409" s="153">
        <v>-1783710.6673666663</v>
      </c>
      <c r="M409" s="153"/>
      <c r="N409" s="154">
        <f t="shared" si="50"/>
        <v>-11240129.007366667</v>
      </c>
      <c r="O409" s="155">
        <f t="shared" si="51"/>
        <v>3595120.3126333337</v>
      </c>
      <c r="S409" s="156" t="s">
        <v>352</v>
      </c>
    </row>
    <row r="410" spans="1:19" ht="15" x14ac:dyDescent="0.25">
      <c r="A410" s="150"/>
      <c r="B410" s="150">
        <v>1920</v>
      </c>
      <c r="C410" s="151" t="s">
        <v>132</v>
      </c>
      <c r="D410" s="180">
        <f t="shared" si="47"/>
        <v>0</v>
      </c>
      <c r="E410" s="153"/>
      <c r="F410" s="153"/>
      <c r="G410" s="154">
        <f t="shared" si="49"/>
        <v>0</v>
      </c>
      <c r="H410" s="154"/>
      <c r="I410" s="154">
        <v>0</v>
      </c>
      <c r="J410" s="158"/>
      <c r="K410" s="180">
        <f t="shared" si="48"/>
        <v>0</v>
      </c>
      <c r="L410" s="153"/>
      <c r="M410" s="153"/>
      <c r="N410" s="154">
        <f t="shared" si="50"/>
        <v>0</v>
      </c>
      <c r="O410" s="155">
        <f t="shared" si="51"/>
        <v>0</v>
      </c>
      <c r="S410" s="156" t="s">
        <v>352</v>
      </c>
    </row>
    <row r="411" spans="1:19" ht="15" x14ac:dyDescent="0.25">
      <c r="A411" s="150"/>
      <c r="B411" s="150">
        <v>1920</v>
      </c>
      <c r="C411" s="151" t="s">
        <v>133</v>
      </c>
      <c r="D411" s="180">
        <f t="shared" si="47"/>
        <v>0</v>
      </c>
      <c r="E411" s="153"/>
      <c r="F411" s="153"/>
      <c r="G411" s="154">
        <f t="shared" si="49"/>
        <v>0</v>
      </c>
      <c r="H411" s="154"/>
      <c r="I411" s="154">
        <v>0</v>
      </c>
      <c r="J411" s="158"/>
      <c r="K411" s="180">
        <f t="shared" si="48"/>
        <v>0</v>
      </c>
      <c r="L411" s="153"/>
      <c r="M411" s="153"/>
      <c r="N411" s="154">
        <f t="shared" si="50"/>
        <v>0</v>
      </c>
      <c r="O411" s="155">
        <f t="shared" si="51"/>
        <v>0</v>
      </c>
      <c r="S411" s="156" t="s">
        <v>352</v>
      </c>
    </row>
    <row r="412" spans="1:19" ht="15" x14ac:dyDescent="0.25">
      <c r="A412" s="150">
        <v>10</v>
      </c>
      <c r="B412" s="150">
        <v>1930</v>
      </c>
      <c r="C412" s="151" t="s">
        <v>134</v>
      </c>
      <c r="D412" s="180">
        <f t="shared" si="47"/>
        <v>15896273.67</v>
      </c>
      <c r="E412" s="153">
        <v>2494090</v>
      </c>
      <c r="F412" s="153"/>
      <c r="G412" s="154">
        <f t="shared" si="49"/>
        <v>18390363.670000002</v>
      </c>
      <c r="H412" s="154"/>
      <c r="I412" s="154">
        <v>0</v>
      </c>
      <c r="J412" s="158"/>
      <c r="K412" s="180">
        <f t="shared" si="48"/>
        <v>-8203778.8300000001</v>
      </c>
      <c r="L412" s="153">
        <v>-1217668.7628333333</v>
      </c>
      <c r="M412" s="153"/>
      <c r="N412" s="154">
        <f t="shared" si="50"/>
        <v>-9421447.5928333327</v>
      </c>
      <c r="O412" s="155">
        <f t="shared" si="51"/>
        <v>8968916.0771666691</v>
      </c>
      <c r="S412" s="156" t="s">
        <v>353</v>
      </c>
    </row>
    <row r="413" spans="1:19" ht="15" x14ac:dyDescent="0.25">
      <c r="A413" s="150">
        <v>8</v>
      </c>
      <c r="B413" s="150">
        <v>1935</v>
      </c>
      <c r="C413" s="151" t="s">
        <v>135</v>
      </c>
      <c r="D413" s="180">
        <f t="shared" si="47"/>
        <v>108757.92</v>
      </c>
      <c r="E413" s="153"/>
      <c r="F413" s="153"/>
      <c r="G413" s="154">
        <f t="shared" si="49"/>
        <v>108757.92</v>
      </c>
      <c r="H413" s="154"/>
      <c r="I413" s="154">
        <v>0</v>
      </c>
      <c r="J413" s="158"/>
      <c r="K413" s="180">
        <f t="shared" si="48"/>
        <v>-92023.620000000024</v>
      </c>
      <c r="L413" s="153">
        <v>-11186.848900000001</v>
      </c>
      <c r="M413" s="153"/>
      <c r="N413" s="154">
        <f t="shared" si="50"/>
        <v>-103210.46890000002</v>
      </c>
      <c r="O413" s="155">
        <f t="shared" si="51"/>
        <v>5547.4510999999766</v>
      </c>
      <c r="S413" s="156" t="s">
        <v>354</v>
      </c>
    </row>
    <row r="414" spans="1:19" ht="15" x14ac:dyDescent="0.25">
      <c r="A414" s="150">
        <v>8</v>
      </c>
      <c r="B414" s="150">
        <v>1940</v>
      </c>
      <c r="C414" s="151" t="s">
        <v>136</v>
      </c>
      <c r="D414" s="180">
        <f t="shared" si="47"/>
        <v>3970285.39</v>
      </c>
      <c r="E414" s="153">
        <v>475200</v>
      </c>
      <c r="F414" s="153"/>
      <c r="G414" s="154">
        <f t="shared" si="49"/>
        <v>4445485.3900000006</v>
      </c>
      <c r="H414" s="154"/>
      <c r="I414" s="154">
        <v>0</v>
      </c>
      <c r="J414" s="158"/>
      <c r="K414" s="180">
        <f t="shared" si="48"/>
        <v>-2370888.88</v>
      </c>
      <c r="L414" s="153">
        <v>-304587.52469999995</v>
      </c>
      <c r="M414" s="153"/>
      <c r="N414" s="154">
        <f t="shared" si="50"/>
        <v>-2675476.4046999998</v>
      </c>
      <c r="O414" s="155">
        <f t="shared" si="51"/>
        <v>1770008.9853000008</v>
      </c>
      <c r="S414" s="156" t="s">
        <v>355</v>
      </c>
    </row>
    <row r="415" spans="1:19" ht="15" x14ac:dyDescent="0.25">
      <c r="A415" s="150">
        <v>8</v>
      </c>
      <c r="B415" s="150">
        <v>1945</v>
      </c>
      <c r="C415" s="151" t="s">
        <v>137</v>
      </c>
      <c r="D415" s="180">
        <f t="shared" si="47"/>
        <v>185377.4</v>
      </c>
      <c r="E415" s="153"/>
      <c r="F415" s="153"/>
      <c r="G415" s="154">
        <f t="shared" si="49"/>
        <v>185377.4</v>
      </c>
      <c r="H415" s="154"/>
      <c r="I415" s="154">
        <v>0</v>
      </c>
      <c r="J415" s="158"/>
      <c r="K415" s="180">
        <f t="shared" si="48"/>
        <v>-170788.09</v>
      </c>
      <c r="L415" s="153">
        <v>-2435.8758000000003</v>
      </c>
      <c r="M415" s="153"/>
      <c r="N415" s="154">
        <f t="shared" si="50"/>
        <v>-173223.96580000001</v>
      </c>
      <c r="O415" s="155">
        <f t="shared" si="51"/>
        <v>12153.434199999989</v>
      </c>
      <c r="S415" s="156" t="s">
        <v>356</v>
      </c>
    </row>
    <row r="416" spans="1:19" ht="15" x14ac:dyDescent="0.25">
      <c r="A416" s="150"/>
      <c r="B416" s="150">
        <v>1950</v>
      </c>
      <c r="C416" s="151" t="s">
        <v>138</v>
      </c>
      <c r="D416" s="180">
        <f t="shared" si="47"/>
        <v>0</v>
      </c>
      <c r="E416" s="153"/>
      <c r="F416" s="153"/>
      <c r="G416" s="154">
        <f t="shared" si="49"/>
        <v>0</v>
      </c>
      <c r="H416" s="154"/>
      <c r="I416" s="154">
        <v>0</v>
      </c>
      <c r="J416" s="158"/>
      <c r="K416" s="180">
        <f t="shared" si="48"/>
        <v>0</v>
      </c>
      <c r="L416" s="153"/>
      <c r="M416" s="153"/>
      <c r="N416" s="154">
        <f t="shared" si="50"/>
        <v>0</v>
      </c>
      <c r="O416" s="155">
        <f t="shared" si="51"/>
        <v>0</v>
      </c>
      <c r="S416" s="156" t="s">
        <v>357</v>
      </c>
    </row>
    <row r="417" spans="1:19" ht="15" x14ac:dyDescent="0.25">
      <c r="A417" s="150">
        <v>8</v>
      </c>
      <c r="B417" s="150">
        <v>1955</v>
      </c>
      <c r="C417" s="151" t="s">
        <v>139</v>
      </c>
      <c r="D417" s="180">
        <f t="shared" si="47"/>
        <v>2325931.7399999993</v>
      </c>
      <c r="E417" s="153"/>
      <c r="F417" s="153"/>
      <c r="G417" s="154">
        <f t="shared" si="49"/>
        <v>2325931.7399999993</v>
      </c>
      <c r="H417" s="154"/>
      <c r="I417" s="154">
        <v>0</v>
      </c>
      <c r="J417" s="158"/>
      <c r="K417" s="180">
        <f t="shared" si="48"/>
        <v>-1880717.32</v>
      </c>
      <c r="L417" s="153">
        <v>-110873.29740000001</v>
      </c>
      <c r="M417" s="153"/>
      <c r="N417" s="154">
        <f t="shared" si="50"/>
        <v>-1991590.6174000001</v>
      </c>
      <c r="O417" s="155">
        <f t="shared" si="51"/>
        <v>334341.12259999919</v>
      </c>
      <c r="S417" s="156" t="s">
        <v>358</v>
      </c>
    </row>
    <row r="418" spans="1:19" ht="15" x14ac:dyDescent="0.25">
      <c r="A418" s="150"/>
      <c r="B418" s="150">
        <v>1955</v>
      </c>
      <c r="C418" s="151" t="s">
        <v>140</v>
      </c>
      <c r="D418" s="180">
        <f t="shared" si="47"/>
        <v>0</v>
      </c>
      <c r="E418" s="153"/>
      <c r="F418" s="153"/>
      <c r="G418" s="154">
        <f t="shared" si="49"/>
        <v>0</v>
      </c>
      <c r="H418" s="154"/>
      <c r="I418" s="154">
        <v>0</v>
      </c>
      <c r="J418" s="158"/>
      <c r="K418" s="180">
        <f t="shared" si="48"/>
        <v>0</v>
      </c>
      <c r="L418" s="153"/>
      <c r="M418" s="153"/>
      <c r="N418" s="154">
        <f t="shared" si="50"/>
        <v>0</v>
      </c>
      <c r="O418" s="155">
        <f t="shared" si="51"/>
        <v>0</v>
      </c>
      <c r="S418" s="156" t="s">
        <v>358</v>
      </c>
    </row>
    <row r="419" spans="1:19" ht="15" x14ac:dyDescent="0.25">
      <c r="A419" s="150">
        <v>8</v>
      </c>
      <c r="B419" s="150">
        <v>1960</v>
      </c>
      <c r="C419" s="151" t="s">
        <v>141</v>
      </c>
      <c r="D419" s="180">
        <f t="shared" si="47"/>
        <v>470214.34999999992</v>
      </c>
      <c r="E419" s="153"/>
      <c r="F419" s="153"/>
      <c r="G419" s="154">
        <f t="shared" si="49"/>
        <v>470214.34999999992</v>
      </c>
      <c r="H419" s="154"/>
      <c r="I419" s="154">
        <v>0</v>
      </c>
      <c r="J419" s="158"/>
      <c r="K419" s="180">
        <f t="shared" si="48"/>
        <v>-340968.92</v>
      </c>
      <c r="L419" s="153">
        <v>-30178.451300000001</v>
      </c>
      <c r="M419" s="153"/>
      <c r="N419" s="154">
        <f t="shared" si="50"/>
        <v>-371147.3713</v>
      </c>
      <c r="O419" s="155">
        <f t="shared" si="51"/>
        <v>99066.97869999992</v>
      </c>
      <c r="S419" s="156" t="s">
        <v>359</v>
      </c>
    </row>
    <row r="420" spans="1:19" ht="15" x14ac:dyDescent="0.25">
      <c r="A420" s="150"/>
      <c r="B420" s="150">
        <v>1970</v>
      </c>
      <c r="C420" s="151" t="s">
        <v>142</v>
      </c>
      <c r="D420" s="180">
        <f t="shared" si="47"/>
        <v>0</v>
      </c>
      <c r="E420" s="153"/>
      <c r="F420" s="153"/>
      <c r="G420" s="154">
        <f t="shared" si="49"/>
        <v>0</v>
      </c>
      <c r="H420" s="154"/>
      <c r="I420" s="154">
        <v>0</v>
      </c>
      <c r="J420" s="158"/>
      <c r="K420" s="180">
        <f t="shared" si="48"/>
        <v>0</v>
      </c>
      <c r="L420" s="153"/>
      <c r="M420" s="153"/>
      <c r="N420" s="154">
        <f t="shared" si="50"/>
        <v>0</v>
      </c>
      <c r="O420" s="155">
        <f t="shared" si="51"/>
        <v>0</v>
      </c>
      <c r="S420" s="156" t="s">
        <v>360</v>
      </c>
    </row>
    <row r="421" spans="1:19" ht="15" x14ac:dyDescent="0.25">
      <c r="A421" s="150"/>
      <c r="B421" s="150">
        <v>1975</v>
      </c>
      <c r="C421" s="151" t="s">
        <v>143</v>
      </c>
      <c r="D421" s="180">
        <f t="shared" si="47"/>
        <v>0</v>
      </c>
      <c r="E421" s="153"/>
      <c r="F421" s="153"/>
      <c r="G421" s="154">
        <f t="shared" si="49"/>
        <v>0</v>
      </c>
      <c r="H421" s="154"/>
      <c r="I421" s="154">
        <v>0</v>
      </c>
      <c r="J421" s="158"/>
      <c r="K421" s="180">
        <f t="shared" si="48"/>
        <v>0</v>
      </c>
      <c r="L421" s="153"/>
      <c r="M421" s="153"/>
      <c r="N421" s="154">
        <f t="shared" si="50"/>
        <v>0</v>
      </c>
      <c r="O421" s="155">
        <f t="shared" si="51"/>
        <v>0</v>
      </c>
      <c r="S421" s="156" t="s">
        <v>361</v>
      </c>
    </row>
    <row r="422" spans="1:19" ht="15" x14ac:dyDescent="0.25">
      <c r="A422" s="150">
        <v>8</v>
      </c>
      <c r="B422" s="150">
        <v>1980</v>
      </c>
      <c r="C422" s="151" t="s">
        <v>144</v>
      </c>
      <c r="D422" s="180">
        <f t="shared" si="47"/>
        <v>10328034.018999998</v>
      </c>
      <c r="E422" s="153">
        <v>257255.29980000001</v>
      </c>
      <c r="F422" s="153"/>
      <c r="G422" s="154">
        <f t="shared" si="49"/>
        <v>10585289.318799997</v>
      </c>
      <c r="H422" s="154"/>
      <c r="I422" s="154">
        <v>0</v>
      </c>
      <c r="J422" s="158"/>
      <c r="K422" s="180">
        <f t="shared" si="48"/>
        <v>-5594528.1100000003</v>
      </c>
      <c r="L422" s="153">
        <v>-550803.07825999998</v>
      </c>
      <c r="M422" s="153"/>
      <c r="N422" s="154">
        <f t="shared" si="50"/>
        <v>-6145331.1882600002</v>
      </c>
      <c r="O422" s="155">
        <f t="shared" si="51"/>
        <v>4439958.1305399965</v>
      </c>
      <c r="S422" s="156" t="s">
        <v>362</v>
      </c>
    </row>
    <row r="423" spans="1:19" ht="15" x14ac:dyDescent="0.25">
      <c r="A423" s="150"/>
      <c r="B423" s="150">
        <v>1985</v>
      </c>
      <c r="C423" s="151" t="s">
        <v>145</v>
      </c>
      <c r="D423" s="180">
        <f t="shared" si="47"/>
        <v>0</v>
      </c>
      <c r="E423" s="153"/>
      <c r="F423" s="153"/>
      <c r="G423" s="154">
        <f t="shared" si="49"/>
        <v>0</v>
      </c>
      <c r="H423" s="154"/>
      <c r="I423" s="154">
        <v>0</v>
      </c>
      <c r="J423" s="158"/>
      <c r="K423" s="180">
        <f t="shared" si="48"/>
        <v>0</v>
      </c>
      <c r="L423" s="153"/>
      <c r="M423" s="153"/>
      <c r="N423" s="154">
        <f t="shared" si="50"/>
        <v>0</v>
      </c>
      <c r="O423" s="155">
        <f t="shared" si="51"/>
        <v>0</v>
      </c>
      <c r="S423" s="156" t="s">
        <v>363</v>
      </c>
    </row>
    <row r="424" spans="1:19" ht="15" x14ac:dyDescent="0.25">
      <c r="A424" s="150"/>
      <c r="B424" s="150">
        <v>1990</v>
      </c>
      <c r="C424" s="159" t="s">
        <v>146</v>
      </c>
      <c r="D424" s="180">
        <f t="shared" si="47"/>
        <v>0</v>
      </c>
      <c r="E424" s="153"/>
      <c r="F424" s="153"/>
      <c r="G424" s="154">
        <f t="shared" si="49"/>
        <v>0</v>
      </c>
      <c r="H424" s="154"/>
      <c r="I424" s="154">
        <v>0</v>
      </c>
      <c r="J424" s="158"/>
      <c r="K424" s="180">
        <f t="shared" si="48"/>
        <v>0</v>
      </c>
      <c r="L424" s="153"/>
      <c r="M424" s="153"/>
      <c r="N424" s="154">
        <f t="shared" si="50"/>
        <v>0</v>
      </c>
      <c r="O424" s="155">
        <f t="shared" si="51"/>
        <v>0</v>
      </c>
      <c r="S424" s="156" t="s">
        <v>364</v>
      </c>
    </row>
    <row r="425" spans="1:19" ht="15" x14ac:dyDescent="0.25">
      <c r="A425" s="150"/>
      <c r="B425" s="150">
        <v>1995</v>
      </c>
      <c r="C425" s="151" t="s">
        <v>147</v>
      </c>
      <c r="D425" s="180">
        <f t="shared" si="47"/>
        <v>0</v>
      </c>
      <c r="E425" s="153"/>
      <c r="F425" s="153"/>
      <c r="G425" s="154">
        <f t="shared" si="49"/>
        <v>0</v>
      </c>
      <c r="H425" s="154"/>
      <c r="I425" s="154">
        <v>0</v>
      </c>
      <c r="J425" s="158"/>
      <c r="K425" s="180">
        <f t="shared" si="48"/>
        <v>0</v>
      </c>
      <c r="L425" s="153"/>
      <c r="M425" s="153"/>
      <c r="N425" s="154">
        <f t="shared" si="50"/>
        <v>0</v>
      </c>
      <c r="O425" s="155">
        <f t="shared" si="51"/>
        <v>0</v>
      </c>
      <c r="S425" s="156" t="s">
        <v>365</v>
      </c>
    </row>
    <row r="426" spans="1:19" ht="15" x14ac:dyDescent="0.25">
      <c r="A426" s="150">
        <v>43.2</v>
      </c>
      <c r="B426" s="150">
        <v>2075</v>
      </c>
      <c r="C426" s="151" t="s">
        <v>148</v>
      </c>
      <c r="D426" s="180">
        <f t="shared" si="47"/>
        <v>1251765.9099999997</v>
      </c>
      <c r="E426" s="153"/>
      <c r="F426" s="153"/>
      <c r="G426" s="154">
        <f t="shared" si="49"/>
        <v>1251765.9099999997</v>
      </c>
      <c r="H426" s="154"/>
      <c r="I426" s="154">
        <v>0</v>
      </c>
      <c r="J426" s="158"/>
      <c r="K426" s="180">
        <f t="shared" si="48"/>
        <v>-587338.84000000008</v>
      </c>
      <c r="L426" s="153">
        <v>-52509.521900000007</v>
      </c>
      <c r="M426" s="153"/>
      <c r="N426" s="154">
        <f t="shared" si="50"/>
        <v>-639848.36190000013</v>
      </c>
      <c r="O426" s="155">
        <f t="shared" si="51"/>
        <v>611917.54809999955</v>
      </c>
      <c r="S426" s="156"/>
    </row>
    <row r="427" spans="1:19" ht="15" x14ac:dyDescent="0.25">
      <c r="A427" s="150">
        <v>47</v>
      </c>
      <c r="B427" s="150">
        <v>2440</v>
      </c>
      <c r="C427" s="151" t="s">
        <v>149</v>
      </c>
      <c r="D427" s="180">
        <f t="shared" si="47"/>
        <v>-129996170.19000001</v>
      </c>
      <c r="E427" s="153">
        <v>-34626022.507599995</v>
      </c>
      <c r="F427" s="153">
        <v>80922.927661995389</v>
      </c>
      <c r="G427" s="154">
        <f t="shared" si="49"/>
        <v>-164541269.76993802</v>
      </c>
      <c r="H427" s="154"/>
      <c r="I427" s="154">
        <v>0</v>
      </c>
      <c r="K427" s="180">
        <f t="shared" si="48"/>
        <v>16500057.98</v>
      </c>
      <c r="L427" s="153">
        <v>3637431.1108145826</v>
      </c>
      <c r="M427" s="153">
        <v>-10319.73075027304</v>
      </c>
      <c r="N427" s="154">
        <f t="shared" si="50"/>
        <v>20127169.360064309</v>
      </c>
      <c r="O427" s="155">
        <f t="shared" si="51"/>
        <v>-144414100.40987372</v>
      </c>
      <c r="S427" s="156" t="s">
        <v>366</v>
      </c>
    </row>
    <row r="428" spans="1:19" ht="15" x14ac:dyDescent="0.25">
      <c r="A428" s="160" t="s">
        <v>109</v>
      </c>
      <c r="B428" s="160">
        <v>2005</v>
      </c>
      <c r="C428" s="161" t="s">
        <v>150</v>
      </c>
      <c r="D428" s="180">
        <f t="shared" si="47"/>
        <v>1949864.7900000003</v>
      </c>
      <c r="E428" s="162"/>
      <c r="F428" s="162"/>
      <c r="G428" s="154">
        <f t="shared" si="49"/>
        <v>1949864.7900000003</v>
      </c>
      <c r="H428" s="154"/>
      <c r="I428" s="154">
        <v>0</v>
      </c>
      <c r="K428" s="180">
        <f t="shared" si="48"/>
        <v>-1740404.5</v>
      </c>
      <c r="L428" s="153">
        <v>-94726.73</v>
      </c>
      <c r="M428" s="162"/>
      <c r="N428" s="154">
        <f t="shared" si="50"/>
        <v>-1835131.23</v>
      </c>
      <c r="O428" s="155">
        <f t="shared" si="51"/>
        <v>114733.56000000029</v>
      </c>
      <c r="S428" s="156" t="s">
        <v>367</v>
      </c>
    </row>
    <row r="429" spans="1:19" x14ac:dyDescent="0.2">
      <c r="A429" s="160"/>
      <c r="B429" s="160"/>
      <c r="C429" s="164" t="s">
        <v>20</v>
      </c>
      <c r="D429" s="165">
        <f>SUM(D385:D428)</f>
        <v>631615223.31359982</v>
      </c>
      <c r="E429" s="165">
        <f>SUM(E385:E428)</f>
        <v>53303664.946779981</v>
      </c>
      <c r="F429" s="165">
        <f>SUM(F385:F428)</f>
        <v>-2184674.7306083273</v>
      </c>
      <c r="G429" s="165">
        <f>SUM(G385:G428)</f>
        <v>682734213.52977157</v>
      </c>
      <c r="H429" s="165"/>
      <c r="I429" s="165">
        <f>SUM(I385:I428)</f>
        <v>0</v>
      </c>
      <c r="J429" s="167"/>
      <c r="K429" s="165">
        <f>SUM(K385:K428)</f>
        <v>-194059742.86000004</v>
      </c>
      <c r="L429" s="165">
        <f>SUM(L385:L428)</f>
        <v>-23018375.491299141</v>
      </c>
      <c r="M429" s="165">
        <f>SUM(M385:M428)</f>
        <v>856530.74227163219</v>
      </c>
      <c r="N429" s="165">
        <f>SUM(N385:N428)</f>
        <v>-216221587.60902748</v>
      </c>
      <c r="O429" s="165">
        <f>SUM(O385:O428)</f>
        <v>466512625.92074412</v>
      </c>
    </row>
    <row r="430" spans="1:19" ht="25.5" x14ac:dyDescent="0.25">
      <c r="A430" s="160"/>
      <c r="B430" s="160"/>
      <c r="C430" s="168" t="s">
        <v>151</v>
      </c>
      <c r="D430" s="180">
        <f>G361</f>
        <v>-675735.92449999996</v>
      </c>
      <c r="E430" s="162"/>
      <c r="F430" s="162"/>
      <c r="G430" s="154">
        <f>D430+E430+F430</f>
        <v>-675735.92449999996</v>
      </c>
      <c r="H430" s="154"/>
      <c r="I430" s="154"/>
      <c r="K430" s="180">
        <f>N361</f>
        <v>318588.37259999994</v>
      </c>
      <c r="L430" s="178">
        <v>35751.913254999992</v>
      </c>
      <c r="M430" s="162"/>
      <c r="N430" s="154">
        <f>K430+L430+M430</f>
        <v>354340.28585499991</v>
      </c>
      <c r="O430" s="155">
        <f>G430+N430</f>
        <v>-321395.63864500006</v>
      </c>
    </row>
    <row r="431" spans="1:19" ht="24.75" x14ac:dyDescent="0.25">
      <c r="A431" s="160"/>
      <c r="B431" s="160"/>
      <c r="C431" s="169" t="s">
        <v>152</v>
      </c>
      <c r="D431" s="180">
        <f>G362</f>
        <v>-1251765.9099999997</v>
      </c>
      <c r="E431" s="178">
        <f>-E426</f>
        <v>0</v>
      </c>
      <c r="F431" s="178">
        <f>-F426</f>
        <v>0</v>
      </c>
      <c r="G431" s="154">
        <f>D431+E431+F431</f>
        <v>-1251765.9099999997</v>
      </c>
      <c r="H431" s="154"/>
      <c r="I431" s="154"/>
      <c r="K431" s="180">
        <f>N362</f>
        <v>587338.84000000008</v>
      </c>
      <c r="L431" s="178">
        <f>-L426</f>
        <v>52509.521900000007</v>
      </c>
      <c r="M431" s="178">
        <f>-M426</f>
        <v>0</v>
      </c>
      <c r="N431" s="154">
        <f>K431+L431+M431</f>
        <v>639848.36190000013</v>
      </c>
      <c r="O431" s="155">
        <f>G431+N431</f>
        <v>-611917.54809999955</v>
      </c>
    </row>
    <row r="432" spans="1:19" ht="15" x14ac:dyDescent="0.25">
      <c r="A432" s="160"/>
      <c r="B432" s="160"/>
      <c r="C432" s="164" t="s">
        <v>153</v>
      </c>
      <c r="D432" s="165">
        <f>SUM(D429:D431)</f>
        <v>629687721.47909987</v>
      </c>
      <c r="E432" s="165">
        <f>SUM(E429:E431)</f>
        <v>53303664.946779981</v>
      </c>
      <c r="F432" s="165">
        <f>SUM(F429:F431)</f>
        <v>-2184674.7306083273</v>
      </c>
      <c r="G432" s="165">
        <f>SUM(G429:G431)</f>
        <v>680806711.69527161</v>
      </c>
      <c r="H432" s="165"/>
      <c r="I432" s="154"/>
      <c r="J432" s="167"/>
      <c r="K432" s="165">
        <f>SUM(K429:K431)</f>
        <v>-193153815.64740005</v>
      </c>
      <c r="L432" s="165">
        <f>SUM(L429:L431)</f>
        <v>-22930114.056144144</v>
      </c>
      <c r="M432" s="165">
        <f>SUM(M429:M431)</f>
        <v>856530.74227163219</v>
      </c>
      <c r="N432" s="165">
        <f>SUM(N429:N431)</f>
        <v>-215227398.96127248</v>
      </c>
      <c r="O432" s="165">
        <f>SUM(O429:O431)</f>
        <v>465579312.73399913</v>
      </c>
    </row>
    <row r="433" spans="1:15" ht="15" x14ac:dyDescent="0.25">
      <c r="A433" s="160"/>
      <c r="B433" s="160"/>
      <c r="C433" s="170" t="s">
        <v>154</v>
      </c>
      <c r="D433" s="153">
        <f>G364</f>
        <v>63566566.54999999</v>
      </c>
      <c r="E433" s="153">
        <f>-17108658.11319+16087090.7832</f>
        <v>-1021567.3299899995</v>
      </c>
      <c r="F433" s="153"/>
      <c r="G433" s="154">
        <f t="shared" ref="G433" si="52">D433+E433+F433</f>
        <v>62544999.22000999</v>
      </c>
      <c r="H433" s="154"/>
      <c r="I433" s="154">
        <v>0</v>
      </c>
      <c r="J433" s="158"/>
      <c r="N433" s="154">
        <f t="shared" ref="N433" si="53">K433+L433+M433</f>
        <v>0</v>
      </c>
      <c r="O433" s="155">
        <f t="shared" ref="O433" si="54">G433+N433</f>
        <v>62544999.22000999</v>
      </c>
    </row>
    <row r="434" spans="1:15" x14ac:dyDescent="0.2">
      <c r="A434" s="160"/>
      <c r="B434" s="160"/>
      <c r="C434" s="170" t="s">
        <v>155</v>
      </c>
      <c r="D434" s="165">
        <f>SUM(D432:D433)</f>
        <v>693254288.02909982</v>
      </c>
      <c r="E434" s="165">
        <f t="shared" ref="E434:G434" si="55">SUM(E432:E433)</f>
        <v>52282097.616789982</v>
      </c>
      <c r="F434" s="165">
        <f t="shared" si="55"/>
        <v>-2184674.7306083273</v>
      </c>
      <c r="G434" s="165">
        <f t="shared" si="55"/>
        <v>743351710.91528165</v>
      </c>
      <c r="H434" s="165"/>
      <c r="I434" s="165">
        <f t="shared" ref="I434:O434" si="56">SUM(I432:I433)</f>
        <v>0</v>
      </c>
      <c r="J434" s="165">
        <f t="shared" si="56"/>
        <v>0</v>
      </c>
      <c r="K434" s="165">
        <f t="shared" si="56"/>
        <v>-193153815.64740005</v>
      </c>
      <c r="L434" s="165">
        <f t="shared" si="56"/>
        <v>-22930114.056144144</v>
      </c>
      <c r="M434" s="165">
        <f t="shared" si="56"/>
        <v>856530.74227163219</v>
      </c>
      <c r="N434" s="165">
        <f t="shared" si="56"/>
        <v>-215227398.96127248</v>
      </c>
      <c r="O434" s="165">
        <f t="shared" si="56"/>
        <v>528124311.95400912</v>
      </c>
    </row>
    <row r="435" spans="1:15" ht="15" x14ac:dyDescent="0.25">
      <c r="A435" s="160"/>
      <c r="B435" s="160"/>
      <c r="C435" s="359" t="s">
        <v>156</v>
      </c>
      <c r="D435" s="360"/>
      <c r="E435" s="360"/>
      <c r="F435" s="360"/>
      <c r="G435" s="360"/>
      <c r="H435" s="360"/>
      <c r="I435" s="360"/>
      <c r="J435" s="360"/>
      <c r="K435" s="361"/>
      <c r="L435" s="162"/>
      <c r="N435" s="171"/>
      <c r="O435" s="172"/>
    </row>
    <row r="436" spans="1:15" ht="15" x14ac:dyDescent="0.25">
      <c r="A436" s="160"/>
      <c r="B436" s="160"/>
      <c r="C436" s="359" t="s">
        <v>43</v>
      </c>
      <c r="D436" s="360"/>
      <c r="E436" s="360"/>
      <c r="F436" s="360"/>
      <c r="G436" s="360"/>
      <c r="H436" s="360"/>
      <c r="I436" s="360"/>
      <c r="J436" s="360"/>
      <c r="K436" s="361"/>
      <c r="L436" s="165">
        <f>L434+L435</f>
        <v>-22930114.056144144</v>
      </c>
      <c r="N436" s="171"/>
      <c r="O436" s="172"/>
    </row>
    <row r="437" spans="1:15" ht="27" customHeight="1" x14ac:dyDescent="0.2">
      <c r="D437" s="355" t="s">
        <v>157</v>
      </c>
      <c r="E437" s="355"/>
      <c r="F437" s="355"/>
      <c r="G437" s="172">
        <f>AVERAGE(D432,G432)</f>
        <v>655247216.58718574</v>
      </c>
      <c r="H437" s="172"/>
      <c r="K437" s="124" t="s">
        <v>158</v>
      </c>
      <c r="N437" s="172">
        <f>AVERAGE(K432,N432)</f>
        <v>-204190607.30433625</v>
      </c>
    </row>
    <row r="438" spans="1:15" x14ac:dyDescent="0.2">
      <c r="D438" s="124"/>
      <c r="G438" s="172"/>
      <c r="H438" s="172"/>
      <c r="K438" s="124" t="s">
        <v>159</v>
      </c>
      <c r="N438" s="172">
        <f>G437+N437</f>
        <v>451056609.28284949</v>
      </c>
    </row>
    <row r="439" spans="1:15" x14ac:dyDescent="0.2">
      <c r="K439" s="123" t="s">
        <v>160</v>
      </c>
    </row>
    <row r="440" spans="1:15" ht="15" x14ac:dyDescent="0.25">
      <c r="A440" s="160">
        <v>10</v>
      </c>
      <c r="B440" s="160"/>
      <c r="C440" s="173" t="str">
        <f>+K440</f>
        <v>Transportation</v>
      </c>
      <c r="D440" s="174"/>
      <c r="E440" s="174"/>
      <c r="F440" s="174"/>
      <c r="G440" s="174"/>
      <c r="H440" s="174"/>
      <c r="I440" s="174"/>
      <c r="J440" s="174"/>
      <c r="K440" s="174" t="s">
        <v>161</v>
      </c>
      <c r="L440" s="174"/>
      <c r="M440" s="175">
        <v>-1312395.49</v>
      </c>
    </row>
    <row r="441" spans="1:15" ht="15" x14ac:dyDescent="0.25">
      <c r="A441" s="160"/>
      <c r="B441" s="160"/>
      <c r="C441" s="173" t="str">
        <f t="shared" ref="C441:C442" si="57">+K441</f>
        <v>Net Derecognition</v>
      </c>
      <c r="D441" s="174"/>
      <c r="E441" s="174"/>
      <c r="F441" s="174"/>
      <c r="G441" s="174"/>
      <c r="H441" s="174"/>
      <c r="I441" s="174"/>
      <c r="J441" s="174"/>
      <c r="K441" s="174" t="s">
        <v>162</v>
      </c>
      <c r="L441" s="174"/>
      <c r="M441" s="175">
        <v>1398747.19</v>
      </c>
    </row>
    <row r="442" spans="1:15" ht="15" x14ac:dyDescent="0.25">
      <c r="A442" s="160">
        <v>47</v>
      </c>
      <c r="B442" s="160"/>
      <c r="C442" s="173" t="str">
        <f t="shared" si="57"/>
        <v>Deferred Revenue</v>
      </c>
      <c r="D442" s="174"/>
      <c r="E442" s="174"/>
      <c r="F442" s="174"/>
      <c r="G442" s="174"/>
      <c r="H442" s="174"/>
      <c r="I442" s="174"/>
      <c r="J442" s="174"/>
      <c r="K442" s="174" t="s">
        <v>166</v>
      </c>
      <c r="L442" s="174"/>
      <c r="M442" s="175">
        <v>-70603.199999999997</v>
      </c>
    </row>
    <row r="443" spans="1:15" x14ac:dyDescent="0.2">
      <c r="K443" s="353" t="s">
        <v>164</v>
      </c>
      <c r="L443" s="354"/>
      <c r="M443" s="177">
        <f>L436-M440-M441-M442</f>
        <v>-22945862.556144148</v>
      </c>
    </row>
    <row r="447" spans="1:15" ht="15.75" thickBot="1" x14ac:dyDescent="0.25">
      <c r="E447" s="135" t="s">
        <v>94</v>
      </c>
      <c r="F447" s="136" t="s">
        <v>12</v>
      </c>
    </row>
    <row r="448" spans="1:15" ht="15.75" thickBot="1" x14ac:dyDescent="0.3">
      <c r="E448" s="135" t="s">
        <v>95</v>
      </c>
      <c r="F448" s="137">
        <v>2026</v>
      </c>
      <c r="G448" s="138"/>
      <c r="H448" s="138"/>
      <c r="I448" s="139" t="b">
        <f>IF(F448=2014,4,IF(F448=2015,5,IF(F448=2016,6,IF(F448=2017,7,IF(F448=2018,8,IF(F448=2019,9,IF(F448=2020,10)))))))</f>
        <v>0</v>
      </c>
    </row>
    <row r="450" spans="1:19" x14ac:dyDescent="0.2">
      <c r="D450" s="356" t="s">
        <v>96</v>
      </c>
      <c r="E450" s="357"/>
      <c r="F450" s="357"/>
      <c r="G450" s="357"/>
      <c r="H450" s="357"/>
      <c r="I450" s="358"/>
      <c r="K450" s="140"/>
      <c r="L450" s="141" t="s">
        <v>97</v>
      </c>
      <c r="M450" s="141"/>
      <c r="N450" s="142"/>
    </row>
    <row r="451" spans="1:19" ht="30" customHeight="1" x14ac:dyDescent="0.2">
      <c r="A451" s="143" t="s">
        <v>98</v>
      </c>
      <c r="B451" s="143" t="s">
        <v>99</v>
      </c>
      <c r="C451" s="144" t="s">
        <v>100</v>
      </c>
      <c r="D451" s="143" t="s">
        <v>101</v>
      </c>
      <c r="E451" s="145" t="s">
        <v>102</v>
      </c>
      <c r="F451" s="145" t="s">
        <v>103</v>
      </c>
      <c r="G451" s="143" t="s">
        <v>104</v>
      </c>
      <c r="H451" s="143"/>
      <c r="I451" s="143" t="s">
        <v>105</v>
      </c>
      <c r="J451" s="146"/>
      <c r="K451" s="143" t="s">
        <v>101</v>
      </c>
      <c r="L451" s="147" t="s">
        <v>106</v>
      </c>
      <c r="M451" s="147" t="s">
        <v>103</v>
      </c>
      <c r="N451" s="148" t="s">
        <v>104</v>
      </c>
      <c r="O451" s="143" t="s">
        <v>107</v>
      </c>
    </row>
    <row r="452" spans="1:19" ht="15" x14ac:dyDescent="0.25">
      <c r="A452" s="149">
        <v>14.1</v>
      </c>
      <c r="B452" s="150">
        <v>1609</v>
      </c>
      <c r="C452" s="151" t="s">
        <v>108</v>
      </c>
      <c r="D452" s="181">
        <f t="shared" ref="D452:D495" si="58">G385</f>
        <v>6196800</v>
      </c>
      <c r="E452" s="153"/>
      <c r="F452" s="153"/>
      <c r="G452" s="154">
        <f>D452+E452+F452</f>
        <v>6196800</v>
      </c>
      <c r="H452" s="154"/>
      <c r="I452" s="154">
        <v>0</v>
      </c>
      <c r="J452" s="146"/>
      <c r="K452" s="182">
        <f t="shared" ref="K452:K495" si="59">N385</f>
        <v>-1582154.1083999998</v>
      </c>
      <c r="L452" s="153">
        <v>-615173.75839999993</v>
      </c>
      <c r="M452" s="153"/>
      <c r="N452" s="154">
        <f>K452+L452+M452</f>
        <v>-2197327.8668</v>
      </c>
      <c r="O452" s="155">
        <f>G452+N452</f>
        <v>3999472.1332</v>
      </c>
      <c r="S452" s="156" t="s">
        <v>332</v>
      </c>
    </row>
    <row r="453" spans="1:19" ht="15" x14ac:dyDescent="0.25">
      <c r="A453" s="149" t="s">
        <v>109</v>
      </c>
      <c r="B453" s="150">
        <v>1610</v>
      </c>
      <c r="C453" s="151" t="s">
        <v>110</v>
      </c>
      <c r="D453" s="181">
        <f t="shared" si="58"/>
        <v>4560266.58</v>
      </c>
      <c r="E453" s="153"/>
      <c r="F453" s="153"/>
      <c r="G453" s="154">
        <f>D453+E453+F453</f>
        <v>4560266.58</v>
      </c>
      <c r="H453" s="154"/>
      <c r="I453" s="154">
        <v>0</v>
      </c>
      <c r="J453" s="146"/>
      <c r="K453" s="182">
        <f t="shared" si="59"/>
        <v>-4158862.3626000001</v>
      </c>
      <c r="L453" s="153">
        <v>-97890.290599999993</v>
      </c>
      <c r="M453" s="153"/>
      <c r="N453" s="154">
        <f>K453+L453+M453</f>
        <v>-4256752.6532000005</v>
      </c>
      <c r="O453" s="155">
        <f>G453+N453</f>
        <v>303513.92679999955</v>
      </c>
      <c r="S453" s="156"/>
    </row>
    <row r="454" spans="1:19" ht="15" x14ac:dyDescent="0.25">
      <c r="A454" s="150">
        <v>12</v>
      </c>
      <c r="B454" s="150">
        <v>1611</v>
      </c>
      <c r="C454" s="157" t="s">
        <v>111</v>
      </c>
      <c r="D454" s="181">
        <f t="shared" si="58"/>
        <v>24335242.590000004</v>
      </c>
      <c r="E454" s="153">
        <v>445200</v>
      </c>
      <c r="F454" s="153"/>
      <c r="G454" s="154">
        <f>D454+E454+F454</f>
        <v>24780442.590000004</v>
      </c>
      <c r="H454" s="154"/>
      <c r="I454" s="154">
        <v>0</v>
      </c>
      <c r="J454" s="158"/>
      <c r="K454" s="182">
        <f t="shared" si="59"/>
        <v>-20599397.903700002</v>
      </c>
      <c r="L454" s="153">
        <v>-1804345.4277666667</v>
      </c>
      <c r="M454" s="153"/>
      <c r="N454" s="154">
        <f>K454+L454+M454</f>
        <v>-22403743.331466667</v>
      </c>
      <c r="O454" s="155">
        <f>G454+N454</f>
        <v>2376699.2585333362</v>
      </c>
      <c r="S454" s="156" t="s">
        <v>333</v>
      </c>
    </row>
    <row r="455" spans="1:19" ht="15" x14ac:dyDescent="0.25">
      <c r="A455" s="150">
        <v>14.1</v>
      </c>
      <c r="B455" s="150">
        <v>1612</v>
      </c>
      <c r="C455" s="151" t="s">
        <v>112</v>
      </c>
      <c r="D455" s="181">
        <f t="shared" si="58"/>
        <v>461198.61000000034</v>
      </c>
      <c r="E455" s="153"/>
      <c r="F455" s="153"/>
      <c r="G455" s="154">
        <f>D455+E455+F455</f>
        <v>461198.61000000034</v>
      </c>
      <c r="H455" s="154"/>
      <c r="I455" s="154">
        <v>0</v>
      </c>
      <c r="J455" s="158"/>
      <c r="K455" s="182">
        <f t="shared" si="59"/>
        <v>-140956.67920000001</v>
      </c>
      <c r="L455" s="153">
        <v>-12301.7492</v>
      </c>
      <c r="M455" s="153"/>
      <c r="N455" s="154">
        <f>K455+L455+M455</f>
        <v>-153258.4284</v>
      </c>
      <c r="O455" s="155">
        <f>G455+N455</f>
        <v>307940.18160000036</v>
      </c>
      <c r="S455" s="156" t="s">
        <v>334</v>
      </c>
    </row>
    <row r="456" spans="1:19" ht="15" x14ac:dyDescent="0.25">
      <c r="A456" s="150" t="s">
        <v>109</v>
      </c>
      <c r="B456" s="150">
        <v>1805</v>
      </c>
      <c r="C456" s="151" t="s">
        <v>113</v>
      </c>
      <c r="D456" s="181">
        <f t="shared" si="58"/>
        <v>1190619.8899999999</v>
      </c>
      <c r="E456" s="153"/>
      <c r="F456" s="153"/>
      <c r="G456" s="154">
        <f>D456+E456+F456</f>
        <v>1190619.8899999999</v>
      </c>
      <c r="H456" s="154"/>
      <c r="I456" s="154">
        <v>0</v>
      </c>
      <c r="J456" s="158"/>
      <c r="K456" s="182">
        <f t="shared" si="59"/>
        <v>0</v>
      </c>
      <c r="L456" s="153"/>
      <c r="M456" s="153"/>
      <c r="N456" s="154">
        <f>K456+L456+M456</f>
        <v>0</v>
      </c>
      <c r="O456" s="155">
        <f>G456+N456</f>
        <v>1190619.8899999999</v>
      </c>
      <c r="S456" s="156" t="s">
        <v>335</v>
      </c>
    </row>
    <row r="457" spans="1:19" ht="15" x14ac:dyDescent="0.25">
      <c r="A457" s="150">
        <v>47</v>
      </c>
      <c r="B457" s="150">
        <v>1808</v>
      </c>
      <c r="C457" s="151" t="s">
        <v>114</v>
      </c>
      <c r="D457" s="181">
        <f t="shared" si="58"/>
        <v>1409044.04</v>
      </c>
      <c r="E457" s="153"/>
      <c r="F457" s="153"/>
      <c r="G457" s="154">
        <f t="shared" ref="G457:G495" si="60">D457+E457+F457</f>
        <v>1409044.04</v>
      </c>
      <c r="H457" s="154"/>
      <c r="I457" s="154">
        <v>0</v>
      </c>
      <c r="J457" s="158"/>
      <c r="K457" s="182">
        <f t="shared" si="59"/>
        <v>-1230637.6710000003</v>
      </c>
      <c r="L457" s="153">
        <v>-9573.8109999999997</v>
      </c>
      <c r="M457" s="153"/>
      <c r="N457" s="154">
        <f t="shared" ref="N457:N495" si="61">K457+L457+M457</f>
        <v>-1240211.4820000003</v>
      </c>
      <c r="O457" s="155">
        <f t="shared" ref="O457:O495" si="62">G457+N457</f>
        <v>168832.55799999973</v>
      </c>
      <c r="S457" s="156" t="s">
        <v>336</v>
      </c>
    </row>
    <row r="458" spans="1:19" ht="15" x14ac:dyDescent="0.25">
      <c r="A458" s="150"/>
      <c r="B458" s="150">
        <v>1810</v>
      </c>
      <c r="C458" s="151" t="s">
        <v>115</v>
      </c>
      <c r="D458" s="181">
        <f t="shared" si="58"/>
        <v>0</v>
      </c>
      <c r="E458" s="153"/>
      <c r="F458" s="153"/>
      <c r="G458" s="154">
        <f t="shared" si="60"/>
        <v>0</v>
      </c>
      <c r="H458" s="154"/>
      <c r="I458" s="154">
        <v>0</v>
      </c>
      <c r="J458" s="158"/>
      <c r="K458" s="182">
        <f t="shared" si="59"/>
        <v>0</v>
      </c>
      <c r="L458" s="153"/>
      <c r="M458" s="153"/>
      <c r="N458" s="154">
        <f t="shared" si="61"/>
        <v>0</v>
      </c>
      <c r="O458" s="155">
        <f t="shared" si="62"/>
        <v>0</v>
      </c>
      <c r="S458" s="156" t="s">
        <v>337</v>
      </c>
    </row>
    <row r="459" spans="1:19" ht="15" x14ac:dyDescent="0.25">
      <c r="A459" s="150">
        <v>47</v>
      </c>
      <c r="B459" s="150">
        <v>1815</v>
      </c>
      <c r="C459" s="151" t="s">
        <v>116</v>
      </c>
      <c r="D459" s="181">
        <f t="shared" si="58"/>
        <v>225104.49999999997</v>
      </c>
      <c r="E459" s="153"/>
      <c r="F459" s="153"/>
      <c r="G459" s="154">
        <f t="shared" si="60"/>
        <v>225104.49999999997</v>
      </c>
      <c r="H459" s="154"/>
      <c r="I459" s="154">
        <v>0</v>
      </c>
      <c r="J459" s="158"/>
      <c r="K459" s="182">
        <f t="shared" si="59"/>
        <v>-70828.864400000137</v>
      </c>
      <c r="L459" s="153">
        <v>-5533.6344000000972</v>
      </c>
      <c r="M459" s="153"/>
      <c r="N459" s="154">
        <f t="shared" si="61"/>
        <v>-76362.498800000234</v>
      </c>
      <c r="O459" s="155">
        <f t="shared" si="62"/>
        <v>148742.00119999974</v>
      </c>
      <c r="S459" s="156" t="s">
        <v>338</v>
      </c>
    </row>
    <row r="460" spans="1:19" ht="15" x14ac:dyDescent="0.25">
      <c r="A460" s="150">
        <v>47</v>
      </c>
      <c r="B460" s="150">
        <v>1820</v>
      </c>
      <c r="C460" s="151" t="s">
        <v>117</v>
      </c>
      <c r="D460" s="181">
        <f t="shared" si="58"/>
        <v>79950285.088300005</v>
      </c>
      <c r="E460" s="153">
        <v>7569578.6911943406</v>
      </c>
      <c r="F460" s="153">
        <v>-643885.90999999992</v>
      </c>
      <c r="G460" s="154">
        <f t="shared" si="60"/>
        <v>86875977.869494349</v>
      </c>
      <c r="H460" s="154"/>
      <c r="I460" s="154">
        <v>0</v>
      </c>
      <c r="J460" s="158"/>
      <c r="K460" s="182">
        <f t="shared" si="59"/>
        <v>-19181973.014632501</v>
      </c>
      <c r="L460" s="153">
        <v>-2369405.8603695505</v>
      </c>
      <c r="M460" s="153">
        <v>176763.10139999999</v>
      </c>
      <c r="N460" s="154">
        <f t="shared" si="61"/>
        <v>-21374615.773602054</v>
      </c>
      <c r="O460" s="155">
        <f t="shared" si="62"/>
        <v>65501362.095892295</v>
      </c>
      <c r="S460" s="156" t="s">
        <v>339</v>
      </c>
    </row>
    <row r="461" spans="1:19" ht="15" x14ac:dyDescent="0.25">
      <c r="A461" s="150"/>
      <c r="B461" s="150">
        <v>1825</v>
      </c>
      <c r="C461" s="151" t="s">
        <v>118</v>
      </c>
      <c r="D461" s="181">
        <f t="shared" si="58"/>
        <v>0</v>
      </c>
      <c r="E461" s="153"/>
      <c r="F461" s="153"/>
      <c r="G461" s="154">
        <f t="shared" si="60"/>
        <v>0</v>
      </c>
      <c r="H461" s="154"/>
      <c r="I461" s="154">
        <v>0</v>
      </c>
      <c r="J461" s="158"/>
      <c r="K461" s="182">
        <f t="shared" si="59"/>
        <v>0</v>
      </c>
      <c r="L461" s="153"/>
      <c r="M461" s="153"/>
      <c r="N461" s="154">
        <f t="shared" si="61"/>
        <v>0</v>
      </c>
      <c r="O461" s="155">
        <f t="shared" si="62"/>
        <v>0</v>
      </c>
      <c r="S461" s="156" t="s">
        <v>340</v>
      </c>
    </row>
    <row r="462" spans="1:19" ht="15" x14ac:dyDescent="0.25">
      <c r="A462" s="150">
        <v>47</v>
      </c>
      <c r="B462" s="150">
        <v>1830</v>
      </c>
      <c r="C462" s="151" t="s">
        <v>119</v>
      </c>
      <c r="D462" s="181">
        <f t="shared" si="58"/>
        <v>158612026.25597396</v>
      </c>
      <c r="E462" s="153">
        <v>13498058.164449997</v>
      </c>
      <c r="F462" s="153">
        <v>-414402.77815214632</v>
      </c>
      <c r="G462" s="154">
        <f t="shared" si="60"/>
        <v>171695681.64227182</v>
      </c>
      <c r="H462" s="154"/>
      <c r="I462" s="154">
        <v>0</v>
      </c>
      <c r="J462" s="158"/>
      <c r="K462" s="182">
        <f t="shared" si="59"/>
        <v>-27471868.499526788</v>
      </c>
      <c r="L462" s="153">
        <v>-4282695.3115760451</v>
      </c>
      <c r="M462" s="153">
        <v>109441.5449499003</v>
      </c>
      <c r="N462" s="154">
        <f t="shared" si="61"/>
        <v>-31645122.266152933</v>
      </c>
      <c r="O462" s="155">
        <f t="shared" si="62"/>
        <v>140050559.3761189</v>
      </c>
      <c r="S462" s="156" t="s">
        <v>341</v>
      </c>
    </row>
    <row r="463" spans="1:19" ht="15" x14ac:dyDescent="0.25">
      <c r="A463" s="150">
        <v>47</v>
      </c>
      <c r="B463" s="150">
        <v>1835</v>
      </c>
      <c r="C463" s="151" t="s">
        <v>120</v>
      </c>
      <c r="D463" s="181">
        <f t="shared" si="58"/>
        <v>103154514.15779065</v>
      </c>
      <c r="E463" s="153">
        <v>11331214.909089999</v>
      </c>
      <c r="F463" s="153">
        <v>-177979.61430043934</v>
      </c>
      <c r="G463" s="154">
        <f t="shared" si="60"/>
        <v>114307749.4525802</v>
      </c>
      <c r="H463" s="154"/>
      <c r="I463" s="154">
        <v>0</v>
      </c>
      <c r="J463" s="158"/>
      <c r="K463" s="182">
        <f t="shared" si="59"/>
        <v>-19476992.351607867</v>
      </c>
      <c r="L463" s="153">
        <v>-2589993.8458996266</v>
      </c>
      <c r="M463" s="153">
        <v>118328.38639391199</v>
      </c>
      <c r="N463" s="154">
        <f t="shared" si="61"/>
        <v>-21948657.811113581</v>
      </c>
      <c r="O463" s="155">
        <f t="shared" si="62"/>
        <v>92359091.641466618</v>
      </c>
      <c r="S463" s="156" t="s">
        <v>342</v>
      </c>
    </row>
    <row r="464" spans="1:19" ht="15" x14ac:dyDescent="0.25">
      <c r="A464" s="150">
        <v>47</v>
      </c>
      <c r="B464" s="150">
        <v>1840</v>
      </c>
      <c r="C464" s="151" t="s">
        <v>121</v>
      </c>
      <c r="D464" s="181">
        <f t="shared" si="58"/>
        <v>74786206.090299994</v>
      </c>
      <c r="E464" s="153">
        <v>6655434.4853369799</v>
      </c>
      <c r="F464" s="153">
        <v>0</v>
      </c>
      <c r="G464" s="154">
        <f t="shared" si="60"/>
        <v>81441640.575636968</v>
      </c>
      <c r="H464" s="154"/>
      <c r="I464" s="154">
        <v>0</v>
      </c>
      <c r="J464" s="158"/>
      <c r="K464" s="182">
        <f t="shared" si="59"/>
        <v>-10234504.889708333</v>
      </c>
      <c r="L464" s="153">
        <v>-1369003.1745611415</v>
      </c>
      <c r="M464" s="153">
        <v>0</v>
      </c>
      <c r="N464" s="154">
        <f t="shared" si="61"/>
        <v>-11603508.064269474</v>
      </c>
      <c r="O464" s="155">
        <f t="shared" si="62"/>
        <v>69838132.5113675</v>
      </c>
      <c r="S464" s="156" t="s">
        <v>343</v>
      </c>
    </row>
    <row r="465" spans="1:19" ht="15" x14ac:dyDescent="0.25">
      <c r="A465" s="150">
        <v>47</v>
      </c>
      <c r="B465" s="150">
        <v>1845</v>
      </c>
      <c r="C465" s="151" t="s">
        <v>122</v>
      </c>
      <c r="D465" s="181">
        <f t="shared" si="58"/>
        <v>119471562.02223624</v>
      </c>
      <c r="E465" s="153">
        <v>11319398.29207563</v>
      </c>
      <c r="F465" s="153">
        <v>-99145.162755299039</v>
      </c>
      <c r="G465" s="154">
        <f t="shared" si="60"/>
        <v>130691815.15155658</v>
      </c>
      <c r="H465" s="154"/>
      <c r="I465" s="154">
        <v>0</v>
      </c>
      <c r="J465" s="158"/>
      <c r="K465" s="182">
        <f t="shared" si="59"/>
        <v>-22580346.538425907</v>
      </c>
      <c r="L465" s="153">
        <v>-3466902.0498315571</v>
      </c>
      <c r="M465" s="153">
        <v>33691.490310729292</v>
      </c>
      <c r="N465" s="154">
        <f t="shared" si="61"/>
        <v>-26013557.097946737</v>
      </c>
      <c r="O465" s="155">
        <f t="shared" si="62"/>
        <v>104678258.05360985</v>
      </c>
      <c r="S465" s="156" t="s">
        <v>344</v>
      </c>
    </row>
    <row r="466" spans="1:19" ht="15" x14ac:dyDescent="0.25">
      <c r="A466" s="150">
        <v>47</v>
      </c>
      <c r="B466" s="150">
        <v>1850</v>
      </c>
      <c r="C466" s="151" t="s">
        <v>123</v>
      </c>
      <c r="D466" s="181">
        <f t="shared" si="58"/>
        <v>89068004.046311498</v>
      </c>
      <c r="E466" s="153">
        <v>4285800.4809053</v>
      </c>
      <c r="F466" s="153">
        <v>-262674.95852191985</v>
      </c>
      <c r="G466" s="154">
        <f t="shared" si="60"/>
        <v>93091129.568694875</v>
      </c>
      <c r="H466" s="154"/>
      <c r="I466" s="154">
        <v>0</v>
      </c>
      <c r="J466" s="158"/>
      <c r="K466" s="182">
        <f t="shared" si="59"/>
        <v>-24022750.897850983</v>
      </c>
      <c r="L466" s="153">
        <v>-3140622.5162684345</v>
      </c>
      <c r="M466" s="153">
        <v>114930.01059108146</v>
      </c>
      <c r="N466" s="154">
        <f t="shared" si="61"/>
        <v>-27048443.403528336</v>
      </c>
      <c r="O466" s="155">
        <f t="shared" si="62"/>
        <v>66042686.165166542</v>
      </c>
      <c r="S466" s="156" t="s">
        <v>345</v>
      </c>
    </row>
    <row r="467" spans="1:19" ht="15" x14ac:dyDescent="0.25">
      <c r="A467" s="150">
        <v>47</v>
      </c>
      <c r="B467" s="150">
        <v>1855</v>
      </c>
      <c r="C467" s="151" t="s">
        <v>124</v>
      </c>
      <c r="D467" s="181">
        <f t="shared" si="58"/>
        <v>61824576.276040003</v>
      </c>
      <c r="E467" s="153">
        <v>3039123.9509399999</v>
      </c>
      <c r="F467" s="153"/>
      <c r="G467" s="154">
        <f t="shared" si="60"/>
        <v>64863700.226980001</v>
      </c>
      <c r="H467" s="154"/>
      <c r="I467" s="154">
        <v>0</v>
      </c>
      <c r="J467" s="158"/>
      <c r="K467" s="182">
        <f t="shared" si="59"/>
        <v>-12849171.76849005</v>
      </c>
      <c r="L467" s="153">
        <v>-1554687.8574661748</v>
      </c>
      <c r="M467" s="153"/>
      <c r="N467" s="154">
        <f t="shared" si="61"/>
        <v>-14403859.625956224</v>
      </c>
      <c r="O467" s="155">
        <f t="shared" si="62"/>
        <v>50459840.601023778</v>
      </c>
      <c r="S467" s="156" t="s">
        <v>346</v>
      </c>
    </row>
    <row r="468" spans="1:19" ht="15" x14ac:dyDescent="0.25">
      <c r="A468" s="150">
        <v>47</v>
      </c>
      <c r="B468" s="150">
        <v>1860</v>
      </c>
      <c r="C468" s="151" t="s">
        <v>125</v>
      </c>
      <c r="D468" s="181">
        <f t="shared" si="58"/>
        <v>3442921.7059818092</v>
      </c>
      <c r="E468" s="153">
        <v>96419.355410000004</v>
      </c>
      <c r="F468" s="153">
        <v>-5337.0745871368044</v>
      </c>
      <c r="G468" s="154">
        <f t="shared" si="60"/>
        <v>3534003.9868046721</v>
      </c>
      <c r="H468" s="154"/>
      <c r="I468" s="154">
        <v>0</v>
      </c>
      <c r="J468" s="158"/>
      <c r="K468" s="182">
        <f t="shared" si="59"/>
        <v>-1138125.0316983503</v>
      </c>
      <c r="L468" s="153">
        <v>-144858.86867006653</v>
      </c>
      <c r="M468" s="153">
        <v>2933.4796683692666</v>
      </c>
      <c r="N468" s="154">
        <f t="shared" si="61"/>
        <v>-1280050.4207000476</v>
      </c>
      <c r="O468" s="155">
        <f t="shared" si="62"/>
        <v>2253953.5661046244</v>
      </c>
      <c r="S468" s="156" t="s">
        <v>347</v>
      </c>
    </row>
    <row r="469" spans="1:19" ht="15" x14ac:dyDescent="0.25">
      <c r="A469" s="150">
        <v>47</v>
      </c>
      <c r="B469" s="150">
        <v>1860</v>
      </c>
      <c r="C469" s="151" t="s">
        <v>126</v>
      </c>
      <c r="D469" s="181">
        <f t="shared" si="58"/>
        <v>27968327.967975561</v>
      </c>
      <c r="E469" s="153">
        <v>1423372.35369</v>
      </c>
      <c r="F469" s="153">
        <v>-124640.12691086467</v>
      </c>
      <c r="G469" s="154">
        <f t="shared" si="60"/>
        <v>29267060.194754694</v>
      </c>
      <c r="H469" s="154"/>
      <c r="I469" s="154">
        <v>0</v>
      </c>
      <c r="J469" s="158"/>
      <c r="K469" s="182">
        <f t="shared" si="59"/>
        <v>-19399941.124391034</v>
      </c>
      <c r="L469" s="153">
        <v>-1039725.2470181123</v>
      </c>
      <c r="M469" s="153">
        <v>116311.06516279884</v>
      </c>
      <c r="N469" s="154">
        <f t="shared" si="61"/>
        <v>-20323355.306246348</v>
      </c>
      <c r="O469" s="155">
        <f t="shared" si="62"/>
        <v>8943704.8885083459</v>
      </c>
      <c r="S469" s="156" t="s">
        <v>347</v>
      </c>
    </row>
    <row r="470" spans="1:19" ht="15" x14ac:dyDescent="0.25">
      <c r="A470" s="150">
        <v>47</v>
      </c>
      <c r="B470" s="150">
        <v>1865</v>
      </c>
      <c r="C470" s="151" t="s">
        <v>127</v>
      </c>
      <c r="D470" s="181">
        <f t="shared" si="58"/>
        <v>81548.159999999989</v>
      </c>
      <c r="E470" s="153"/>
      <c r="F470" s="153"/>
      <c r="G470" s="154">
        <f t="shared" si="60"/>
        <v>81548.159999999989</v>
      </c>
      <c r="H470" s="154"/>
      <c r="I470" s="154">
        <v>0</v>
      </c>
      <c r="J470" s="158"/>
      <c r="K470" s="182">
        <f t="shared" si="59"/>
        <v>-81548.160000000003</v>
      </c>
      <c r="L470" s="153"/>
      <c r="M470" s="153"/>
      <c r="N470" s="154">
        <f t="shared" si="61"/>
        <v>-81548.160000000003</v>
      </c>
      <c r="O470" s="155">
        <f t="shared" si="62"/>
        <v>0</v>
      </c>
      <c r="S470" s="156"/>
    </row>
    <row r="471" spans="1:19" ht="15" x14ac:dyDescent="0.25">
      <c r="A471" s="150" t="s">
        <v>109</v>
      </c>
      <c r="B471" s="150">
        <v>1905</v>
      </c>
      <c r="C471" s="151" t="s">
        <v>113</v>
      </c>
      <c r="D471" s="181">
        <f t="shared" si="58"/>
        <v>1195031.2999999998</v>
      </c>
      <c r="E471" s="153"/>
      <c r="F471" s="153"/>
      <c r="G471" s="154">
        <f t="shared" si="60"/>
        <v>1195031.2999999998</v>
      </c>
      <c r="H471" s="154"/>
      <c r="I471" s="154">
        <v>0</v>
      </c>
      <c r="J471" s="158"/>
      <c r="K471" s="182">
        <f t="shared" si="59"/>
        <v>0</v>
      </c>
      <c r="L471" s="153"/>
      <c r="M471" s="153"/>
      <c r="N471" s="154">
        <f t="shared" si="61"/>
        <v>0</v>
      </c>
      <c r="O471" s="155">
        <f t="shared" si="62"/>
        <v>1195031.2999999998</v>
      </c>
      <c r="S471" s="156" t="s">
        <v>348</v>
      </c>
    </row>
    <row r="472" spans="1:19" ht="15" x14ac:dyDescent="0.25">
      <c r="A472" s="150">
        <v>1</v>
      </c>
      <c r="B472" s="150">
        <v>1908</v>
      </c>
      <c r="C472" s="151" t="s">
        <v>128</v>
      </c>
      <c r="D472" s="181">
        <f t="shared" si="58"/>
        <v>32094831.129999999</v>
      </c>
      <c r="E472" s="153">
        <v>440000</v>
      </c>
      <c r="F472" s="153"/>
      <c r="G472" s="154">
        <f t="shared" si="60"/>
        <v>32534831.129999999</v>
      </c>
      <c r="H472" s="154"/>
      <c r="I472" s="154">
        <v>0</v>
      </c>
      <c r="J472" s="158"/>
      <c r="K472" s="182">
        <f t="shared" si="59"/>
        <v>-15323668.304099998</v>
      </c>
      <c r="L472" s="153">
        <v>-1150776.8581666667</v>
      </c>
      <c r="M472" s="153"/>
      <c r="N472" s="154">
        <f t="shared" si="61"/>
        <v>-16474445.162266664</v>
      </c>
      <c r="O472" s="155">
        <f t="shared" si="62"/>
        <v>16060385.967733335</v>
      </c>
      <c r="S472" s="156" t="s">
        <v>349</v>
      </c>
    </row>
    <row r="473" spans="1:19" ht="15" x14ac:dyDescent="0.25">
      <c r="A473" s="150"/>
      <c r="B473" s="150">
        <v>1910</v>
      </c>
      <c r="C473" s="151" t="s">
        <v>115</v>
      </c>
      <c r="D473" s="181">
        <f t="shared" si="58"/>
        <v>0</v>
      </c>
      <c r="E473" s="153"/>
      <c r="F473" s="153"/>
      <c r="G473" s="154">
        <f t="shared" si="60"/>
        <v>0</v>
      </c>
      <c r="H473" s="154"/>
      <c r="I473" s="154">
        <v>0</v>
      </c>
      <c r="J473" s="158"/>
      <c r="K473" s="182">
        <f t="shared" si="59"/>
        <v>0</v>
      </c>
      <c r="L473" s="153"/>
      <c r="M473" s="153"/>
      <c r="N473" s="154">
        <f t="shared" si="61"/>
        <v>0</v>
      </c>
      <c r="O473" s="155">
        <f t="shared" si="62"/>
        <v>0</v>
      </c>
      <c r="S473" s="156" t="s">
        <v>350</v>
      </c>
    </row>
    <row r="474" spans="1:19" ht="15" x14ac:dyDescent="0.25">
      <c r="A474" s="150">
        <v>8</v>
      </c>
      <c r="B474" s="150">
        <v>1915</v>
      </c>
      <c r="C474" s="151" t="s">
        <v>129</v>
      </c>
      <c r="D474" s="181">
        <f t="shared" si="58"/>
        <v>2699073.0799999996</v>
      </c>
      <c r="E474" s="153">
        <v>60000</v>
      </c>
      <c r="F474" s="153"/>
      <c r="G474" s="154">
        <f t="shared" si="60"/>
        <v>2759073.0799999996</v>
      </c>
      <c r="H474" s="154"/>
      <c r="I474" s="154">
        <v>0</v>
      </c>
      <c r="J474" s="158"/>
      <c r="K474" s="182">
        <f t="shared" si="59"/>
        <v>-2208492.5909000002</v>
      </c>
      <c r="L474" s="153">
        <v>-108549.5045</v>
      </c>
      <c r="M474" s="153"/>
      <c r="N474" s="154">
        <f t="shared" si="61"/>
        <v>-2317042.0954</v>
      </c>
      <c r="O474" s="155">
        <f t="shared" si="62"/>
        <v>442030.98459999962</v>
      </c>
      <c r="S474" s="156" t="s">
        <v>351</v>
      </c>
    </row>
    <row r="475" spans="1:19" ht="15" x14ac:dyDescent="0.25">
      <c r="A475" s="150"/>
      <c r="B475" s="150">
        <v>1915</v>
      </c>
      <c r="C475" s="151" t="s">
        <v>130</v>
      </c>
      <c r="D475" s="181">
        <f t="shared" si="58"/>
        <v>0</v>
      </c>
      <c r="E475" s="153"/>
      <c r="F475" s="153"/>
      <c r="G475" s="154">
        <f t="shared" si="60"/>
        <v>0</v>
      </c>
      <c r="H475" s="154"/>
      <c r="I475" s="154">
        <v>0</v>
      </c>
      <c r="J475" s="158"/>
      <c r="K475" s="182">
        <f t="shared" si="59"/>
        <v>0</v>
      </c>
      <c r="L475" s="153"/>
      <c r="M475" s="153"/>
      <c r="N475" s="154">
        <f t="shared" si="61"/>
        <v>0</v>
      </c>
      <c r="O475" s="155">
        <f t="shared" si="62"/>
        <v>0</v>
      </c>
      <c r="S475" s="156" t="s">
        <v>351</v>
      </c>
    </row>
    <row r="476" spans="1:19" ht="15" x14ac:dyDescent="0.25">
      <c r="A476" s="150">
        <v>50</v>
      </c>
      <c r="B476" s="150">
        <v>1920</v>
      </c>
      <c r="C476" s="151" t="s">
        <v>131</v>
      </c>
      <c r="D476" s="181">
        <f t="shared" si="58"/>
        <v>14835249.32</v>
      </c>
      <c r="E476" s="153">
        <v>2209200</v>
      </c>
      <c r="F476" s="153"/>
      <c r="G476" s="154">
        <f t="shared" si="60"/>
        <v>17044449.32</v>
      </c>
      <c r="H476" s="154"/>
      <c r="I476" s="154">
        <v>0</v>
      </c>
      <c r="J476" s="158"/>
      <c r="K476" s="182">
        <f t="shared" si="59"/>
        <v>-11240129.007366667</v>
      </c>
      <c r="L476" s="153">
        <v>-1774196.6028333332</v>
      </c>
      <c r="M476" s="153"/>
      <c r="N476" s="154">
        <f t="shared" si="61"/>
        <v>-13014325.610199999</v>
      </c>
      <c r="O476" s="155">
        <f t="shared" si="62"/>
        <v>4030123.7098000012</v>
      </c>
      <c r="S476" s="156" t="s">
        <v>352</v>
      </c>
    </row>
    <row r="477" spans="1:19" ht="15" x14ac:dyDescent="0.25">
      <c r="A477" s="150"/>
      <c r="B477" s="150">
        <v>1920</v>
      </c>
      <c r="C477" s="151" t="s">
        <v>132</v>
      </c>
      <c r="D477" s="181">
        <f t="shared" si="58"/>
        <v>0</v>
      </c>
      <c r="E477" s="153"/>
      <c r="F477" s="153"/>
      <c r="G477" s="154">
        <f t="shared" si="60"/>
        <v>0</v>
      </c>
      <c r="H477" s="154"/>
      <c r="I477" s="154">
        <v>0</v>
      </c>
      <c r="J477" s="158"/>
      <c r="K477" s="182">
        <f t="shared" si="59"/>
        <v>0</v>
      </c>
      <c r="L477" s="153"/>
      <c r="M477" s="153"/>
      <c r="N477" s="154">
        <f t="shared" si="61"/>
        <v>0</v>
      </c>
      <c r="O477" s="155">
        <f t="shared" si="62"/>
        <v>0</v>
      </c>
      <c r="S477" s="156" t="s">
        <v>352</v>
      </c>
    </row>
    <row r="478" spans="1:19" ht="15" x14ac:dyDescent="0.25">
      <c r="A478" s="150"/>
      <c r="B478" s="150">
        <v>1920</v>
      </c>
      <c r="C478" s="151" t="s">
        <v>133</v>
      </c>
      <c r="D478" s="181">
        <f t="shared" si="58"/>
        <v>0</v>
      </c>
      <c r="E478" s="153"/>
      <c r="F478" s="153"/>
      <c r="G478" s="154">
        <f t="shared" si="60"/>
        <v>0</v>
      </c>
      <c r="H478" s="154"/>
      <c r="I478" s="154">
        <v>0</v>
      </c>
      <c r="J478" s="158"/>
      <c r="K478" s="182">
        <f t="shared" si="59"/>
        <v>0</v>
      </c>
      <c r="L478" s="153"/>
      <c r="M478" s="153"/>
      <c r="N478" s="154">
        <f t="shared" si="61"/>
        <v>0</v>
      </c>
      <c r="O478" s="155">
        <f t="shared" si="62"/>
        <v>0</v>
      </c>
      <c r="S478" s="156" t="s">
        <v>352</v>
      </c>
    </row>
    <row r="479" spans="1:19" ht="15" x14ac:dyDescent="0.25">
      <c r="A479" s="150">
        <v>10</v>
      </c>
      <c r="B479" s="150">
        <v>1930</v>
      </c>
      <c r="C479" s="151" t="s">
        <v>134</v>
      </c>
      <c r="D479" s="181">
        <f t="shared" si="58"/>
        <v>18390363.670000002</v>
      </c>
      <c r="E479" s="153">
        <v>1740000</v>
      </c>
      <c r="F479" s="153"/>
      <c r="G479" s="154">
        <f t="shared" si="60"/>
        <v>20130363.670000002</v>
      </c>
      <c r="H479" s="154"/>
      <c r="I479" s="154">
        <v>0</v>
      </c>
      <c r="J479" s="158"/>
      <c r="K479" s="182">
        <f t="shared" si="59"/>
        <v>-9421447.5928333327</v>
      </c>
      <c r="L479" s="153">
        <v>-1350029.3637000001</v>
      </c>
      <c r="M479" s="153"/>
      <c r="N479" s="154">
        <f t="shared" si="61"/>
        <v>-10771476.956533333</v>
      </c>
      <c r="O479" s="155">
        <f t="shared" si="62"/>
        <v>9358886.7134666685</v>
      </c>
      <c r="S479" s="156" t="s">
        <v>353</v>
      </c>
    </row>
    <row r="480" spans="1:19" ht="15" x14ac:dyDescent="0.25">
      <c r="A480" s="150">
        <v>8</v>
      </c>
      <c r="B480" s="150">
        <v>1935</v>
      </c>
      <c r="C480" s="151" t="s">
        <v>135</v>
      </c>
      <c r="D480" s="181">
        <f t="shared" si="58"/>
        <v>108757.92</v>
      </c>
      <c r="E480" s="153"/>
      <c r="F480" s="153"/>
      <c r="G480" s="154">
        <f t="shared" si="60"/>
        <v>108757.92</v>
      </c>
      <c r="H480" s="154"/>
      <c r="I480" s="154">
        <v>0</v>
      </c>
      <c r="J480" s="158"/>
      <c r="K480" s="182">
        <f t="shared" si="59"/>
        <v>-103210.46890000002</v>
      </c>
      <c r="L480" s="153">
        <v>-5547.4510999999984</v>
      </c>
      <c r="M480" s="153"/>
      <c r="N480" s="154">
        <f t="shared" si="61"/>
        <v>-108757.92000000001</v>
      </c>
      <c r="O480" s="155">
        <f t="shared" si="62"/>
        <v>0</v>
      </c>
      <c r="S480" s="156" t="s">
        <v>354</v>
      </c>
    </row>
    <row r="481" spans="1:19" ht="15" x14ac:dyDescent="0.25">
      <c r="A481" s="150">
        <v>8</v>
      </c>
      <c r="B481" s="150">
        <v>1940</v>
      </c>
      <c r="C481" s="151" t="s">
        <v>136</v>
      </c>
      <c r="D481" s="181">
        <f t="shared" si="58"/>
        <v>4445485.3900000006</v>
      </c>
      <c r="E481" s="153">
        <v>187787.51123</v>
      </c>
      <c r="F481" s="153"/>
      <c r="G481" s="154">
        <f t="shared" si="60"/>
        <v>4633272.9012300009</v>
      </c>
      <c r="H481" s="154"/>
      <c r="I481" s="154">
        <v>0</v>
      </c>
      <c r="J481" s="158"/>
      <c r="K481" s="182">
        <f t="shared" si="59"/>
        <v>-2675476.4046999998</v>
      </c>
      <c r="L481" s="153">
        <v>-309801.48226150003</v>
      </c>
      <c r="M481" s="153"/>
      <c r="N481" s="154">
        <f t="shared" si="61"/>
        <v>-2985277.8869614997</v>
      </c>
      <c r="O481" s="155">
        <f t="shared" si="62"/>
        <v>1647995.0142685012</v>
      </c>
      <c r="S481" s="156" t="s">
        <v>355</v>
      </c>
    </row>
    <row r="482" spans="1:19" ht="15" x14ac:dyDescent="0.25">
      <c r="A482" s="150">
        <v>8</v>
      </c>
      <c r="B482" s="150">
        <v>1945</v>
      </c>
      <c r="C482" s="151" t="s">
        <v>137</v>
      </c>
      <c r="D482" s="181">
        <f t="shared" si="58"/>
        <v>185377.4</v>
      </c>
      <c r="E482" s="153">
        <v>4238.5444699999998</v>
      </c>
      <c r="F482" s="153"/>
      <c r="G482" s="154">
        <f t="shared" si="60"/>
        <v>189615.94446999999</v>
      </c>
      <c r="H482" s="154"/>
      <c r="I482" s="154">
        <v>0</v>
      </c>
      <c r="J482" s="158"/>
      <c r="K482" s="182">
        <f t="shared" si="59"/>
        <v>-173223.96580000001</v>
      </c>
      <c r="L482" s="153">
        <v>-2422.1930235</v>
      </c>
      <c r="M482" s="153"/>
      <c r="N482" s="154">
        <f t="shared" si="61"/>
        <v>-175646.15882350001</v>
      </c>
      <c r="O482" s="155">
        <f t="shared" si="62"/>
        <v>13969.785646499979</v>
      </c>
      <c r="S482" s="156" t="s">
        <v>356</v>
      </c>
    </row>
    <row r="483" spans="1:19" ht="15" x14ac:dyDescent="0.25">
      <c r="A483" s="150"/>
      <c r="B483" s="150">
        <v>1950</v>
      </c>
      <c r="C483" s="151" t="s">
        <v>138</v>
      </c>
      <c r="D483" s="181">
        <f t="shared" si="58"/>
        <v>0</v>
      </c>
      <c r="E483" s="153"/>
      <c r="F483" s="153"/>
      <c r="G483" s="154">
        <f t="shared" si="60"/>
        <v>0</v>
      </c>
      <c r="H483" s="154"/>
      <c r="I483" s="154">
        <v>0</v>
      </c>
      <c r="J483" s="158"/>
      <c r="K483" s="182">
        <f t="shared" si="59"/>
        <v>0</v>
      </c>
      <c r="L483" s="153"/>
      <c r="M483" s="153"/>
      <c r="N483" s="154">
        <f t="shared" si="61"/>
        <v>0</v>
      </c>
      <c r="O483" s="155">
        <f t="shared" si="62"/>
        <v>0</v>
      </c>
      <c r="S483" s="156" t="s">
        <v>357</v>
      </c>
    </row>
    <row r="484" spans="1:19" ht="15" x14ac:dyDescent="0.25">
      <c r="A484" s="150">
        <v>8</v>
      </c>
      <c r="B484" s="150">
        <v>1955</v>
      </c>
      <c r="C484" s="151" t="s">
        <v>139</v>
      </c>
      <c r="D484" s="181">
        <f t="shared" si="58"/>
        <v>2325931.7399999993</v>
      </c>
      <c r="E484" s="153"/>
      <c r="F484" s="153"/>
      <c r="G484" s="154">
        <f t="shared" si="60"/>
        <v>2325931.7399999993</v>
      </c>
      <c r="H484" s="154"/>
      <c r="I484" s="154">
        <v>0</v>
      </c>
      <c r="J484" s="158"/>
      <c r="K484" s="182">
        <f t="shared" si="59"/>
        <v>-1991590.6174000001</v>
      </c>
      <c r="L484" s="153">
        <v>-80351.651799999992</v>
      </c>
      <c r="M484" s="153"/>
      <c r="N484" s="154">
        <f t="shared" si="61"/>
        <v>-2071942.2692</v>
      </c>
      <c r="O484" s="155">
        <f t="shared" si="62"/>
        <v>253989.47079999931</v>
      </c>
      <c r="S484" s="156" t="s">
        <v>358</v>
      </c>
    </row>
    <row r="485" spans="1:19" ht="15" x14ac:dyDescent="0.25">
      <c r="A485" s="150"/>
      <c r="B485" s="150">
        <v>1955</v>
      </c>
      <c r="C485" s="151" t="s">
        <v>140</v>
      </c>
      <c r="D485" s="181">
        <f t="shared" si="58"/>
        <v>0</v>
      </c>
      <c r="E485" s="153"/>
      <c r="F485" s="153"/>
      <c r="G485" s="154">
        <f t="shared" si="60"/>
        <v>0</v>
      </c>
      <c r="H485" s="154"/>
      <c r="I485" s="154">
        <v>0</v>
      </c>
      <c r="J485" s="158"/>
      <c r="K485" s="182">
        <f t="shared" si="59"/>
        <v>0</v>
      </c>
      <c r="L485" s="153"/>
      <c r="M485" s="153"/>
      <c r="N485" s="154">
        <f t="shared" si="61"/>
        <v>0</v>
      </c>
      <c r="O485" s="155">
        <f t="shared" si="62"/>
        <v>0</v>
      </c>
      <c r="S485" s="156" t="s">
        <v>358</v>
      </c>
    </row>
    <row r="486" spans="1:19" ht="15" x14ac:dyDescent="0.25">
      <c r="A486" s="150">
        <v>8</v>
      </c>
      <c r="B486" s="150">
        <v>1960</v>
      </c>
      <c r="C486" s="151" t="s">
        <v>141</v>
      </c>
      <c r="D486" s="181">
        <f t="shared" si="58"/>
        <v>470214.34999999992</v>
      </c>
      <c r="E486" s="153"/>
      <c r="F486" s="153"/>
      <c r="G486" s="154">
        <f t="shared" si="60"/>
        <v>470214.34999999992</v>
      </c>
      <c r="H486" s="154"/>
      <c r="I486" s="154">
        <v>0</v>
      </c>
      <c r="J486" s="158"/>
      <c r="K486" s="182">
        <f t="shared" si="59"/>
        <v>-371147.3713</v>
      </c>
      <c r="L486" s="153">
        <v>-29216.772699999994</v>
      </c>
      <c r="M486" s="153"/>
      <c r="N486" s="154">
        <f t="shared" si="61"/>
        <v>-400364.14399999997</v>
      </c>
      <c r="O486" s="155">
        <f t="shared" si="62"/>
        <v>69850.205999999947</v>
      </c>
      <c r="S486" s="156" t="s">
        <v>359</v>
      </c>
    </row>
    <row r="487" spans="1:19" ht="15" x14ac:dyDescent="0.25">
      <c r="A487" s="150"/>
      <c r="B487" s="150">
        <v>1970</v>
      </c>
      <c r="C487" s="151" t="s">
        <v>142</v>
      </c>
      <c r="D487" s="181">
        <f t="shared" si="58"/>
        <v>0</v>
      </c>
      <c r="E487" s="153"/>
      <c r="F487" s="153"/>
      <c r="G487" s="154">
        <f t="shared" si="60"/>
        <v>0</v>
      </c>
      <c r="H487" s="154"/>
      <c r="I487" s="154">
        <v>0</v>
      </c>
      <c r="J487" s="158"/>
      <c r="K487" s="182">
        <f t="shared" si="59"/>
        <v>0</v>
      </c>
      <c r="L487" s="153"/>
      <c r="M487" s="153"/>
      <c r="N487" s="154">
        <f t="shared" si="61"/>
        <v>0</v>
      </c>
      <c r="O487" s="155">
        <f t="shared" si="62"/>
        <v>0</v>
      </c>
      <c r="S487" s="156" t="s">
        <v>360</v>
      </c>
    </row>
    <row r="488" spans="1:19" ht="15" x14ac:dyDescent="0.25">
      <c r="A488" s="150"/>
      <c r="B488" s="150">
        <v>1975</v>
      </c>
      <c r="C488" s="151" t="s">
        <v>143</v>
      </c>
      <c r="D488" s="181">
        <f t="shared" si="58"/>
        <v>0</v>
      </c>
      <c r="E488" s="153"/>
      <c r="F488" s="153"/>
      <c r="G488" s="154">
        <f t="shared" si="60"/>
        <v>0</v>
      </c>
      <c r="H488" s="154"/>
      <c r="I488" s="154">
        <v>0</v>
      </c>
      <c r="J488" s="158"/>
      <c r="K488" s="182">
        <f t="shared" si="59"/>
        <v>0</v>
      </c>
      <c r="L488" s="153"/>
      <c r="M488" s="153"/>
      <c r="N488" s="154">
        <f t="shared" si="61"/>
        <v>0</v>
      </c>
      <c r="O488" s="155">
        <f t="shared" si="62"/>
        <v>0</v>
      </c>
      <c r="S488" s="156" t="s">
        <v>361</v>
      </c>
    </row>
    <row r="489" spans="1:19" ht="15" x14ac:dyDescent="0.25">
      <c r="A489" s="150">
        <v>8</v>
      </c>
      <c r="B489" s="150">
        <v>1980</v>
      </c>
      <c r="C489" s="151" t="s">
        <v>144</v>
      </c>
      <c r="D489" s="181">
        <f t="shared" si="58"/>
        <v>10585289.318799997</v>
      </c>
      <c r="E489" s="153">
        <v>212747.15647120995</v>
      </c>
      <c r="F489" s="153">
        <v>-83867.350000000006</v>
      </c>
      <c r="G489" s="154">
        <f t="shared" si="60"/>
        <v>10714169.125271207</v>
      </c>
      <c r="H489" s="154"/>
      <c r="I489" s="154">
        <v>0</v>
      </c>
      <c r="J489" s="158"/>
      <c r="K489" s="182">
        <f t="shared" si="59"/>
        <v>-6145331.1882600002</v>
      </c>
      <c r="L489" s="153">
        <v>-561797.1468023737</v>
      </c>
      <c r="M489" s="153">
        <v>19593.029600000002</v>
      </c>
      <c r="N489" s="154">
        <f t="shared" si="61"/>
        <v>-6687535.3054623734</v>
      </c>
      <c r="O489" s="155">
        <f t="shared" si="62"/>
        <v>4026633.8198088333</v>
      </c>
      <c r="S489" s="156" t="s">
        <v>362</v>
      </c>
    </row>
    <row r="490" spans="1:19" ht="15" x14ac:dyDescent="0.25">
      <c r="A490" s="150"/>
      <c r="B490" s="150">
        <v>1985</v>
      </c>
      <c r="C490" s="151" t="s">
        <v>145</v>
      </c>
      <c r="D490" s="181">
        <f t="shared" si="58"/>
        <v>0</v>
      </c>
      <c r="E490" s="153"/>
      <c r="F490" s="153"/>
      <c r="G490" s="154">
        <f t="shared" si="60"/>
        <v>0</v>
      </c>
      <c r="H490" s="154"/>
      <c r="I490" s="154">
        <v>0</v>
      </c>
      <c r="J490" s="158"/>
      <c r="K490" s="182">
        <f t="shared" si="59"/>
        <v>0</v>
      </c>
      <c r="L490" s="153"/>
      <c r="M490" s="153"/>
      <c r="N490" s="154">
        <f t="shared" si="61"/>
        <v>0</v>
      </c>
      <c r="O490" s="155">
        <f t="shared" si="62"/>
        <v>0</v>
      </c>
      <c r="S490" s="156" t="s">
        <v>363</v>
      </c>
    </row>
    <row r="491" spans="1:19" ht="15" x14ac:dyDescent="0.25">
      <c r="A491" s="150"/>
      <c r="B491" s="150">
        <v>1990</v>
      </c>
      <c r="C491" s="159" t="s">
        <v>146</v>
      </c>
      <c r="D491" s="181">
        <f t="shared" si="58"/>
        <v>0</v>
      </c>
      <c r="E491" s="153"/>
      <c r="F491" s="153"/>
      <c r="G491" s="154">
        <f t="shared" si="60"/>
        <v>0</v>
      </c>
      <c r="H491" s="154"/>
      <c r="I491" s="154">
        <v>0</v>
      </c>
      <c r="J491" s="158"/>
      <c r="K491" s="182">
        <f t="shared" si="59"/>
        <v>0</v>
      </c>
      <c r="L491" s="153"/>
      <c r="M491" s="153"/>
      <c r="N491" s="154">
        <f t="shared" si="61"/>
        <v>0</v>
      </c>
      <c r="O491" s="155">
        <f t="shared" si="62"/>
        <v>0</v>
      </c>
      <c r="S491" s="156" t="s">
        <v>364</v>
      </c>
    </row>
    <row r="492" spans="1:19" ht="15" x14ac:dyDescent="0.25">
      <c r="A492" s="150"/>
      <c r="B492" s="150">
        <v>1995</v>
      </c>
      <c r="C492" s="151" t="s">
        <v>147</v>
      </c>
      <c r="D492" s="181">
        <f t="shared" si="58"/>
        <v>0</v>
      </c>
      <c r="E492" s="153"/>
      <c r="F492" s="153"/>
      <c r="G492" s="154">
        <f t="shared" si="60"/>
        <v>0</v>
      </c>
      <c r="H492" s="154"/>
      <c r="I492" s="154">
        <v>0</v>
      </c>
      <c r="J492" s="158"/>
      <c r="K492" s="182">
        <f t="shared" si="59"/>
        <v>0</v>
      </c>
      <c r="L492" s="153"/>
      <c r="M492" s="153"/>
      <c r="N492" s="154">
        <f t="shared" si="61"/>
        <v>0</v>
      </c>
      <c r="O492" s="155">
        <f t="shared" si="62"/>
        <v>0</v>
      </c>
      <c r="S492" s="156" t="s">
        <v>365</v>
      </c>
    </row>
    <row r="493" spans="1:19" ht="15" x14ac:dyDescent="0.25">
      <c r="A493" s="150">
        <v>43.2</v>
      </c>
      <c r="B493" s="150">
        <v>2075</v>
      </c>
      <c r="C493" s="151" t="s">
        <v>148</v>
      </c>
      <c r="D493" s="181">
        <f t="shared" si="58"/>
        <v>1251765.9099999997</v>
      </c>
      <c r="E493" s="153"/>
      <c r="F493" s="153"/>
      <c r="G493" s="154">
        <f t="shared" si="60"/>
        <v>1251765.9099999997</v>
      </c>
      <c r="H493" s="154"/>
      <c r="I493" s="154">
        <v>0</v>
      </c>
      <c r="J493" s="158"/>
      <c r="K493" s="182">
        <f t="shared" si="59"/>
        <v>-639848.36190000013</v>
      </c>
      <c r="L493" s="153">
        <v>-52509.521900000007</v>
      </c>
      <c r="M493" s="153"/>
      <c r="N493" s="154">
        <f t="shared" si="61"/>
        <v>-692357.88380000019</v>
      </c>
      <c r="O493" s="155">
        <f t="shared" si="62"/>
        <v>559408.0261999995</v>
      </c>
      <c r="S493" s="156"/>
    </row>
    <row r="494" spans="1:19" ht="15" x14ac:dyDescent="0.25">
      <c r="A494" s="150">
        <v>47</v>
      </c>
      <c r="B494" s="150">
        <v>2440</v>
      </c>
      <c r="C494" s="151" t="s">
        <v>149</v>
      </c>
      <c r="D494" s="181">
        <f t="shared" si="58"/>
        <v>-164541269.76993802</v>
      </c>
      <c r="E494" s="153">
        <v>-20565875.485877912</v>
      </c>
      <c r="F494" s="153">
        <v>54799.089705613042</v>
      </c>
      <c r="G494" s="154">
        <f t="shared" si="60"/>
        <v>-185052346.16611031</v>
      </c>
      <c r="H494" s="154"/>
      <c r="I494" s="154">
        <v>0</v>
      </c>
      <c r="K494" s="182">
        <f t="shared" si="59"/>
        <v>20127169.360064309</v>
      </c>
      <c r="L494" s="153">
        <v>4299912.3079510136</v>
      </c>
      <c r="M494" s="153">
        <v>-8608.3013545037975</v>
      </c>
      <c r="N494" s="154">
        <f t="shared" si="61"/>
        <v>24418473.366660818</v>
      </c>
      <c r="O494" s="155">
        <f t="shared" si="62"/>
        <v>-160633872.7994495</v>
      </c>
      <c r="S494" s="156" t="s">
        <v>366</v>
      </c>
    </row>
    <row r="495" spans="1:19" ht="15" x14ac:dyDescent="0.25">
      <c r="A495" s="160" t="s">
        <v>109</v>
      </c>
      <c r="B495" s="160">
        <v>2005</v>
      </c>
      <c r="C495" s="161" t="s">
        <v>150</v>
      </c>
      <c r="D495" s="181">
        <f t="shared" si="58"/>
        <v>1949864.7900000003</v>
      </c>
      <c r="E495" s="153"/>
      <c r="F495" s="153"/>
      <c r="G495" s="154">
        <f t="shared" si="60"/>
        <v>1949864.7900000003</v>
      </c>
      <c r="H495" s="154"/>
      <c r="I495" s="154">
        <v>0</v>
      </c>
      <c r="K495" s="182">
        <f t="shared" si="59"/>
        <v>-1835131.23</v>
      </c>
      <c r="L495" s="153">
        <v>-71389.919999999998</v>
      </c>
      <c r="M495" s="153"/>
      <c r="N495" s="154">
        <f t="shared" si="61"/>
        <v>-1906521.15</v>
      </c>
      <c r="O495" s="155">
        <f t="shared" si="62"/>
        <v>43343.640000000363</v>
      </c>
      <c r="S495" s="156" t="s">
        <v>367</v>
      </c>
    </row>
    <row r="496" spans="1:19" x14ac:dyDescent="0.2">
      <c r="A496" s="160"/>
      <c r="B496" s="160"/>
      <c r="C496" s="164" t="s">
        <v>20</v>
      </c>
      <c r="D496" s="165">
        <f>SUM(D452:D495)</f>
        <v>682734213.52977157</v>
      </c>
      <c r="E496" s="165">
        <f>SUM(E452:E495)</f>
        <v>43951698.409385547</v>
      </c>
      <c r="F496" s="165">
        <f>SUM(F452:F495)</f>
        <v>-1757133.885522193</v>
      </c>
      <c r="G496" s="165">
        <f>SUM(G452:G495)</f>
        <v>724928778.053635</v>
      </c>
      <c r="H496" s="165"/>
      <c r="I496" s="165">
        <f>SUM(I452:I495)</f>
        <v>0</v>
      </c>
      <c r="J496" s="167"/>
      <c r="K496" s="165">
        <f>SUM(K452:K495)</f>
        <v>-216221587.60902748</v>
      </c>
      <c r="L496" s="165">
        <f>SUM(L452:L495)</f>
        <v>-23699389.563863736</v>
      </c>
      <c r="M496" s="165">
        <f>SUM(M452:M495)</f>
        <v>683383.80672228744</v>
      </c>
      <c r="N496" s="165">
        <f>SUM(N452:N495)</f>
        <v>-239237593.36616889</v>
      </c>
      <c r="O496" s="165">
        <f>SUM(O452:O495)</f>
        <v>485691184.6874662</v>
      </c>
    </row>
    <row r="497" spans="1:15" ht="25.5" x14ac:dyDescent="0.25">
      <c r="A497" s="160"/>
      <c r="B497" s="160"/>
      <c r="C497" s="168" t="s">
        <v>151</v>
      </c>
      <c r="D497" s="183">
        <f>G430</f>
        <v>-675735.92449999996</v>
      </c>
      <c r="E497" s="162"/>
      <c r="F497" s="162"/>
      <c r="G497" s="154">
        <f>D497+E497+F497</f>
        <v>-675735.92449999996</v>
      </c>
      <c r="H497" s="154"/>
      <c r="I497" s="154"/>
      <c r="K497" s="183">
        <f>N430</f>
        <v>354340.28585499991</v>
      </c>
      <c r="L497" s="178">
        <v>35751.913254999992</v>
      </c>
      <c r="M497" s="162"/>
      <c r="N497" s="154">
        <f>K497+L497+M497</f>
        <v>390092.19910999993</v>
      </c>
      <c r="O497" s="155">
        <f>G497+N497</f>
        <v>-285643.72539000004</v>
      </c>
    </row>
    <row r="498" spans="1:15" ht="24.75" x14ac:dyDescent="0.25">
      <c r="A498" s="160"/>
      <c r="B498" s="160"/>
      <c r="C498" s="169" t="s">
        <v>152</v>
      </c>
      <c r="D498" s="183">
        <f t="shared" ref="D498:D500" si="63">G431</f>
        <v>-1251765.9099999997</v>
      </c>
      <c r="E498" s="162"/>
      <c r="F498" s="162"/>
      <c r="G498" s="154">
        <f>D498+E498+F498</f>
        <v>-1251765.9099999997</v>
      </c>
      <c r="H498" s="154"/>
      <c r="I498" s="154"/>
      <c r="K498" s="183">
        <f t="shared" ref="K498" si="64">N431</f>
        <v>639848.36190000013</v>
      </c>
      <c r="L498" s="178">
        <f>-L493</f>
        <v>52509.521900000007</v>
      </c>
      <c r="M498" s="162"/>
      <c r="N498" s="154">
        <f>K498+L498+M498</f>
        <v>692357.88380000019</v>
      </c>
      <c r="O498" s="155">
        <f>G498+N498</f>
        <v>-559408.0261999995</v>
      </c>
    </row>
    <row r="499" spans="1:15" ht="15" x14ac:dyDescent="0.25">
      <c r="A499" s="160"/>
      <c r="B499" s="160"/>
      <c r="C499" s="164" t="s">
        <v>153</v>
      </c>
      <c r="D499" s="165">
        <f>SUM(D496:D498)</f>
        <v>680806711.69527161</v>
      </c>
      <c r="E499" s="165">
        <f>SUM(E496:E498)</f>
        <v>43951698.409385547</v>
      </c>
      <c r="F499" s="165">
        <f>SUM(F496:F498)</f>
        <v>-1757133.885522193</v>
      </c>
      <c r="G499" s="165">
        <f>SUM(G496:G498)</f>
        <v>723001276.21913505</v>
      </c>
      <c r="H499" s="165"/>
      <c r="I499" s="154"/>
      <c r="J499" s="167"/>
      <c r="K499" s="165">
        <f>SUM(K496:K498)</f>
        <v>-215227398.96127248</v>
      </c>
      <c r="L499" s="165">
        <f>SUM(L496:L498)</f>
        <v>-23611128.128708739</v>
      </c>
      <c r="M499" s="165">
        <f>SUM(M496:M498)</f>
        <v>683383.80672228744</v>
      </c>
      <c r="N499" s="165">
        <f>SUM(N496:N498)</f>
        <v>-238155143.28325889</v>
      </c>
      <c r="O499" s="165">
        <f>SUM(O496:O498)</f>
        <v>484846132.93587619</v>
      </c>
    </row>
    <row r="500" spans="1:15" ht="15" x14ac:dyDescent="0.25">
      <c r="A500" s="160"/>
      <c r="B500" s="160"/>
      <c r="C500" s="170" t="s">
        <v>154</v>
      </c>
      <c r="D500" s="183">
        <f t="shared" si="63"/>
        <v>62544999.22000999</v>
      </c>
      <c r="E500" s="153">
        <f>12448524.64713-5663296.15992001</f>
        <v>6785228.4872099897</v>
      </c>
      <c r="F500" s="153"/>
      <c r="G500" s="154">
        <f t="shared" ref="G500" si="65">D500+E500+F500</f>
        <v>69330227.707219973</v>
      </c>
      <c r="H500" s="154"/>
      <c r="I500" s="154">
        <v>0</v>
      </c>
      <c r="J500" s="158"/>
      <c r="N500" s="154">
        <f t="shared" ref="N500" si="66">K500+L500+M500</f>
        <v>0</v>
      </c>
      <c r="O500" s="155">
        <f t="shared" ref="O500" si="67">G500+N500</f>
        <v>69330227.707219973</v>
      </c>
    </row>
    <row r="501" spans="1:15" x14ac:dyDescent="0.2">
      <c r="A501" s="160"/>
      <c r="B501" s="160"/>
      <c r="C501" s="170" t="s">
        <v>155</v>
      </c>
      <c r="D501" s="165">
        <f>SUM(D499:D500)</f>
        <v>743351710.91528165</v>
      </c>
      <c r="E501" s="165">
        <f t="shared" ref="E501:G501" si="68">SUM(E499:E500)</f>
        <v>50736926.896595538</v>
      </c>
      <c r="F501" s="165">
        <f t="shared" si="68"/>
        <v>-1757133.885522193</v>
      </c>
      <c r="G501" s="165">
        <f t="shared" si="68"/>
        <v>792331503.926355</v>
      </c>
      <c r="H501" s="165"/>
      <c r="I501" s="165">
        <f t="shared" ref="I501:O501" si="69">SUM(I499:I500)</f>
        <v>0</v>
      </c>
      <c r="J501" s="165">
        <f t="shared" si="69"/>
        <v>0</v>
      </c>
      <c r="K501" s="165">
        <f t="shared" si="69"/>
        <v>-215227398.96127248</v>
      </c>
      <c r="L501" s="165">
        <f t="shared" si="69"/>
        <v>-23611128.128708739</v>
      </c>
      <c r="M501" s="165">
        <f t="shared" si="69"/>
        <v>683383.80672228744</v>
      </c>
      <c r="N501" s="165">
        <f t="shared" si="69"/>
        <v>-238155143.28325889</v>
      </c>
      <c r="O501" s="165">
        <f t="shared" si="69"/>
        <v>554176360.64309621</v>
      </c>
    </row>
    <row r="502" spans="1:15" ht="15" x14ac:dyDescent="0.25">
      <c r="A502" s="160"/>
      <c r="B502" s="160"/>
      <c r="C502" s="359" t="s">
        <v>156</v>
      </c>
      <c r="D502" s="360"/>
      <c r="E502" s="360"/>
      <c r="F502" s="360"/>
      <c r="G502" s="360"/>
      <c r="H502" s="360"/>
      <c r="I502" s="360"/>
      <c r="J502" s="360"/>
      <c r="K502" s="361"/>
      <c r="L502" s="162"/>
      <c r="N502" s="171"/>
      <c r="O502" s="172"/>
    </row>
    <row r="503" spans="1:15" ht="15" x14ac:dyDescent="0.25">
      <c r="A503" s="160"/>
      <c r="B503" s="160"/>
      <c r="C503" s="359" t="s">
        <v>43</v>
      </c>
      <c r="D503" s="360"/>
      <c r="E503" s="360"/>
      <c r="F503" s="360"/>
      <c r="G503" s="360"/>
      <c r="H503" s="360"/>
      <c r="I503" s="360"/>
      <c r="J503" s="360"/>
      <c r="K503" s="361"/>
      <c r="L503" s="165">
        <f>L501+L502</f>
        <v>-23611128.128708739</v>
      </c>
      <c r="N503" s="171"/>
      <c r="O503" s="172"/>
    </row>
    <row r="504" spans="1:15" ht="29.25" customHeight="1" x14ac:dyDescent="0.2">
      <c r="D504" s="355" t="s">
        <v>157</v>
      </c>
      <c r="E504" s="355"/>
      <c r="F504" s="355"/>
      <c r="G504" s="172">
        <f>AVERAGE(D499,G499)</f>
        <v>701903993.95720339</v>
      </c>
      <c r="H504" s="172"/>
      <c r="K504" s="124" t="s">
        <v>158</v>
      </c>
      <c r="N504" s="172">
        <f>AVERAGE(K499,N499)</f>
        <v>-226691271.1222657</v>
      </c>
    </row>
    <row r="505" spans="1:15" x14ac:dyDescent="0.2">
      <c r="D505" s="124"/>
      <c r="G505" s="172"/>
      <c r="H505" s="172"/>
      <c r="K505" s="124" t="s">
        <v>159</v>
      </c>
      <c r="N505" s="172">
        <f>G504+N504</f>
        <v>475212722.83493769</v>
      </c>
    </row>
    <row r="506" spans="1:15" x14ac:dyDescent="0.2">
      <c r="K506" s="123" t="s">
        <v>160</v>
      </c>
    </row>
    <row r="507" spans="1:15" ht="15" x14ac:dyDescent="0.25">
      <c r="A507" s="160">
        <v>10</v>
      </c>
      <c r="B507" s="160"/>
      <c r="C507" s="173" t="str">
        <f>+K507</f>
        <v>Transportation</v>
      </c>
      <c r="D507" s="174"/>
      <c r="E507" s="174"/>
      <c r="F507" s="174"/>
      <c r="G507" s="174"/>
      <c r="H507" s="174"/>
      <c r="I507" s="174"/>
      <c r="J507" s="174"/>
      <c r="K507" s="174" t="s">
        <v>161</v>
      </c>
      <c r="L507" s="174"/>
      <c r="M507" s="175">
        <f>+L479+L495</f>
        <v>-1421419.2837</v>
      </c>
    </row>
    <row r="508" spans="1:15" ht="15" x14ac:dyDescent="0.25">
      <c r="A508" s="160"/>
      <c r="B508" s="160"/>
      <c r="C508" s="173" t="str">
        <f t="shared" ref="C508:C509" si="70">+K508</f>
        <v>Net Derecognition</v>
      </c>
      <c r="D508" s="174"/>
      <c r="E508" s="174"/>
      <c r="F508" s="174"/>
      <c r="G508" s="174"/>
      <c r="H508" s="174"/>
      <c r="I508" s="174"/>
      <c r="J508" s="174"/>
      <c r="K508" s="174" t="s">
        <v>162</v>
      </c>
      <c r="L508" s="174"/>
      <c r="M508" s="175">
        <f>-(+F496+M496-F494-M494)</f>
        <v>1119940.867151015</v>
      </c>
    </row>
    <row r="509" spans="1:15" ht="15" x14ac:dyDescent="0.25">
      <c r="A509" s="160">
        <v>47</v>
      </c>
      <c r="B509" s="160"/>
      <c r="C509" s="173" t="str">
        <f t="shared" si="70"/>
        <v>Deferred Revenue</v>
      </c>
      <c r="D509" s="174"/>
      <c r="E509" s="174"/>
      <c r="F509" s="174"/>
      <c r="G509" s="174"/>
      <c r="H509" s="174"/>
      <c r="I509" s="174"/>
      <c r="J509" s="174"/>
      <c r="K509" s="174" t="s">
        <v>166</v>
      </c>
      <c r="L509" s="174"/>
      <c r="M509" s="175">
        <f>-F494-M494</f>
        <v>-46190.788351109244</v>
      </c>
    </row>
    <row r="510" spans="1:15" x14ac:dyDescent="0.2">
      <c r="K510" s="353" t="s">
        <v>164</v>
      </c>
      <c r="L510" s="354"/>
      <c r="M510" s="177">
        <f>L503-M507-M508-M509</f>
        <v>-23263458.923808645</v>
      </c>
    </row>
    <row r="514" spans="1:19" ht="15.75" thickBot="1" x14ac:dyDescent="0.25">
      <c r="E514" s="135" t="s">
        <v>94</v>
      </c>
      <c r="F514" s="136" t="s">
        <v>12</v>
      </c>
    </row>
    <row r="515" spans="1:19" ht="15.75" thickBot="1" x14ac:dyDescent="0.3">
      <c r="E515" s="135" t="s">
        <v>95</v>
      </c>
      <c r="F515" s="137">
        <v>2027</v>
      </c>
      <c r="G515" s="138"/>
      <c r="H515" s="138"/>
      <c r="I515" s="139" t="b">
        <f>IF(F515=2014,4,IF(F515=2015,5,IF(F515=2016,6,IF(F515=2017,7,IF(F515=2018,8,IF(F515=2019,9,IF(F515=2020,10)))))))</f>
        <v>0</v>
      </c>
    </row>
    <row r="517" spans="1:19" x14ac:dyDescent="0.2">
      <c r="D517" s="356" t="s">
        <v>96</v>
      </c>
      <c r="E517" s="357"/>
      <c r="F517" s="357"/>
      <c r="G517" s="357"/>
      <c r="H517" s="357"/>
      <c r="I517" s="358"/>
      <c r="K517" s="140"/>
      <c r="L517" s="141"/>
      <c r="M517" s="141" t="s">
        <v>97</v>
      </c>
      <c r="N517" s="141"/>
      <c r="O517" s="142"/>
    </row>
    <row r="518" spans="1:19" ht="30" customHeight="1" x14ac:dyDescent="0.2">
      <c r="A518" s="143" t="s">
        <v>98</v>
      </c>
      <c r="B518" s="143" t="s">
        <v>99</v>
      </c>
      <c r="C518" s="144" t="s">
        <v>100</v>
      </c>
      <c r="D518" s="143" t="s">
        <v>101</v>
      </c>
      <c r="E518" s="143" t="s">
        <v>170</v>
      </c>
      <c r="F518" s="145" t="s">
        <v>102</v>
      </c>
      <c r="G518" s="145" t="s">
        <v>103</v>
      </c>
      <c r="H518" s="143" t="s">
        <v>104</v>
      </c>
      <c r="I518" s="143" t="s">
        <v>105</v>
      </c>
      <c r="J518" s="146"/>
      <c r="K518" s="143" t="s">
        <v>101</v>
      </c>
      <c r="L518" s="143" t="s">
        <v>170</v>
      </c>
      <c r="M518" s="147" t="s">
        <v>106</v>
      </c>
      <c r="N518" s="147" t="s">
        <v>103</v>
      </c>
      <c r="O518" s="143" t="s">
        <v>104</v>
      </c>
      <c r="P518" s="143" t="s">
        <v>107</v>
      </c>
    </row>
    <row r="519" spans="1:19" ht="15" x14ac:dyDescent="0.25">
      <c r="A519" s="149">
        <v>14.1</v>
      </c>
      <c r="B519" s="150">
        <v>1609</v>
      </c>
      <c r="C519" s="151" t="s">
        <v>108</v>
      </c>
      <c r="D519" s="181">
        <f t="shared" ref="D519:D567" si="71">G452</f>
        <v>6196800</v>
      </c>
      <c r="E519" s="181">
        <v>20380711.756089997</v>
      </c>
      <c r="F519" s="153"/>
      <c r="G519" s="153"/>
      <c r="H519" s="154">
        <f>D519+E519+F519+G519</f>
        <v>26577511.756089997</v>
      </c>
      <c r="I519" s="154">
        <v>0</v>
      </c>
      <c r="J519" s="146"/>
      <c r="K519" s="182">
        <f t="shared" ref="K519:K562" si="72">N452</f>
        <v>-2197327.8668</v>
      </c>
      <c r="L519" s="182">
        <v>-531543.91792179993</v>
      </c>
      <c r="M519" s="153">
        <v>-1376029.3467436</v>
      </c>
      <c r="N519" s="153"/>
      <c r="O519" s="154">
        <f>K519+L519+M519+N519</f>
        <v>-4104901.1314654001</v>
      </c>
      <c r="P519" s="155">
        <f t="shared" ref="P519:P562" si="73">H519+O519</f>
        <v>22472610.624624595</v>
      </c>
      <c r="S519" s="156" t="s">
        <v>332</v>
      </c>
    </row>
    <row r="520" spans="1:19" ht="15" x14ac:dyDescent="0.25">
      <c r="A520" s="149" t="s">
        <v>109</v>
      </c>
      <c r="B520" s="150">
        <v>1610</v>
      </c>
      <c r="C520" s="151" t="s">
        <v>110</v>
      </c>
      <c r="D520" s="181">
        <f t="shared" si="71"/>
        <v>4560266.58</v>
      </c>
      <c r="E520" s="181"/>
      <c r="F520" s="153"/>
      <c r="G520" s="153"/>
      <c r="H520" s="154">
        <f t="shared" ref="H520:H562" si="74">D520+E520+F520+G520</f>
        <v>4560266.58</v>
      </c>
      <c r="I520" s="154">
        <v>0</v>
      </c>
      <c r="J520" s="146"/>
      <c r="K520" s="182">
        <f t="shared" si="72"/>
        <v>-4256752.6532000005</v>
      </c>
      <c r="L520" s="182"/>
      <c r="M520" s="153">
        <v>-46684.611599999997</v>
      </c>
      <c r="N520" s="153"/>
      <c r="O520" s="154">
        <f t="shared" ref="O520:O562" si="75">K520+L520+M520+N520</f>
        <v>-4303437.2648000009</v>
      </c>
      <c r="P520" s="155">
        <f t="shared" si="73"/>
        <v>256829.31519999914</v>
      </c>
      <c r="S520" s="156"/>
    </row>
    <row r="521" spans="1:19" ht="15" x14ac:dyDescent="0.25">
      <c r="A521" s="150">
        <v>12</v>
      </c>
      <c r="B521" s="150">
        <v>1611</v>
      </c>
      <c r="C521" s="157" t="s">
        <v>111</v>
      </c>
      <c r="D521" s="181">
        <f t="shared" si="71"/>
        <v>24780442.590000004</v>
      </c>
      <c r="E521" s="181">
        <v>4309904.0200000005</v>
      </c>
      <c r="F521" s="153">
        <v>661219.25</v>
      </c>
      <c r="G521" s="153"/>
      <c r="H521" s="154">
        <f t="shared" si="74"/>
        <v>29751565.860000003</v>
      </c>
      <c r="I521" s="154">
        <v>0</v>
      </c>
      <c r="J521" s="158"/>
      <c r="K521" s="182">
        <f t="shared" si="72"/>
        <v>-22403743.331466667</v>
      </c>
      <c r="L521" s="182">
        <v>-1469251.5634000001</v>
      </c>
      <c r="M521" s="153">
        <v>-2257630.3351666667</v>
      </c>
      <c r="N521" s="153"/>
      <c r="O521" s="154">
        <f t="shared" si="75"/>
        <v>-26130625.230033334</v>
      </c>
      <c r="P521" s="155">
        <f t="shared" si="73"/>
        <v>3620940.6299666688</v>
      </c>
      <c r="S521" s="156" t="s">
        <v>333</v>
      </c>
    </row>
    <row r="522" spans="1:19" ht="15" x14ac:dyDescent="0.25">
      <c r="A522" s="150">
        <v>14.1</v>
      </c>
      <c r="B522" s="150">
        <v>1612</v>
      </c>
      <c r="C522" s="151" t="s">
        <v>112</v>
      </c>
      <c r="D522" s="181">
        <f t="shared" si="71"/>
        <v>461198.61000000034</v>
      </c>
      <c r="E522" s="181">
        <v>3841402</v>
      </c>
      <c r="F522" s="153"/>
      <c r="G522" s="153"/>
      <c r="H522" s="154">
        <f t="shared" si="74"/>
        <v>4302600.6100000003</v>
      </c>
      <c r="I522" s="154">
        <v>0</v>
      </c>
      <c r="J522" s="158"/>
      <c r="K522" s="182">
        <f t="shared" si="72"/>
        <v>-153258.4284</v>
      </c>
      <c r="L522" s="182"/>
      <c r="M522" s="153">
        <v>-12301.7492</v>
      </c>
      <c r="N522" s="153"/>
      <c r="O522" s="154">
        <f t="shared" si="75"/>
        <v>-165560.1776</v>
      </c>
      <c r="P522" s="155">
        <f t="shared" si="73"/>
        <v>4137040.4324000003</v>
      </c>
      <c r="S522" s="156" t="s">
        <v>334</v>
      </c>
    </row>
    <row r="523" spans="1:19" ht="15" x14ac:dyDescent="0.25">
      <c r="A523" s="150" t="s">
        <v>109</v>
      </c>
      <c r="B523" s="150">
        <v>1805</v>
      </c>
      <c r="C523" s="151" t="s">
        <v>113</v>
      </c>
      <c r="D523" s="181">
        <f t="shared" si="71"/>
        <v>1190619.8899999999</v>
      </c>
      <c r="E523" s="181"/>
      <c r="F523" s="153"/>
      <c r="G523" s="153"/>
      <c r="H523" s="154">
        <f t="shared" si="74"/>
        <v>1190619.8899999999</v>
      </c>
      <c r="I523" s="154">
        <v>0</v>
      </c>
      <c r="J523" s="158"/>
      <c r="K523" s="182">
        <f t="shared" si="72"/>
        <v>0</v>
      </c>
      <c r="L523" s="182"/>
      <c r="M523" s="153"/>
      <c r="N523" s="153"/>
      <c r="O523" s="154">
        <f t="shared" si="75"/>
        <v>0</v>
      </c>
      <c r="P523" s="155">
        <f t="shared" si="73"/>
        <v>1190619.8899999999</v>
      </c>
      <c r="S523" s="156" t="s">
        <v>335</v>
      </c>
    </row>
    <row r="524" spans="1:19" ht="15" x14ac:dyDescent="0.25">
      <c r="A524" s="150">
        <v>47</v>
      </c>
      <c r="B524" s="150">
        <v>1808</v>
      </c>
      <c r="C524" s="151" t="s">
        <v>114</v>
      </c>
      <c r="D524" s="181">
        <f t="shared" si="71"/>
        <v>1409044.04</v>
      </c>
      <c r="E524" s="181"/>
      <c r="F524" s="153"/>
      <c r="G524" s="153"/>
      <c r="H524" s="154">
        <f t="shared" si="74"/>
        <v>1409044.04</v>
      </c>
      <c r="I524" s="154">
        <v>0</v>
      </c>
      <c r="J524" s="158"/>
      <c r="K524" s="182">
        <f t="shared" si="72"/>
        <v>-1240211.4820000003</v>
      </c>
      <c r="L524" s="182"/>
      <c r="M524" s="153">
        <v>-9573.8109999999997</v>
      </c>
      <c r="N524" s="153"/>
      <c r="O524" s="154">
        <f t="shared" si="75"/>
        <v>-1249785.2930000003</v>
      </c>
      <c r="P524" s="155">
        <f t="shared" si="73"/>
        <v>159258.74699999974</v>
      </c>
      <c r="S524" s="156" t="s">
        <v>336</v>
      </c>
    </row>
    <row r="525" spans="1:19" ht="15" x14ac:dyDescent="0.25">
      <c r="A525" s="150"/>
      <c r="B525" s="150">
        <v>1810</v>
      </c>
      <c r="C525" s="151" t="s">
        <v>115</v>
      </c>
      <c r="D525" s="181">
        <f t="shared" si="71"/>
        <v>0</v>
      </c>
      <c r="E525" s="181"/>
      <c r="F525" s="153"/>
      <c r="G525" s="153"/>
      <c r="H525" s="154">
        <f t="shared" si="74"/>
        <v>0</v>
      </c>
      <c r="I525" s="154">
        <v>0</v>
      </c>
      <c r="J525" s="158"/>
      <c r="K525" s="182">
        <f t="shared" si="72"/>
        <v>0</v>
      </c>
      <c r="L525" s="182"/>
      <c r="M525" s="153"/>
      <c r="N525" s="153"/>
      <c r="O525" s="154">
        <f t="shared" si="75"/>
        <v>0</v>
      </c>
      <c r="P525" s="155">
        <f t="shared" si="73"/>
        <v>0</v>
      </c>
      <c r="S525" s="156" t="s">
        <v>337</v>
      </c>
    </row>
    <row r="526" spans="1:19" ht="15" x14ac:dyDescent="0.25">
      <c r="A526" s="150">
        <v>47</v>
      </c>
      <c r="B526" s="150">
        <v>1815</v>
      </c>
      <c r="C526" s="151" t="s">
        <v>116</v>
      </c>
      <c r="D526" s="181">
        <f t="shared" si="71"/>
        <v>225104.49999999997</v>
      </c>
      <c r="E526" s="181">
        <v>34796541.439999998</v>
      </c>
      <c r="F526" s="153"/>
      <c r="G526" s="153"/>
      <c r="H526" s="154">
        <f t="shared" si="74"/>
        <v>35021645.939999998</v>
      </c>
      <c r="I526" s="154">
        <v>0</v>
      </c>
      <c r="J526" s="158"/>
      <c r="K526" s="182">
        <f t="shared" si="72"/>
        <v>-76362.498800000234</v>
      </c>
      <c r="L526" s="182">
        <v>-3300773.2626000005</v>
      </c>
      <c r="M526" s="153">
        <v>-741911.21570000006</v>
      </c>
      <c r="N526" s="153"/>
      <c r="O526" s="154">
        <f t="shared" si="75"/>
        <v>-4119046.9771000007</v>
      </c>
      <c r="P526" s="155">
        <f t="shared" si="73"/>
        <v>30902598.962899998</v>
      </c>
      <c r="S526" s="156" t="s">
        <v>338</v>
      </c>
    </row>
    <row r="527" spans="1:19" ht="15" x14ac:dyDescent="0.25">
      <c r="A527" s="150">
        <v>47</v>
      </c>
      <c r="B527" s="150">
        <v>1820</v>
      </c>
      <c r="C527" s="151" t="s">
        <v>117</v>
      </c>
      <c r="D527" s="181">
        <f t="shared" si="71"/>
        <v>86875977.869494349</v>
      </c>
      <c r="E527" s="181">
        <v>9503060</v>
      </c>
      <c r="F527" s="153">
        <v>10050644.951180283</v>
      </c>
      <c r="G527" s="153">
        <v>-3194889.91</v>
      </c>
      <c r="H527" s="154">
        <f t="shared" si="74"/>
        <v>103234792.91067463</v>
      </c>
      <c r="I527" s="154">
        <v>0</v>
      </c>
      <c r="J527" s="158"/>
      <c r="K527" s="182">
        <f t="shared" si="72"/>
        <v>-21374615.773602054</v>
      </c>
      <c r="L527" s="182">
        <v>-113939.75</v>
      </c>
      <c r="M527" s="153">
        <v>-2779269.2735642763</v>
      </c>
      <c r="N527" s="153">
        <v>1164658.7108</v>
      </c>
      <c r="O527" s="154">
        <f t="shared" si="75"/>
        <v>-23103166.086366329</v>
      </c>
      <c r="P527" s="155">
        <f t="shared" si="73"/>
        <v>80131626.824308306</v>
      </c>
      <c r="S527" s="156" t="s">
        <v>339</v>
      </c>
    </row>
    <row r="528" spans="1:19" ht="15" x14ac:dyDescent="0.25">
      <c r="A528" s="150"/>
      <c r="B528" s="150">
        <v>1825</v>
      </c>
      <c r="C528" s="151" t="s">
        <v>118</v>
      </c>
      <c r="D528" s="181">
        <f t="shared" si="71"/>
        <v>0</v>
      </c>
      <c r="E528" s="181"/>
      <c r="F528" s="153"/>
      <c r="G528" s="153"/>
      <c r="H528" s="154">
        <f t="shared" si="74"/>
        <v>0</v>
      </c>
      <c r="I528" s="154">
        <v>0</v>
      </c>
      <c r="J528" s="158"/>
      <c r="K528" s="182">
        <f t="shared" si="72"/>
        <v>0</v>
      </c>
      <c r="L528" s="182"/>
      <c r="M528" s="153"/>
      <c r="N528" s="153"/>
      <c r="O528" s="154">
        <f t="shared" si="75"/>
        <v>0</v>
      </c>
      <c r="P528" s="155">
        <f t="shared" si="73"/>
        <v>0</v>
      </c>
      <c r="S528" s="156" t="s">
        <v>340</v>
      </c>
    </row>
    <row r="529" spans="1:19" ht="15" x14ac:dyDescent="0.25">
      <c r="A529" s="150">
        <v>47</v>
      </c>
      <c r="B529" s="150">
        <v>1830</v>
      </c>
      <c r="C529" s="151" t="s">
        <v>119</v>
      </c>
      <c r="D529" s="181">
        <f t="shared" si="71"/>
        <v>171695681.64227182</v>
      </c>
      <c r="E529" s="181">
        <v>3648157.3421999998</v>
      </c>
      <c r="F529" s="153">
        <v>35592651.512599997</v>
      </c>
      <c r="G529" s="153">
        <v>-488381.72172535071</v>
      </c>
      <c r="H529" s="154">
        <f t="shared" si="74"/>
        <v>210448108.77534649</v>
      </c>
      <c r="I529" s="154">
        <v>0</v>
      </c>
      <c r="J529" s="158"/>
      <c r="K529" s="182">
        <f t="shared" si="72"/>
        <v>-31645122.266152933</v>
      </c>
      <c r="L529" s="182">
        <v>-292210.39055750001</v>
      </c>
      <c r="M529" s="153">
        <v>-4974041.1332758227</v>
      </c>
      <c r="N529" s="153">
        <v>151213.90917225811</v>
      </c>
      <c r="O529" s="154">
        <f t="shared" si="75"/>
        <v>-36760159.880814001</v>
      </c>
      <c r="P529" s="155">
        <f t="shared" si="73"/>
        <v>173687948.8945325</v>
      </c>
      <c r="S529" s="156" t="s">
        <v>341</v>
      </c>
    </row>
    <row r="530" spans="1:19" ht="15" x14ac:dyDescent="0.25">
      <c r="A530" s="150">
        <v>47</v>
      </c>
      <c r="B530" s="150">
        <v>1835</v>
      </c>
      <c r="C530" s="151" t="s">
        <v>120</v>
      </c>
      <c r="D530" s="181">
        <f t="shared" si="71"/>
        <v>114307749.4525802</v>
      </c>
      <c r="E530" s="181">
        <v>2757940.8322000001</v>
      </c>
      <c r="F530" s="153">
        <v>25002716.252899997</v>
      </c>
      <c r="G530" s="153">
        <v>-276919.5546388895</v>
      </c>
      <c r="H530" s="154">
        <f t="shared" si="74"/>
        <v>141791486.98304132</v>
      </c>
      <c r="I530" s="154">
        <v>0</v>
      </c>
      <c r="J530" s="158"/>
      <c r="K530" s="182">
        <f t="shared" si="72"/>
        <v>-21948657.811113581</v>
      </c>
      <c r="L530" s="182">
        <v>-193875.11090500001</v>
      </c>
      <c r="M530" s="153">
        <v>-2987720.0439632833</v>
      </c>
      <c r="N530" s="153">
        <v>194755.31664532618</v>
      </c>
      <c r="O530" s="154">
        <f t="shared" si="75"/>
        <v>-24935497.649336535</v>
      </c>
      <c r="P530" s="155">
        <f t="shared" si="73"/>
        <v>116855989.33370478</v>
      </c>
      <c r="S530" s="156" t="s">
        <v>342</v>
      </c>
    </row>
    <row r="531" spans="1:19" ht="15" x14ac:dyDescent="0.25">
      <c r="A531" s="150">
        <v>47</v>
      </c>
      <c r="B531" s="150">
        <v>1840</v>
      </c>
      <c r="C531" s="151" t="s">
        <v>121</v>
      </c>
      <c r="D531" s="181">
        <f t="shared" si="71"/>
        <v>81441640.575636968</v>
      </c>
      <c r="E531" s="181">
        <v>4439192.0580000002</v>
      </c>
      <c r="F531" s="153">
        <v>7076029.9615000002</v>
      </c>
      <c r="G531" s="153">
        <v>-905.44</v>
      </c>
      <c r="H531" s="154">
        <f t="shared" si="74"/>
        <v>92955957.155136973</v>
      </c>
      <c r="I531" s="154">
        <v>0</v>
      </c>
      <c r="J531" s="158"/>
      <c r="K531" s="182">
        <f t="shared" si="72"/>
        <v>-11603508.064269474</v>
      </c>
      <c r="L531" s="182">
        <v>-225466.14624999999</v>
      </c>
      <c r="M531" s="153">
        <v>-1557383.5366514497</v>
      </c>
      <c r="N531" s="153">
        <v>67.961199999999991</v>
      </c>
      <c r="O531" s="154">
        <f t="shared" si="75"/>
        <v>-13386289.785970923</v>
      </c>
      <c r="P531" s="155">
        <f t="shared" si="73"/>
        <v>79569667.369166046</v>
      </c>
      <c r="S531" s="156" t="s">
        <v>343</v>
      </c>
    </row>
    <row r="532" spans="1:19" ht="15" x14ac:dyDescent="0.25">
      <c r="A532" s="150">
        <v>47</v>
      </c>
      <c r="B532" s="150">
        <v>1845</v>
      </c>
      <c r="C532" s="151" t="s">
        <v>122</v>
      </c>
      <c r="D532" s="181">
        <f t="shared" si="71"/>
        <v>130691815.15155658</v>
      </c>
      <c r="E532" s="181">
        <v>3895737.8575999998</v>
      </c>
      <c r="F532" s="153">
        <v>14389442.4515</v>
      </c>
      <c r="G532" s="153">
        <v>-244580.58942423822</v>
      </c>
      <c r="H532" s="154">
        <f t="shared" si="74"/>
        <v>148732414.87123233</v>
      </c>
      <c r="I532" s="154">
        <v>0</v>
      </c>
      <c r="J532" s="158"/>
      <c r="K532" s="182">
        <f t="shared" si="72"/>
        <v>-26013557.097946737</v>
      </c>
      <c r="L532" s="182">
        <v>-402250.59655999998</v>
      </c>
      <c r="M532" s="153">
        <v>-3932934.3542587496</v>
      </c>
      <c r="N532" s="153">
        <v>84006.261880302685</v>
      </c>
      <c r="O532" s="154">
        <f t="shared" si="75"/>
        <v>-30264735.786885187</v>
      </c>
      <c r="P532" s="155">
        <f t="shared" si="73"/>
        <v>118467679.08434714</v>
      </c>
      <c r="S532" s="156" t="s">
        <v>344</v>
      </c>
    </row>
    <row r="533" spans="1:19" ht="15" x14ac:dyDescent="0.25">
      <c r="A533" s="150">
        <v>47</v>
      </c>
      <c r="B533" s="150">
        <v>1850</v>
      </c>
      <c r="C533" s="151" t="s">
        <v>123</v>
      </c>
      <c r="D533" s="181">
        <f t="shared" si="71"/>
        <v>93091129.568694875</v>
      </c>
      <c r="E533" s="181">
        <v>182782.04</v>
      </c>
      <c r="F533" s="153">
        <v>3637879.2565000001</v>
      </c>
      <c r="G533" s="153">
        <v>-411399.03858421138</v>
      </c>
      <c r="H533" s="154">
        <f t="shared" si="74"/>
        <v>96500391.826610669</v>
      </c>
      <c r="I533" s="154">
        <v>0</v>
      </c>
      <c r="J533" s="158"/>
      <c r="K533" s="182">
        <f t="shared" si="72"/>
        <v>-27048443.403528336</v>
      </c>
      <c r="L533" s="182">
        <v>-23733.449000000001</v>
      </c>
      <c r="M533" s="153">
        <v>-3256514.3806726504</v>
      </c>
      <c r="N533" s="153">
        <v>189058.27248527738</v>
      </c>
      <c r="O533" s="154">
        <f t="shared" si="75"/>
        <v>-30139632.960715711</v>
      </c>
      <c r="P533" s="155">
        <f t="shared" si="73"/>
        <v>66360758.865894958</v>
      </c>
      <c r="S533" s="156" t="s">
        <v>345</v>
      </c>
    </row>
    <row r="534" spans="1:19" ht="15" x14ac:dyDescent="0.25">
      <c r="A534" s="150">
        <v>47</v>
      </c>
      <c r="B534" s="150">
        <v>1855</v>
      </c>
      <c r="C534" s="151" t="s">
        <v>124</v>
      </c>
      <c r="D534" s="181">
        <f t="shared" si="71"/>
        <v>64863700.226980001</v>
      </c>
      <c r="E534" s="181">
        <v>6370.09</v>
      </c>
      <c r="F534" s="153">
        <v>5278395.7149999999</v>
      </c>
      <c r="G534" s="153"/>
      <c r="H534" s="154">
        <f t="shared" si="74"/>
        <v>70148466.031980008</v>
      </c>
      <c r="I534" s="154">
        <v>0</v>
      </c>
      <c r="J534" s="158"/>
      <c r="K534" s="182">
        <f t="shared" si="72"/>
        <v>-14403859.625956224</v>
      </c>
      <c r="L534" s="182">
        <v>-446.4622</v>
      </c>
      <c r="M534" s="153">
        <v>-1649531.8911709997</v>
      </c>
      <c r="N534" s="153"/>
      <c r="O534" s="154">
        <f t="shared" si="75"/>
        <v>-16053837.979327224</v>
      </c>
      <c r="P534" s="155">
        <f t="shared" si="73"/>
        <v>54094628.052652784</v>
      </c>
      <c r="S534" s="156" t="s">
        <v>346</v>
      </c>
    </row>
    <row r="535" spans="1:19" ht="15" x14ac:dyDescent="0.25">
      <c r="A535" s="150">
        <v>47</v>
      </c>
      <c r="B535" s="150">
        <v>1860</v>
      </c>
      <c r="C535" s="151" t="s">
        <v>125</v>
      </c>
      <c r="D535" s="181">
        <f t="shared" si="71"/>
        <v>3534003.9868046721</v>
      </c>
      <c r="E535" s="181"/>
      <c r="F535" s="153">
        <v>126109.54300000001</v>
      </c>
      <c r="G535" s="153">
        <v>-6396.7967862878886</v>
      </c>
      <c r="H535" s="154">
        <f t="shared" si="74"/>
        <v>3653716.7330183843</v>
      </c>
      <c r="I535" s="154">
        <v>0</v>
      </c>
      <c r="J535" s="158"/>
      <c r="K535" s="182">
        <f t="shared" si="72"/>
        <v>-1280050.4207000476</v>
      </c>
      <c r="L535" s="182"/>
      <c r="M535" s="153">
        <v>-148310.72710523504</v>
      </c>
      <c r="N535" s="153">
        <v>3798.3095750794473</v>
      </c>
      <c r="O535" s="154">
        <f t="shared" si="75"/>
        <v>-1424562.8382302031</v>
      </c>
      <c r="P535" s="155">
        <f t="shared" si="73"/>
        <v>2229153.8947881814</v>
      </c>
      <c r="S535" s="156" t="s">
        <v>347</v>
      </c>
    </row>
    <row r="536" spans="1:19" ht="15" x14ac:dyDescent="0.25">
      <c r="A536" s="150">
        <v>47</v>
      </c>
      <c r="B536" s="150">
        <v>1860</v>
      </c>
      <c r="C536" s="151" t="s">
        <v>126</v>
      </c>
      <c r="D536" s="181">
        <f t="shared" si="71"/>
        <v>29267060.194754694</v>
      </c>
      <c r="E536" s="181"/>
      <c r="F536" s="153">
        <v>1549345.8140000002</v>
      </c>
      <c r="G536" s="153">
        <v>-149388.49930775695</v>
      </c>
      <c r="H536" s="154">
        <f t="shared" si="74"/>
        <v>30667017.509446938</v>
      </c>
      <c r="I536" s="154">
        <v>0</v>
      </c>
      <c r="J536" s="158"/>
      <c r="K536" s="182">
        <f t="shared" si="72"/>
        <v>-20323355.306246348</v>
      </c>
      <c r="L536" s="182"/>
      <c r="M536" s="153">
        <v>-1080447.4820928255</v>
      </c>
      <c r="N536" s="153">
        <v>142594.25427735329</v>
      </c>
      <c r="O536" s="154">
        <f t="shared" si="75"/>
        <v>-21261208.534061819</v>
      </c>
      <c r="P536" s="155">
        <f t="shared" si="73"/>
        <v>9405808.9753851183</v>
      </c>
      <c r="S536" s="156" t="s">
        <v>347</v>
      </c>
    </row>
    <row r="537" spans="1:19" ht="15" x14ac:dyDescent="0.25">
      <c r="A537" s="150">
        <v>47</v>
      </c>
      <c r="B537" s="150">
        <v>1865</v>
      </c>
      <c r="C537" s="151" t="s">
        <v>127</v>
      </c>
      <c r="D537" s="181">
        <f t="shared" si="71"/>
        <v>81548.159999999989</v>
      </c>
      <c r="E537" s="181"/>
      <c r="F537" s="153"/>
      <c r="G537" s="153"/>
      <c r="H537" s="154">
        <f t="shared" si="74"/>
        <v>81548.159999999989</v>
      </c>
      <c r="I537" s="154">
        <v>0</v>
      </c>
      <c r="J537" s="158"/>
      <c r="K537" s="182">
        <f t="shared" si="72"/>
        <v>-81548.160000000003</v>
      </c>
      <c r="L537" s="182"/>
      <c r="M537" s="153"/>
      <c r="N537" s="153"/>
      <c r="O537" s="154">
        <f t="shared" si="75"/>
        <v>-81548.160000000003</v>
      </c>
      <c r="P537" s="155">
        <f t="shared" si="73"/>
        <v>0</v>
      </c>
      <c r="S537" s="156"/>
    </row>
    <row r="538" spans="1:19" ht="15" x14ac:dyDescent="0.25">
      <c r="A538" s="150" t="s">
        <v>109</v>
      </c>
      <c r="B538" s="150">
        <v>1905</v>
      </c>
      <c r="C538" s="151" t="s">
        <v>113</v>
      </c>
      <c r="D538" s="181">
        <f t="shared" si="71"/>
        <v>1195031.2999999998</v>
      </c>
      <c r="E538" s="181"/>
      <c r="F538" s="153"/>
      <c r="G538" s="153"/>
      <c r="H538" s="154">
        <f t="shared" si="74"/>
        <v>1195031.2999999998</v>
      </c>
      <c r="I538" s="154">
        <v>0</v>
      </c>
      <c r="J538" s="158"/>
      <c r="K538" s="182">
        <f t="shared" si="72"/>
        <v>0</v>
      </c>
      <c r="L538" s="182"/>
      <c r="M538" s="153"/>
      <c r="N538" s="153"/>
      <c r="O538" s="154">
        <f t="shared" si="75"/>
        <v>0</v>
      </c>
      <c r="P538" s="155">
        <f t="shared" si="73"/>
        <v>1195031.2999999998</v>
      </c>
      <c r="S538" s="156" t="s">
        <v>348</v>
      </c>
    </row>
    <row r="539" spans="1:19" ht="15" x14ac:dyDescent="0.25">
      <c r="A539" s="150">
        <v>1</v>
      </c>
      <c r="B539" s="150">
        <v>1908</v>
      </c>
      <c r="C539" s="151" t="s">
        <v>128</v>
      </c>
      <c r="D539" s="181">
        <f t="shared" si="71"/>
        <v>32534831.129999999</v>
      </c>
      <c r="E539" s="181"/>
      <c r="F539" s="153">
        <v>1333800</v>
      </c>
      <c r="G539" s="153"/>
      <c r="H539" s="154">
        <f t="shared" si="74"/>
        <v>33868631.129999995</v>
      </c>
      <c r="I539" s="154">
        <v>0</v>
      </c>
      <c r="J539" s="158"/>
      <c r="K539" s="182">
        <f t="shared" si="72"/>
        <v>-16474445.162266664</v>
      </c>
      <c r="L539" s="182"/>
      <c r="M539" s="153">
        <v>-1050387.8462333335</v>
      </c>
      <c r="N539" s="153"/>
      <c r="O539" s="154">
        <f t="shared" si="75"/>
        <v>-17524833.008499999</v>
      </c>
      <c r="P539" s="155">
        <f t="shared" si="73"/>
        <v>16343798.121499997</v>
      </c>
      <c r="S539" s="156" t="s">
        <v>349</v>
      </c>
    </row>
    <row r="540" spans="1:19" ht="15" x14ac:dyDescent="0.25">
      <c r="A540" s="150"/>
      <c r="B540" s="150">
        <v>1910</v>
      </c>
      <c r="C540" s="151" t="s">
        <v>115</v>
      </c>
      <c r="D540" s="181">
        <f t="shared" si="71"/>
        <v>0</v>
      </c>
      <c r="E540" s="181"/>
      <c r="F540" s="153"/>
      <c r="G540" s="153"/>
      <c r="H540" s="154">
        <f t="shared" si="74"/>
        <v>0</v>
      </c>
      <c r="I540" s="154">
        <v>0</v>
      </c>
      <c r="J540" s="158"/>
      <c r="K540" s="182">
        <f t="shared" si="72"/>
        <v>0</v>
      </c>
      <c r="L540" s="182"/>
      <c r="M540" s="153"/>
      <c r="N540" s="153"/>
      <c r="O540" s="154">
        <f t="shared" si="75"/>
        <v>0</v>
      </c>
      <c r="P540" s="155">
        <f t="shared" si="73"/>
        <v>0</v>
      </c>
      <c r="S540" s="156" t="s">
        <v>350</v>
      </c>
    </row>
    <row r="541" spans="1:19" ht="15" x14ac:dyDescent="0.25">
      <c r="A541" s="150">
        <v>8</v>
      </c>
      <c r="B541" s="150">
        <v>1915</v>
      </c>
      <c r="C541" s="151" t="s">
        <v>129</v>
      </c>
      <c r="D541" s="181">
        <f t="shared" si="71"/>
        <v>2759073.0799999996</v>
      </c>
      <c r="E541" s="181"/>
      <c r="F541" s="153">
        <v>3839399.2</v>
      </c>
      <c r="G541" s="153"/>
      <c r="H541" s="154">
        <f t="shared" si="74"/>
        <v>6598472.2799999993</v>
      </c>
      <c r="I541" s="154">
        <v>0</v>
      </c>
      <c r="J541" s="158"/>
      <c r="K541" s="182">
        <f t="shared" si="72"/>
        <v>-2317042.0954</v>
      </c>
      <c r="L541" s="182"/>
      <c r="M541" s="153">
        <v>-288095.82330000005</v>
      </c>
      <c r="N541" s="153"/>
      <c r="O541" s="154">
        <f t="shared" si="75"/>
        <v>-2605137.9187000003</v>
      </c>
      <c r="P541" s="155">
        <f t="shared" si="73"/>
        <v>3993334.3612999991</v>
      </c>
      <c r="S541" s="156" t="s">
        <v>351</v>
      </c>
    </row>
    <row r="542" spans="1:19" ht="15" x14ac:dyDescent="0.25">
      <c r="A542" s="150"/>
      <c r="B542" s="150">
        <v>1915</v>
      </c>
      <c r="C542" s="151" t="s">
        <v>130</v>
      </c>
      <c r="D542" s="181">
        <f t="shared" si="71"/>
        <v>0</v>
      </c>
      <c r="E542" s="181"/>
      <c r="F542" s="153"/>
      <c r="G542" s="153"/>
      <c r="H542" s="154">
        <f t="shared" si="74"/>
        <v>0</v>
      </c>
      <c r="I542" s="154">
        <v>0</v>
      </c>
      <c r="J542" s="158"/>
      <c r="K542" s="182">
        <f t="shared" si="72"/>
        <v>0</v>
      </c>
      <c r="L542" s="182"/>
      <c r="M542" s="153"/>
      <c r="N542" s="153"/>
      <c r="O542" s="154">
        <f t="shared" si="75"/>
        <v>0</v>
      </c>
      <c r="P542" s="155">
        <f t="shared" si="73"/>
        <v>0</v>
      </c>
      <c r="S542" s="156" t="s">
        <v>351</v>
      </c>
    </row>
    <row r="543" spans="1:19" ht="15" x14ac:dyDescent="0.25">
      <c r="A543" s="150">
        <v>50</v>
      </c>
      <c r="B543" s="150">
        <v>1920</v>
      </c>
      <c r="C543" s="151" t="s">
        <v>131</v>
      </c>
      <c r="D543" s="181">
        <f t="shared" si="71"/>
        <v>17044449.32</v>
      </c>
      <c r="E543" s="181">
        <v>2483303.7099999995</v>
      </c>
      <c r="F543" s="153">
        <v>2806270.75</v>
      </c>
      <c r="G543" s="153"/>
      <c r="H543" s="154">
        <f t="shared" si="74"/>
        <v>22334023.780000001</v>
      </c>
      <c r="I543" s="154">
        <v>0</v>
      </c>
      <c r="J543" s="158"/>
      <c r="K543" s="182">
        <f t="shared" si="72"/>
        <v>-13014325.610199999</v>
      </c>
      <c r="L543" s="182">
        <v>-1244071.9374000002</v>
      </c>
      <c r="M543" s="153">
        <v>-2344374.2379999999</v>
      </c>
      <c r="N543" s="153"/>
      <c r="O543" s="154">
        <f t="shared" si="75"/>
        <v>-16602771.785599999</v>
      </c>
      <c r="P543" s="155">
        <f t="shared" si="73"/>
        <v>5731251.9944000021</v>
      </c>
      <c r="S543" s="156" t="s">
        <v>352</v>
      </c>
    </row>
    <row r="544" spans="1:19" ht="15" x14ac:dyDescent="0.25">
      <c r="A544" s="150"/>
      <c r="B544" s="150">
        <v>1920</v>
      </c>
      <c r="C544" s="151" t="s">
        <v>132</v>
      </c>
      <c r="D544" s="181">
        <f t="shared" si="71"/>
        <v>0</v>
      </c>
      <c r="E544" s="181"/>
      <c r="F544" s="153"/>
      <c r="G544" s="153"/>
      <c r="H544" s="154">
        <f t="shared" si="74"/>
        <v>0</v>
      </c>
      <c r="I544" s="154">
        <v>0</v>
      </c>
      <c r="J544" s="158"/>
      <c r="K544" s="182">
        <f t="shared" si="72"/>
        <v>0</v>
      </c>
      <c r="L544" s="182"/>
      <c r="M544" s="153"/>
      <c r="N544" s="153"/>
      <c r="O544" s="154">
        <f t="shared" si="75"/>
        <v>0</v>
      </c>
      <c r="P544" s="155">
        <f t="shared" si="73"/>
        <v>0</v>
      </c>
      <c r="S544" s="156" t="s">
        <v>352</v>
      </c>
    </row>
    <row r="545" spans="1:19" ht="15" x14ac:dyDescent="0.25">
      <c r="A545" s="150"/>
      <c r="B545" s="150">
        <v>1920</v>
      </c>
      <c r="C545" s="151" t="s">
        <v>133</v>
      </c>
      <c r="D545" s="181">
        <f t="shared" si="71"/>
        <v>0</v>
      </c>
      <c r="E545" s="181"/>
      <c r="F545" s="153"/>
      <c r="G545" s="153"/>
      <c r="H545" s="154">
        <f t="shared" si="74"/>
        <v>0</v>
      </c>
      <c r="I545" s="154">
        <v>0</v>
      </c>
      <c r="J545" s="158"/>
      <c r="K545" s="182">
        <f t="shared" si="72"/>
        <v>0</v>
      </c>
      <c r="L545" s="182"/>
      <c r="M545" s="153"/>
      <c r="N545" s="153"/>
      <c r="O545" s="154">
        <f t="shared" si="75"/>
        <v>0</v>
      </c>
      <c r="P545" s="155">
        <f t="shared" si="73"/>
        <v>0</v>
      </c>
      <c r="S545" s="156" t="s">
        <v>352</v>
      </c>
    </row>
    <row r="546" spans="1:19" ht="15" x14ac:dyDescent="0.25">
      <c r="A546" s="150">
        <v>10</v>
      </c>
      <c r="B546" s="150">
        <v>1930</v>
      </c>
      <c r="C546" s="151" t="s">
        <v>134</v>
      </c>
      <c r="D546" s="181">
        <f t="shared" si="71"/>
        <v>20130363.670000002</v>
      </c>
      <c r="E546" s="181"/>
      <c r="F546" s="153">
        <v>3967800</v>
      </c>
      <c r="G546" s="153"/>
      <c r="H546" s="154">
        <f t="shared" si="74"/>
        <v>24098163.670000002</v>
      </c>
      <c r="I546" s="154">
        <v>0</v>
      </c>
      <c r="J546" s="158"/>
      <c r="K546" s="182">
        <f t="shared" si="72"/>
        <v>-10771476.956533333</v>
      </c>
      <c r="L546" s="182"/>
      <c r="M546" s="153">
        <v>-1589694.3868333332</v>
      </c>
      <c r="N546" s="153"/>
      <c r="O546" s="154">
        <f t="shared" si="75"/>
        <v>-12361171.343366666</v>
      </c>
      <c r="P546" s="155">
        <f t="shared" si="73"/>
        <v>11736992.326633336</v>
      </c>
      <c r="S546" s="156" t="s">
        <v>353</v>
      </c>
    </row>
    <row r="547" spans="1:19" ht="15" x14ac:dyDescent="0.25">
      <c r="A547" s="150">
        <v>8</v>
      </c>
      <c r="B547" s="150">
        <v>1935</v>
      </c>
      <c r="C547" s="151" t="s">
        <v>135</v>
      </c>
      <c r="D547" s="181">
        <f t="shared" si="71"/>
        <v>108757.92</v>
      </c>
      <c r="E547" s="181"/>
      <c r="F547" s="153"/>
      <c r="G547" s="153"/>
      <c r="H547" s="154">
        <f t="shared" si="74"/>
        <v>108757.92</v>
      </c>
      <c r="I547" s="154">
        <v>0</v>
      </c>
      <c r="J547" s="158"/>
      <c r="K547" s="182">
        <f t="shared" si="72"/>
        <v>-108757.92000000001</v>
      </c>
      <c r="L547" s="182"/>
      <c r="M547" s="153"/>
      <c r="N547" s="153"/>
      <c r="O547" s="154">
        <f t="shared" si="75"/>
        <v>-108757.92000000001</v>
      </c>
      <c r="P547" s="155">
        <f t="shared" si="73"/>
        <v>0</v>
      </c>
      <c r="S547" s="156" t="s">
        <v>354</v>
      </c>
    </row>
    <row r="548" spans="1:19" ht="15" x14ac:dyDescent="0.25">
      <c r="A548" s="150">
        <v>8</v>
      </c>
      <c r="B548" s="150">
        <v>1940</v>
      </c>
      <c r="C548" s="151" t="s">
        <v>136</v>
      </c>
      <c r="D548" s="181">
        <f t="shared" si="71"/>
        <v>4633272.9012300009</v>
      </c>
      <c r="E548" s="181"/>
      <c r="F548" s="153">
        <v>1125374.1599999999</v>
      </c>
      <c r="G548" s="153"/>
      <c r="H548" s="154">
        <f t="shared" si="74"/>
        <v>5758647.061230001</v>
      </c>
      <c r="I548" s="154">
        <v>0</v>
      </c>
      <c r="J548" s="158"/>
      <c r="K548" s="182">
        <f t="shared" si="72"/>
        <v>-2985277.8869614997</v>
      </c>
      <c r="L548" s="182"/>
      <c r="M548" s="153">
        <v>-355257.48772299994</v>
      </c>
      <c r="N548" s="153"/>
      <c r="O548" s="154">
        <f t="shared" si="75"/>
        <v>-3340535.3746844996</v>
      </c>
      <c r="P548" s="155">
        <f t="shared" si="73"/>
        <v>2418111.6865455015</v>
      </c>
      <c r="S548" s="156" t="s">
        <v>355</v>
      </c>
    </row>
    <row r="549" spans="1:19" ht="15" x14ac:dyDescent="0.25">
      <c r="A549" s="150">
        <v>8</v>
      </c>
      <c r="B549" s="150">
        <v>1945</v>
      </c>
      <c r="C549" s="151" t="s">
        <v>137</v>
      </c>
      <c r="D549" s="181">
        <f t="shared" si="71"/>
        <v>189615.94446999999</v>
      </c>
      <c r="E549" s="181"/>
      <c r="F549" s="153"/>
      <c r="G549" s="153"/>
      <c r="H549" s="154">
        <f t="shared" si="74"/>
        <v>189615.94446999999</v>
      </c>
      <c r="I549" s="154">
        <v>0</v>
      </c>
      <c r="J549" s="158"/>
      <c r="K549" s="182">
        <f t="shared" si="72"/>
        <v>-175646.15882350001</v>
      </c>
      <c r="L549" s="182"/>
      <c r="M549" s="153">
        <v>-2634.1202470000003</v>
      </c>
      <c r="N549" s="153"/>
      <c r="O549" s="154">
        <f t="shared" si="75"/>
        <v>-178280.27907050002</v>
      </c>
      <c r="P549" s="155">
        <f t="shared" si="73"/>
        <v>11335.665399499965</v>
      </c>
      <c r="S549" s="156" t="s">
        <v>356</v>
      </c>
    </row>
    <row r="550" spans="1:19" ht="15" x14ac:dyDescent="0.25">
      <c r="A550" s="150"/>
      <c r="B550" s="150">
        <v>1950</v>
      </c>
      <c r="C550" s="151" t="s">
        <v>138</v>
      </c>
      <c r="D550" s="181">
        <f t="shared" si="71"/>
        <v>0</v>
      </c>
      <c r="E550" s="181"/>
      <c r="F550" s="153"/>
      <c r="G550" s="153"/>
      <c r="H550" s="154">
        <f t="shared" si="74"/>
        <v>0</v>
      </c>
      <c r="I550" s="154">
        <v>0</v>
      </c>
      <c r="J550" s="158"/>
      <c r="K550" s="182">
        <f t="shared" si="72"/>
        <v>0</v>
      </c>
      <c r="L550" s="182"/>
      <c r="M550" s="153"/>
      <c r="N550" s="153"/>
      <c r="O550" s="154">
        <f t="shared" si="75"/>
        <v>0</v>
      </c>
      <c r="P550" s="155">
        <f t="shared" si="73"/>
        <v>0</v>
      </c>
      <c r="S550" s="156" t="s">
        <v>357</v>
      </c>
    </row>
    <row r="551" spans="1:19" ht="15" x14ac:dyDescent="0.25">
      <c r="A551" s="150">
        <v>8</v>
      </c>
      <c r="B551" s="150">
        <v>1955</v>
      </c>
      <c r="C551" s="151" t="s">
        <v>139</v>
      </c>
      <c r="D551" s="181">
        <f t="shared" si="71"/>
        <v>2325931.7399999993</v>
      </c>
      <c r="E551" s="181"/>
      <c r="F551" s="153"/>
      <c r="G551" s="153"/>
      <c r="H551" s="154">
        <f t="shared" si="74"/>
        <v>2325931.7399999993</v>
      </c>
      <c r="I551" s="154">
        <v>0</v>
      </c>
      <c r="J551" s="158"/>
      <c r="K551" s="182">
        <f t="shared" si="72"/>
        <v>-2071942.2692</v>
      </c>
      <c r="L551" s="182"/>
      <c r="M551" s="153">
        <v>-60717.072499999995</v>
      </c>
      <c r="N551" s="153"/>
      <c r="O551" s="154">
        <f t="shared" si="75"/>
        <v>-2132659.3416999998</v>
      </c>
      <c r="P551" s="155">
        <f t="shared" si="73"/>
        <v>193272.39829999954</v>
      </c>
      <c r="S551" s="156" t="s">
        <v>358</v>
      </c>
    </row>
    <row r="552" spans="1:19" ht="15" x14ac:dyDescent="0.25">
      <c r="A552" s="150"/>
      <c r="B552" s="150">
        <v>1955</v>
      </c>
      <c r="C552" s="151" t="s">
        <v>140</v>
      </c>
      <c r="D552" s="181">
        <f t="shared" si="71"/>
        <v>0</v>
      </c>
      <c r="E552" s="181"/>
      <c r="F552" s="153"/>
      <c r="G552" s="153"/>
      <c r="H552" s="154">
        <f t="shared" si="74"/>
        <v>0</v>
      </c>
      <c r="I552" s="154">
        <v>0</v>
      </c>
      <c r="J552" s="158"/>
      <c r="K552" s="182">
        <f t="shared" si="72"/>
        <v>0</v>
      </c>
      <c r="L552" s="182"/>
      <c r="M552" s="153"/>
      <c r="N552" s="153"/>
      <c r="O552" s="154">
        <f t="shared" si="75"/>
        <v>0</v>
      </c>
      <c r="P552" s="155">
        <f t="shared" si="73"/>
        <v>0</v>
      </c>
      <c r="S552" s="156" t="s">
        <v>358</v>
      </c>
    </row>
    <row r="553" spans="1:19" ht="15" x14ac:dyDescent="0.25">
      <c r="A553" s="150">
        <v>8</v>
      </c>
      <c r="B553" s="150">
        <v>1960</v>
      </c>
      <c r="C553" s="151" t="s">
        <v>141</v>
      </c>
      <c r="D553" s="181">
        <f t="shared" si="71"/>
        <v>470214.34999999992</v>
      </c>
      <c r="E553" s="181"/>
      <c r="F553" s="153"/>
      <c r="G553" s="153"/>
      <c r="H553" s="154">
        <f t="shared" si="74"/>
        <v>470214.34999999992</v>
      </c>
      <c r="I553" s="154">
        <v>0</v>
      </c>
      <c r="J553" s="158"/>
      <c r="K553" s="182">
        <f t="shared" si="72"/>
        <v>-400364.14399999997</v>
      </c>
      <c r="L553" s="182"/>
      <c r="M553" s="153">
        <v>-26087.5818</v>
      </c>
      <c r="N553" s="153"/>
      <c r="O553" s="154">
        <f t="shared" si="75"/>
        <v>-426451.72579999996</v>
      </c>
      <c r="P553" s="155">
        <f t="shared" si="73"/>
        <v>43762.624199999962</v>
      </c>
      <c r="S553" s="156" t="s">
        <v>359</v>
      </c>
    </row>
    <row r="554" spans="1:19" ht="15" x14ac:dyDescent="0.25">
      <c r="A554" s="150"/>
      <c r="B554" s="150">
        <v>1970</v>
      </c>
      <c r="C554" s="151" t="s">
        <v>142</v>
      </c>
      <c r="D554" s="181">
        <f t="shared" si="71"/>
        <v>0</v>
      </c>
      <c r="E554" s="181"/>
      <c r="F554" s="153"/>
      <c r="G554" s="153"/>
      <c r="H554" s="154">
        <f t="shared" si="74"/>
        <v>0</v>
      </c>
      <c r="I554" s="154">
        <v>0</v>
      </c>
      <c r="J554" s="158"/>
      <c r="K554" s="182">
        <f t="shared" si="72"/>
        <v>0</v>
      </c>
      <c r="L554" s="182"/>
      <c r="M554" s="153"/>
      <c r="N554" s="153"/>
      <c r="O554" s="154">
        <f t="shared" si="75"/>
        <v>0</v>
      </c>
      <c r="P554" s="155">
        <f t="shared" si="73"/>
        <v>0</v>
      </c>
      <c r="S554" s="156" t="s">
        <v>360</v>
      </c>
    </row>
    <row r="555" spans="1:19" ht="15" x14ac:dyDescent="0.25">
      <c r="A555" s="150"/>
      <c r="B555" s="150">
        <v>1975</v>
      </c>
      <c r="C555" s="151" t="s">
        <v>143</v>
      </c>
      <c r="D555" s="181">
        <f t="shared" si="71"/>
        <v>0</v>
      </c>
      <c r="E555" s="181"/>
      <c r="F555" s="153"/>
      <c r="G555" s="153"/>
      <c r="H555" s="154">
        <f t="shared" si="74"/>
        <v>0</v>
      </c>
      <c r="I555" s="154">
        <v>0</v>
      </c>
      <c r="J555" s="158"/>
      <c r="K555" s="182">
        <f t="shared" si="72"/>
        <v>0</v>
      </c>
      <c r="L555" s="182"/>
      <c r="M555" s="153"/>
      <c r="N555" s="153"/>
      <c r="O555" s="154">
        <f t="shared" si="75"/>
        <v>0</v>
      </c>
      <c r="P555" s="155">
        <f t="shared" si="73"/>
        <v>0</v>
      </c>
      <c r="S555" s="156" t="s">
        <v>361</v>
      </c>
    </row>
    <row r="556" spans="1:19" ht="15" x14ac:dyDescent="0.25">
      <c r="A556" s="150">
        <v>8</v>
      </c>
      <c r="B556" s="150">
        <v>1980</v>
      </c>
      <c r="C556" s="151" t="s">
        <v>144</v>
      </c>
      <c r="D556" s="181">
        <f t="shared" si="71"/>
        <v>10714169.125271207</v>
      </c>
      <c r="E556" s="181">
        <v>283332.93</v>
      </c>
      <c r="F556" s="153">
        <v>611603.35070864286</v>
      </c>
      <c r="G556" s="153">
        <v>-6594.35</v>
      </c>
      <c r="H556" s="154">
        <f t="shared" si="74"/>
        <v>11602511.05597985</v>
      </c>
      <c r="I556" s="154">
        <v>0</v>
      </c>
      <c r="J556" s="158"/>
      <c r="K556" s="182">
        <f t="shared" si="72"/>
        <v>-6687535.3054623734</v>
      </c>
      <c r="L556" s="182">
        <v>-32516.791266666667</v>
      </c>
      <c r="M556" s="153">
        <v>-594621.82027503557</v>
      </c>
      <c r="N556" s="153">
        <v>2207.9180999999999</v>
      </c>
      <c r="O556" s="154">
        <f t="shared" si="75"/>
        <v>-7312465.9989040755</v>
      </c>
      <c r="P556" s="155">
        <f t="shared" si="73"/>
        <v>4290045.0570757743</v>
      </c>
      <c r="S556" s="156" t="s">
        <v>362</v>
      </c>
    </row>
    <row r="557" spans="1:19" ht="15" x14ac:dyDescent="0.25">
      <c r="A557" s="150"/>
      <c r="B557" s="150">
        <v>1985</v>
      </c>
      <c r="C557" s="151" t="s">
        <v>145</v>
      </c>
      <c r="D557" s="181">
        <f t="shared" si="71"/>
        <v>0</v>
      </c>
      <c r="E557" s="181"/>
      <c r="F557" s="153"/>
      <c r="G557" s="153"/>
      <c r="H557" s="154">
        <f t="shared" si="74"/>
        <v>0</v>
      </c>
      <c r="I557" s="154">
        <v>0</v>
      </c>
      <c r="J557" s="158"/>
      <c r="K557" s="182">
        <f t="shared" si="72"/>
        <v>0</v>
      </c>
      <c r="L557" s="182"/>
      <c r="M557" s="153"/>
      <c r="N557" s="153"/>
      <c r="O557" s="154">
        <f t="shared" si="75"/>
        <v>0</v>
      </c>
      <c r="P557" s="155">
        <f t="shared" si="73"/>
        <v>0</v>
      </c>
      <c r="S557" s="156" t="s">
        <v>363</v>
      </c>
    </row>
    <row r="558" spans="1:19" ht="15" x14ac:dyDescent="0.25">
      <c r="A558" s="150"/>
      <c r="B558" s="150">
        <v>1990</v>
      </c>
      <c r="C558" s="159" t="s">
        <v>146</v>
      </c>
      <c r="D558" s="181">
        <f t="shared" si="71"/>
        <v>0</v>
      </c>
      <c r="E558" s="181"/>
      <c r="F558" s="153"/>
      <c r="G558" s="153"/>
      <c r="H558" s="154">
        <f t="shared" si="74"/>
        <v>0</v>
      </c>
      <c r="I558" s="154">
        <v>0</v>
      </c>
      <c r="J558" s="158"/>
      <c r="K558" s="182">
        <f t="shared" si="72"/>
        <v>0</v>
      </c>
      <c r="L558" s="182"/>
      <c r="M558" s="153"/>
      <c r="N558" s="153"/>
      <c r="O558" s="154">
        <f t="shared" si="75"/>
        <v>0</v>
      </c>
      <c r="P558" s="155">
        <f t="shared" si="73"/>
        <v>0</v>
      </c>
      <c r="S558" s="156" t="s">
        <v>364</v>
      </c>
    </row>
    <row r="559" spans="1:19" ht="15" x14ac:dyDescent="0.25">
      <c r="A559" s="150"/>
      <c r="B559" s="150">
        <v>1995</v>
      </c>
      <c r="C559" s="151" t="s">
        <v>147</v>
      </c>
      <c r="D559" s="181">
        <f t="shared" si="71"/>
        <v>0</v>
      </c>
      <c r="E559" s="181"/>
      <c r="F559" s="153"/>
      <c r="G559" s="153"/>
      <c r="H559" s="154">
        <f t="shared" si="74"/>
        <v>0</v>
      </c>
      <c r="I559" s="154">
        <v>0</v>
      </c>
      <c r="J559" s="158"/>
      <c r="K559" s="182">
        <f t="shared" si="72"/>
        <v>0</v>
      </c>
      <c r="L559" s="182"/>
      <c r="M559" s="153"/>
      <c r="N559" s="153"/>
      <c r="O559" s="154">
        <f t="shared" si="75"/>
        <v>0</v>
      </c>
      <c r="P559" s="155">
        <f t="shared" si="73"/>
        <v>0</v>
      </c>
      <c r="S559" s="156" t="s">
        <v>365</v>
      </c>
    </row>
    <row r="560" spans="1:19" ht="15" x14ac:dyDescent="0.25">
      <c r="A560" s="150">
        <v>43.2</v>
      </c>
      <c r="B560" s="150">
        <v>2075</v>
      </c>
      <c r="C560" s="151" t="s">
        <v>148</v>
      </c>
      <c r="D560" s="181">
        <f t="shared" si="71"/>
        <v>1251765.9099999997</v>
      </c>
      <c r="E560" s="181"/>
      <c r="F560" s="153"/>
      <c r="G560" s="153"/>
      <c r="H560" s="154">
        <f t="shared" si="74"/>
        <v>1251765.9099999997</v>
      </c>
      <c r="I560" s="154">
        <v>0</v>
      </c>
      <c r="J560" s="158"/>
      <c r="K560" s="182">
        <f t="shared" si="72"/>
        <v>-692357.88380000019</v>
      </c>
      <c r="L560" s="182"/>
      <c r="M560" s="153">
        <v>-52509.521900000007</v>
      </c>
      <c r="N560" s="153"/>
      <c r="O560" s="154">
        <f t="shared" si="75"/>
        <v>-744867.40570000024</v>
      </c>
      <c r="P560" s="155">
        <f t="shared" si="73"/>
        <v>506898.50429999945</v>
      </c>
      <c r="S560" s="156"/>
    </row>
    <row r="561" spans="1:19" ht="15" x14ac:dyDescent="0.25">
      <c r="A561" s="150">
        <v>47</v>
      </c>
      <c r="B561" s="150">
        <v>2440</v>
      </c>
      <c r="C561" s="151" t="s">
        <v>149</v>
      </c>
      <c r="D561" s="181">
        <f t="shared" si="71"/>
        <v>-185052346.16611031</v>
      </c>
      <c r="E561" s="181">
        <v>-5883986.7800000003</v>
      </c>
      <c r="F561" s="153">
        <v>-50747030.50999999</v>
      </c>
      <c r="G561" s="153">
        <v>104481.39410813921</v>
      </c>
      <c r="H561" s="154">
        <f t="shared" si="74"/>
        <v>-241578882.06200215</v>
      </c>
      <c r="I561" s="154">
        <v>0</v>
      </c>
      <c r="K561" s="182">
        <f t="shared" si="72"/>
        <v>24418473.366660818</v>
      </c>
      <c r="L561" s="182">
        <v>1490119.7217999999</v>
      </c>
      <c r="M561" s="153">
        <v>5720492.8939085845</v>
      </c>
      <c r="N561" s="153">
        <v>-19282.575629427996</v>
      </c>
      <c r="O561" s="154">
        <f t="shared" si="75"/>
        <v>31609803.406739973</v>
      </c>
      <c r="P561" s="155">
        <f t="shared" si="73"/>
        <v>-209969078.65526217</v>
      </c>
      <c r="S561" s="156" t="s">
        <v>366</v>
      </c>
    </row>
    <row r="562" spans="1:19" ht="15" x14ac:dyDescent="0.25">
      <c r="A562" s="160" t="s">
        <v>109</v>
      </c>
      <c r="B562" s="160">
        <v>2005</v>
      </c>
      <c r="C562" s="161" t="s">
        <v>150</v>
      </c>
      <c r="D562" s="181">
        <f t="shared" si="71"/>
        <v>1949864.7900000003</v>
      </c>
      <c r="E562" s="181"/>
      <c r="F562" s="162"/>
      <c r="G562" s="162"/>
      <c r="H562" s="154">
        <f t="shared" si="74"/>
        <v>1949864.7900000003</v>
      </c>
      <c r="I562" s="154">
        <v>0</v>
      </c>
      <c r="K562" s="182">
        <f t="shared" si="72"/>
        <v>-1906521.15</v>
      </c>
      <c r="L562" s="182"/>
      <c r="M562" s="153">
        <v>-43343.64</v>
      </c>
      <c r="N562" s="162"/>
      <c r="O562" s="154">
        <f t="shared" si="75"/>
        <v>-1949864.7899999998</v>
      </c>
      <c r="P562" s="155">
        <f t="shared" si="73"/>
        <v>0</v>
      </c>
      <c r="S562" s="156" t="s">
        <v>367</v>
      </c>
    </row>
    <row r="563" spans="1:19" x14ac:dyDescent="0.2">
      <c r="A563" s="160"/>
      <c r="B563" s="160"/>
      <c r="C563" s="164" t="s">
        <v>20</v>
      </c>
      <c r="D563" s="165">
        <f t="shared" ref="D563:I563" si="76">SUM(D519:D562)</f>
        <v>724928778.053635</v>
      </c>
      <c r="E563" s="165">
        <f t="shared" si="76"/>
        <v>84644449.296090007</v>
      </c>
      <c r="F563" s="165">
        <f t="shared" si="76"/>
        <v>66301651.658888951</v>
      </c>
      <c r="G563" s="165">
        <f t="shared" si="76"/>
        <v>-4674974.5063585956</v>
      </c>
      <c r="H563" s="165">
        <f t="shared" si="76"/>
        <v>871199904.50225544</v>
      </c>
      <c r="I563" s="165">
        <f t="shared" si="76"/>
        <v>0</v>
      </c>
      <c r="J563" s="167"/>
      <c r="K563" s="165">
        <f t="shared" ref="K563:P563" si="77">SUM(K519:K562)</f>
        <v>-239237593.36616889</v>
      </c>
      <c r="L563" s="165">
        <f t="shared" si="77"/>
        <v>-6339959.6562609673</v>
      </c>
      <c r="M563" s="165">
        <f t="shared" si="77"/>
        <v>-27497514.537068672</v>
      </c>
      <c r="N563" s="165">
        <f t="shared" si="77"/>
        <v>1913078.3385061692</v>
      </c>
      <c r="O563" s="165">
        <f t="shared" si="77"/>
        <v>-271161989.22099251</v>
      </c>
      <c r="P563" s="165">
        <f t="shared" si="77"/>
        <v>600037915.28126287</v>
      </c>
    </row>
    <row r="564" spans="1:19" ht="25.5" x14ac:dyDescent="0.25">
      <c r="A564" s="160"/>
      <c r="B564" s="160"/>
      <c r="C564" s="168" t="s">
        <v>151</v>
      </c>
      <c r="D564" s="183">
        <f t="shared" si="71"/>
        <v>-675735.92449999996</v>
      </c>
      <c r="E564" s="162"/>
      <c r="F564" s="162"/>
      <c r="G564" s="162"/>
      <c r="H564" s="154">
        <f>D564+E564+F564+G564</f>
        <v>-675735.92449999996</v>
      </c>
      <c r="I564" s="154"/>
      <c r="K564" s="183">
        <f>N497</f>
        <v>390092.19910999993</v>
      </c>
      <c r="L564" s="162"/>
      <c r="M564" s="153">
        <v>35751.913254999992</v>
      </c>
      <c r="N564" s="162"/>
      <c r="O564" s="154">
        <f t="shared" ref="O564:O565" si="78">K564+L564+M564+N564</f>
        <v>425844.11236499995</v>
      </c>
      <c r="P564" s="155">
        <f>H564+O564</f>
        <v>-249891.81213500001</v>
      </c>
    </row>
    <row r="565" spans="1:19" ht="24.75" x14ac:dyDescent="0.25">
      <c r="A565" s="160"/>
      <c r="B565" s="160"/>
      <c r="C565" s="169" t="s">
        <v>152</v>
      </c>
      <c r="D565" s="183">
        <f t="shared" si="71"/>
        <v>-1251765.9099999997</v>
      </c>
      <c r="E565" s="162"/>
      <c r="F565" s="162"/>
      <c r="G565" s="162"/>
      <c r="H565" s="154">
        <f>D565+E565+F565+G565</f>
        <v>-1251765.9099999997</v>
      </c>
      <c r="I565" s="154"/>
      <c r="K565" s="183">
        <f t="shared" ref="K565" si="79">N498</f>
        <v>692357.88380000019</v>
      </c>
      <c r="L565" s="162"/>
      <c r="M565" s="153">
        <f>-M560</f>
        <v>52509.521900000007</v>
      </c>
      <c r="N565" s="162"/>
      <c r="O565" s="154">
        <f t="shared" si="78"/>
        <v>744867.40570000024</v>
      </c>
      <c r="P565" s="155">
        <f>H565+O565</f>
        <v>-506898.50429999945</v>
      </c>
    </row>
    <row r="566" spans="1:19" ht="15" x14ac:dyDescent="0.25">
      <c r="A566" s="160"/>
      <c r="B566" s="160"/>
      <c r="C566" s="164" t="s">
        <v>153</v>
      </c>
      <c r="D566" s="165">
        <f>SUM(D563:D565)</f>
        <v>723001276.21913505</v>
      </c>
      <c r="E566" s="165">
        <f>SUM(E563:E565)</f>
        <v>84644449.296090007</v>
      </c>
      <c r="F566" s="165">
        <f>SUM(F563:F565)</f>
        <v>66301651.658888951</v>
      </c>
      <c r="G566" s="165">
        <f>SUM(G563:G565)</f>
        <v>-4674974.5063585956</v>
      </c>
      <c r="H566" s="165">
        <f>SUM(H563:H565)</f>
        <v>869272402.66775548</v>
      </c>
      <c r="I566" s="154"/>
      <c r="J566" s="167"/>
      <c r="K566" s="165">
        <f t="shared" ref="K566:P566" si="80">SUM(K563:K565)</f>
        <v>-238155143.28325889</v>
      </c>
      <c r="L566" s="165">
        <f t="shared" si="80"/>
        <v>-6339959.6562609673</v>
      </c>
      <c r="M566" s="165">
        <f t="shared" si="80"/>
        <v>-27409253.101913676</v>
      </c>
      <c r="N566" s="165">
        <f t="shared" si="80"/>
        <v>1913078.3385061692</v>
      </c>
      <c r="O566" s="165">
        <f t="shared" si="80"/>
        <v>-269991277.70292747</v>
      </c>
      <c r="P566" s="165">
        <f t="shared" si="80"/>
        <v>599281124.9648279</v>
      </c>
    </row>
    <row r="567" spans="1:19" ht="15" x14ac:dyDescent="0.25">
      <c r="A567" s="160"/>
      <c r="B567" s="160"/>
      <c r="C567" s="170" t="s">
        <v>154</v>
      </c>
      <c r="D567" s="183">
        <f t="shared" si="71"/>
        <v>69330227.707219973</v>
      </c>
      <c r="E567" s="153"/>
      <c r="F567" s="153">
        <f>72454886.92-15420324.52</f>
        <v>57034562.400000006</v>
      </c>
      <c r="G567" s="153"/>
      <c r="H567" s="154">
        <f>D567+E567+F567+G567</f>
        <v>126364790.10721998</v>
      </c>
      <c r="I567" s="154">
        <v>0</v>
      </c>
      <c r="J567" s="158"/>
      <c r="O567" s="154">
        <f>K567+L567+M567+N567</f>
        <v>0</v>
      </c>
      <c r="P567" s="155">
        <f>H567+O567</f>
        <v>126364790.10721998</v>
      </c>
    </row>
    <row r="568" spans="1:19" x14ac:dyDescent="0.2">
      <c r="A568" s="160"/>
      <c r="B568" s="160"/>
      <c r="C568" s="170" t="s">
        <v>155</v>
      </c>
      <c r="D568" s="165">
        <f>SUM(D566:D567)</f>
        <v>792331503.926355</v>
      </c>
      <c r="E568" s="165">
        <f>SUM(E566:E567)</f>
        <v>84644449.296090007</v>
      </c>
      <c r="F568" s="165">
        <f t="shared" ref="F568:P568" si="81">SUM(F566:F567)</f>
        <v>123336214.05888896</v>
      </c>
      <c r="G568" s="165">
        <f t="shared" si="81"/>
        <v>-4674974.5063585956</v>
      </c>
      <c r="H568" s="165">
        <f t="shared" si="81"/>
        <v>995637192.77497542</v>
      </c>
      <c r="I568" s="165">
        <f t="shared" si="81"/>
        <v>0</v>
      </c>
      <c r="J568" s="165">
        <f t="shared" si="81"/>
        <v>0</v>
      </c>
      <c r="K568" s="165">
        <f t="shared" si="81"/>
        <v>-238155143.28325889</v>
      </c>
      <c r="L568" s="165">
        <f t="shared" si="81"/>
        <v>-6339959.6562609673</v>
      </c>
      <c r="M568" s="165">
        <f t="shared" si="81"/>
        <v>-27409253.101913676</v>
      </c>
      <c r="N568" s="165">
        <f t="shared" si="81"/>
        <v>1913078.3385061692</v>
      </c>
      <c r="O568" s="165">
        <f t="shared" si="81"/>
        <v>-269991277.70292747</v>
      </c>
      <c r="P568" s="165">
        <f t="shared" si="81"/>
        <v>725645915.07204783</v>
      </c>
    </row>
    <row r="569" spans="1:19" ht="15" x14ac:dyDescent="0.25">
      <c r="A569" s="160"/>
      <c r="B569" s="160"/>
      <c r="C569" s="359" t="s">
        <v>156</v>
      </c>
      <c r="D569" s="360"/>
      <c r="E569" s="360"/>
      <c r="F569" s="360"/>
      <c r="G569" s="360"/>
      <c r="H569" s="360"/>
      <c r="I569" s="360"/>
      <c r="J569" s="360"/>
      <c r="K569" s="361"/>
      <c r="M569" s="162"/>
      <c r="O569" s="171"/>
      <c r="P569" s="172"/>
    </row>
    <row r="570" spans="1:19" ht="15" x14ac:dyDescent="0.25">
      <c r="A570" s="160"/>
      <c r="B570" s="160"/>
      <c r="C570" s="359" t="s">
        <v>43</v>
      </c>
      <c r="D570" s="360"/>
      <c r="E570" s="360"/>
      <c r="F570" s="360"/>
      <c r="G570" s="360"/>
      <c r="H570" s="360"/>
      <c r="I570" s="360"/>
      <c r="J570" s="360"/>
      <c r="K570" s="361"/>
      <c r="M570" s="165">
        <f>M568+M569</f>
        <v>-27409253.101913676</v>
      </c>
      <c r="O570" s="171"/>
      <c r="P570" s="172"/>
    </row>
    <row r="571" spans="1:19" ht="27" customHeight="1" x14ac:dyDescent="0.2">
      <c r="D571" s="355" t="s">
        <v>157</v>
      </c>
      <c r="E571" s="355"/>
      <c r="F571" s="355"/>
      <c r="H571" s="172">
        <f>AVERAGE(D566,H566)</f>
        <v>796136839.44344521</v>
      </c>
      <c r="K571" s="124" t="s">
        <v>158</v>
      </c>
      <c r="N571" s="172">
        <f>AVERAGE(K566,O566)</f>
        <v>-254073210.49309319</v>
      </c>
    </row>
    <row r="572" spans="1:19" x14ac:dyDescent="0.2">
      <c r="D572" s="124"/>
      <c r="H572" s="172"/>
      <c r="K572" s="124" t="s">
        <v>159</v>
      </c>
      <c r="N572" s="172">
        <f>H571+N571</f>
        <v>542063628.95035195</v>
      </c>
    </row>
    <row r="573" spans="1:19" x14ac:dyDescent="0.2">
      <c r="K573" s="123" t="s">
        <v>160</v>
      </c>
    </row>
    <row r="574" spans="1:19" ht="15" x14ac:dyDescent="0.25">
      <c r="A574" s="160">
        <v>10</v>
      </c>
      <c r="B574" s="160"/>
      <c r="C574" s="173" t="s">
        <v>161</v>
      </c>
      <c r="D574" s="174"/>
      <c r="E574" s="174"/>
      <c r="F574" s="174"/>
      <c r="G574" s="174"/>
      <c r="H574" s="174"/>
      <c r="I574" s="174"/>
      <c r="J574" s="174"/>
      <c r="K574" s="174" t="s">
        <v>161</v>
      </c>
      <c r="L574" s="174"/>
      <c r="M574" s="175">
        <f>+M546+M562</f>
        <v>-1633038.0268333331</v>
      </c>
    </row>
    <row r="575" spans="1:19" ht="15" x14ac:dyDescent="0.25">
      <c r="A575" s="160"/>
      <c r="B575" s="160"/>
      <c r="C575" s="174" t="s">
        <v>162</v>
      </c>
      <c r="D575" s="174"/>
      <c r="E575" s="174"/>
      <c r="F575" s="174"/>
      <c r="G575" s="174"/>
      <c r="H575" s="174"/>
      <c r="I575" s="174"/>
      <c r="J575" s="174"/>
      <c r="K575" s="174" t="s">
        <v>162</v>
      </c>
      <c r="L575" s="174"/>
      <c r="M575" s="175">
        <f>-G566-N566+G561+N561</f>
        <v>2847094.9863311378</v>
      </c>
    </row>
    <row r="576" spans="1:19" ht="15" x14ac:dyDescent="0.25">
      <c r="A576" s="160">
        <v>47</v>
      </c>
      <c r="B576" s="160"/>
      <c r="C576" s="173" t="s">
        <v>166</v>
      </c>
      <c r="D576" s="174"/>
      <c r="E576" s="174"/>
      <c r="F576" s="174"/>
      <c r="G576" s="174"/>
      <c r="H576" s="174"/>
      <c r="I576" s="174"/>
      <c r="J576" s="174"/>
      <c r="K576" s="174" t="s">
        <v>166</v>
      </c>
      <c r="L576" s="174"/>
      <c r="M576" s="175">
        <f>-G561-N561</f>
        <v>-85198.818478711211</v>
      </c>
    </row>
    <row r="577" spans="1:19" x14ac:dyDescent="0.2">
      <c r="K577" s="353" t="s">
        <v>164</v>
      </c>
      <c r="L577" s="354"/>
      <c r="M577" s="177">
        <f>M570-M574-M575-M576</f>
        <v>-28538111.24293277</v>
      </c>
    </row>
    <row r="581" spans="1:19" ht="15.75" thickBot="1" x14ac:dyDescent="0.25">
      <c r="E581" s="135" t="s">
        <v>94</v>
      </c>
      <c r="F581" s="136" t="s">
        <v>12</v>
      </c>
    </row>
    <row r="582" spans="1:19" ht="15.75" thickBot="1" x14ac:dyDescent="0.3">
      <c r="E582" s="135" t="s">
        <v>95</v>
      </c>
      <c r="F582" s="137">
        <v>2028</v>
      </c>
      <c r="G582" s="138"/>
      <c r="H582" s="138"/>
      <c r="I582" s="139" t="b">
        <f>IF(F582=2014,4,IF(F582=2015,5,IF(F582=2016,6,IF(F582=2017,7,IF(F582=2018,8,IF(F582=2019,9,IF(F582=2020,10)))))))</f>
        <v>0</v>
      </c>
    </row>
    <row r="584" spans="1:19" x14ac:dyDescent="0.2">
      <c r="D584" s="356" t="s">
        <v>96</v>
      </c>
      <c r="E584" s="357"/>
      <c r="F584" s="357"/>
      <c r="G584" s="357"/>
      <c r="H584" s="357"/>
      <c r="I584" s="358"/>
      <c r="K584" s="140"/>
      <c r="L584" s="141" t="s">
        <v>97</v>
      </c>
      <c r="M584" s="141"/>
      <c r="N584" s="142"/>
    </row>
    <row r="585" spans="1:19" ht="30" customHeight="1" x14ac:dyDescent="0.2">
      <c r="A585" s="143" t="s">
        <v>98</v>
      </c>
      <c r="B585" s="143" t="s">
        <v>99</v>
      </c>
      <c r="C585" s="144" t="s">
        <v>100</v>
      </c>
      <c r="D585" s="143" t="s">
        <v>101</v>
      </c>
      <c r="E585" s="145" t="s">
        <v>102</v>
      </c>
      <c r="F585" s="145" t="s">
        <v>103</v>
      </c>
      <c r="G585" s="143" t="s">
        <v>104</v>
      </c>
      <c r="H585" s="143"/>
      <c r="I585" s="143" t="s">
        <v>105</v>
      </c>
      <c r="J585" s="146"/>
      <c r="K585" s="143" t="s">
        <v>101</v>
      </c>
      <c r="L585" s="147" t="s">
        <v>106</v>
      </c>
      <c r="M585" s="147" t="s">
        <v>103</v>
      </c>
      <c r="N585" s="148" t="s">
        <v>104</v>
      </c>
      <c r="O585" s="143" t="s">
        <v>107</v>
      </c>
    </row>
    <row r="586" spans="1:19" ht="15" x14ac:dyDescent="0.25">
      <c r="A586" s="149">
        <v>14.1</v>
      </c>
      <c r="B586" s="150">
        <v>1609</v>
      </c>
      <c r="C586" s="151" t="s">
        <v>108</v>
      </c>
      <c r="D586" s="181">
        <f t="shared" ref="D586:D629" si="82">H519</f>
        <v>26577511.756089997</v>
      </c>
      <c r="E586" s="153"/>
      <c r="F586" s="153"/>
      <c r="G586" s="154">
        <f>D586+E586+F586</f>
        <v>26577511.756089997</v>
      </c>
      <c r="H586" s="154"/>
      <c r="I586" s="154">
        <v>0</v>
      </c>
      <c r="J586" s="146"/>
      <c r="K586" s="182">
        <f t="shared" ref="K586:K629" si="83">O519</f>
        <v>-4104901.1314654001</v>
      </c>
      <c r="L586" s="153">
        <v>-1377921.3381981205</v>
      </c>
      <c r="M586" s="153"/>
      <c r="N586" s="154">
        <f>K586+L586+M586</f>
        <v>-5482822.4696635203</v>
      </c>
      <c r="O586" s="155">
        <f>G586+N586</f>
        <v>21094689.286426477</v>
      </c>
      <c r="S586" s="156" t="s">
        <v>332</v>
      </c>
    </row>
    <row r="587" spans="1:19" ht="15" x14ac:dyDescent="0.25">
      <c r="A587" s="149" t="s">
        <v>109</v>
      </c>
      <c r="B587" s="150">
        <v>1610</v>
      </c>
      <c r="C587" s="151" t="s">
        <v>110</v>
      </c>
      <c r="D587" s="181">
        <f t="shared" si="82"/>
        <v>4560266.58</v>
      </c>
      <c r="E587" s="153"/>
      <c r="F587" s="153"/>
      <c r="G587" s="154">
        <f>D587+E587+F587</f>
        <v>4560266.58</v>
      </c>
      <c r="H587" s="154"/>
      <c r="I587" s="154">
        <v>0</v>
      </c>
      <c r="J587" s="146"/>
      <c r="K587" s="182">
        <f t="shared" si="83"/>
        <v>-4303437.2648000009</v>
      </c>
      <c r="L587" s="153">
        <v>-46812.514645479452</v>
      </c>
      <c r="M587" s="153"/>
      <c r="N587" s="154">
        <f>K587+L587+M587</f>
        <v>-4350249.7794454806</v>
      </c>
      <c r="O587" s="155">
        <f>G587+N587</f>
        <v>210016.80055451952</v>
      </c>
      <c r="S587" s="156"/>
    </row>
    <row r="588" spans="1:19" ht="15" x14ac:dyDescent="0.25">
      <c r="A588" s="150">
        <v>12</v>
      </c>
      <c r="B588" s="150">
        <v>1611</v>
      </c>
      <c r="C588" s="157" t="s">
        <v>111</v>
      </c>
      <c r="D588" s="181">
        <f t="shared" si="82"/>
        <v>29751565.860000003</v>
      </c>
      <c r="E588" s="153">
        <v>1085344.3700000001</v>
      </c>
      <c r="F588" s="153"/>
      <c r="G588" s="154">
        <f>D588+E588+F588</f>
        <v>30836910.230000004</v>
      </c>
      <c r="H588" s="154"/>
      <c r="I588" s="154">
        <v>0</v>
      </c>
      <c r="J588" s="158"/>
      <c r="K588" s="182">
        <f t="shared" si="83"/>
        <v>-26130625.230033334</v>
      </c>
      <c r="L588" s="153">
        <v>-1892798.1565522375</v>
      </c>
      <c r="M588" s="153"/>
      <c r="N588" s="154">
        <f>K588+L588+M588</f>
        <v>-28023423.386585571</v>
      </c>
      <c r="O588" s="155">
        <f>G588+N588</f>
        <v>2813486.8434144333</v>
      </c>
      <c r="S588" s="156" t="s">
        <v>333</v>
      </c>
    </row>
    <row r="589" spans="1:19" ht="15" x14ac:dyDescent="0.25">
      <c r="A589" s="150">
        <v>14.1</v>
      </c>
      <c r="B589" s="150">
        <v>1612</v>
      </c>
      <c r="C589" s="151" t="s">
        <v>112</v>
      </c>
      <c r="D589" s="181">
        <f t="shared" si="82"/>
        <v>4302600.6100000003</v>
      </c>
      <c r="E589" s="153"/>
      <c r="F589" s="153"/>
      <c r="G589" s="154">
        <f>D589+E589+F589</f>
        <v>4302600.6100000003</v>
      </c>
      <c r="H589" s="154"/>
      <c r="I589" s="154">
        <v>0</v>
      </c>
      <c r="J589" s="158"/>
      <c r="K589" s="182">
        <f t="shared" si="83"/>
        <v>-165560.1776</v>
      </c>
      <c r="L589" s="153">
        <v>-12335.452622465755</v>
      </c>
      <c r="M589" s="153"/>
      <c r="N589" s="154">
        <f>K589+L589+M589</f>
        <v>-177895.63022246576</v>
      </c>
      <c r="O589" s="155">
        <f>G589+N589</f>
        <v>4124704.9797775345</v>
      </c>
      <c r="S589" s="156" t="s">
        <v>334</v>
      </c>
    </row>
    <row r="590" spans="1:19" ht="15" x14ac:dyDescent="0.25">
      <c r="A590" s="150" t="s">
        <v>109</v>
      </c>
      <c r="B590" s="150">
        <v>1805</v>
      </c>
      <c r="C590" s="151" t="s">
        <v>113</v>
      </c>
      <c r="D590" s="181">
        <f t="shared" si="82"/>
        <v>1190619.8899999999</v>
      </c>
      <c r="E590" s="153">
        <v>3000000</v>
      </c>
      <c r="F590" s="153"/>
      <c r="G590" s="154">
        <f>D590+E590+F590</f>
        <v>4190619.8899999997</v>
      </c>
      <c r="H590" s="154"/>
      <c r="I590" s="154">
        <v>0</v>
      </c>
      <c r="J590" s="158"/>
      <c r="K590" s="182">
        <f t="shared" si="83"/>
        <v>0</v>
      </c>
      <c r="L590" s="153"/>
      <c r="M590" s="153"/>
      <c r="N590" s="154">
        <f>K590+L590+M590</f>
        <v>0</v>
      </c>
      <c r="O590" s="155">
        <f>G590+N590</f>
        <v>4190619.8899999997</v>
      </c>
      <c r="S590" s="156" t="s">
        <v>335</v>
      </c>
    </row>
    <row r="591" spans="1:19" ht="15" x14ac:dyDescent="0.25">
      <c r="A591" s="150">
        <v>47</v>
      </c>
      <c r="B591" s="150">
        <v>1808</v>
      </c>
      <c r="C591" s="151" t="s">
        <v>114</v>
      </c>
      <c r="D591" s="181">
        <f t="shared" si="82"/>
        <v>1409044.04</v>
      </c>
      <c r="E591" s="153"/>
      <c r="F591" s="153"/>
      <c r="G591" s="154">
        <f t="shared" ref="G591:G629" si="84">D591+E591+F591</f>
        <v>1409044.04</v>
      </c>
      <c r="H591" s="154"/>
      <c r="I591" s="154">
        <v>0</v>
      </c>
      <c r="J591" s="158"/>
      <c r="K591" s="182">
        <f t="shared" si="83"/>
        <v>-1249785.2930000003</v>
      </c>
      <c r="L591" s="153">
        <v>-9600.0406191780821</v>
      </c>
      <c r="M591" s="153"/>
      <c r="N591" s="154">
        <f t="shared" ref="N591:N629" si="85">K591+L591+M591</f>
        <v>-1259385.3336191783</v>
      </c>
      <c r="O591" s="155">
        <f t="shared" ref="O591:O629" si="86">G591+N591</f>
        <v>149658.70638082176</v>
      </c>
      <c r="S591" s="156" t="s">
        <v>336</v>
      </c>
    </row>
    <row r="592" spans="1:19" ht="15" x14ac:dyDescent="0.25">
      <c r="A592" s="150"/>
      <c r="B592" s="150">
        <v>1810</v>
      </c>
      <c r="C592" s="151" t="s">
        <v>115</v>
      </c>
      <c r="D592" s="181">
        <f t="shared" si="82"/>
        <v>0</v>
      </c>
      <c r="E592" s="153"/>
      <c r="F592" s="153"/>
      <c r="G592" s="154">
        <f t="shared" si="84"/>
        <v>0</v>
      </c>
      <c r="H592" s="154"/>
      <c r="I592" s="154">
        <v>0</v>
      </c>
      <c r="J592" s="158"/>
      <c r="K592" s="182">
        <f t="shared" si="83"/>
        <v>0</v>
      </c>
      <c r="L592" s="153"/>
      <c r="M592" s="153"/>
      <c r="N592" s="154">
        <f t="shared" si="85"/>
        <v>0</v>
      </c>
      <c r="O592" s="155">
        <f t="shared" si="86"/>
        <v>0</v>
      </c>
      <c r="S592" s="156" t="s">
        <v>337</v>
      </c>
    </row>
    <row r="593" spans="1:19" ht="15" x14ac:dyDescent="0.25">
      <c r="A593" s="150">
        <v>47</v>
      </c>
      <c r="B593" s="150">
        <v>1815</v>
      </c>
      <c r="C593" s="151" t="s">
        <v>116</v>
      </c>
      <c r="D593" s="181">
        <f t="shared" si="82"/>
        <v>35021645.939999998</v>
      </c>
      <c r="E593" s="153"/>
      <c r="F593" s="153"/>
      <c r="G593" s="154">
        <f t="shared" si="84"/>
        <v>35021645.939999998</v>
      </c>
      <c r="H593" s="154"/>
      <c r="I593" s="154">
        <v>0</v>
      </c>
      <c r="J593" s="158"/>
      <c r="K593" s="182">
        <f t="shared" si="83"/>
        <v>-4119046.9771000007</v>
      </c>
      <c r="L593" s="153">
        <v>-743943.8491676714</v>
      </c>
      <c r="M593" s="153"/>
      <c r="N593" s="154">
        <f t="shared" si="85"/>
        <v>-4862990.8262676718</v>
      </c>
      <c r="O593" s="155">
        <f t="shared" si="86"/>
        <v>30158655.113732327</v>
      </c>
      <c r="S593" s="156" t="s">
        <v>338</v>
      </c>
    </row>
    <row r="594" spans="1:19" ht="15" x14ac:dyDescent="0.25">
      <c r="A594" s="150">
        <v>47</v>
      </c>
      <c r="B594" s="150">
        <v>1820</v>
      </c>
      <c r="C594" s="151" t="s">
        <v>117</v>
      </c>
      <c r="D594" s="181">
        <f t="shared" si="82"/>
        <v>103234792.91067463</v>
      </c>
      <c r="E594" s="153">
        <v>44490107.047588885</v>
      </c>
      <c r="F594" s="153">
        <v>-1224254.07</v>
      </c>
      <c r="G594" s="154">
        <f t="shared" si="84"/>
        <v>146500645.88826352</v>
      </c>
      <c r="H594" s="154"/>
      <c r="I594" s="154">
        <v>0</v>
      </c>
      <c r="J594" s="158"/>
      <c r="K594" s="182">
        <f t="shared" si="83"/>
        <v>-23103166.086366329</v>
      </c>
      <c r="L594" s="153">
        <v>-3353877.6214906066</v>
      </c>
      <c r="M594" s="153">
        <v>440745.22107178078</v>
      </c>
      <c r="N594" s="154">
        <f t="shared" si="85"/>
        <v>-26016298.486785155</v>
      </c>
      <c r="O594" s="155">
        <f t="shared" si="86"/>
        <v>120484347.40147837</v>
      </c>
      <c r="S594" s="156" t="s">
        <v>339</v>
      </c>
    </row>
    <row r="595" spans="1:19" ht="15" x14ac:dyDescent="0.25">
      <c r="A595" s="150"/>
      <c r="B595" s="150">
        <v>1825</v>
      </c>
      <c r="C595" s="151" t="s">
        <v>118</v>
      </c>
      <c r="D595" s="181">
        <f t="shared" si="82"/>
        <v>0</v>
      </c>
      <c r="E595" s="153">
        <v>0</v>
      </c>
      <c r="F595" s="153"/>
      <c r="G595" s="154">
        <f t="shared" si="84"/>
        <v>0</v>
      </c>
      <c r="H595" s="154"/>
      <c r="I595" s="154">
        <v>0</v>
      </c>
      <c r="J595" s="158"/>
      <c r="K595" s="182">
        <f t="shared" si="83"/>
        <v>0</v>
      </c>
      <c r="L595" s="153"/>
      <c r="M595" s="153"/>
      <c r="N595" s="154">
        <f t="shared" si="85"/>
        <v>0</v>
      </c>
      <c r="O595" s="155">
        <f t="shared" si="86"/>
        <v>0</v>
      </c>
      <c r="S595" s="156" t="s">
        <v>340</v>
      </c>
    </row>
    <row r="596" spans="1:19" ht="15" x14ac:dyDescent="0.25">
      <c r="A596" s="150">
        <v>47</v>
      </c>
      <c r="B596" s="150">
        <v>1830</v>
      </c>
      <c r="C596" s="151" t="s">
        <v>119</v>
      </c>
      <c r="D596" s="181">
        <f t="shared" si="82"/>
        <v>210448108.77534649</v>
      </c>
      <c r="E596" s="153">
        <v>37767905.407699995</v>
      </c>
      <c r="F596" s="153">
        <v>-347467.26119155734</v>
      </c>
      <c r="G596" s="154">
        <f t="shared" si="84"/>
        <v>247868546.92185494</v>
      </c>
      <c r="H596" s="154"/>
      <c r="I596" s="154">
        <v>0</v>
      </c>
      <c r="J596" s="158"/>
      <c r="K596" s="182">
        <f t="shared" si="83"/>
        <v>-36760159.880814001</v>
      </c>
      <c r="L596" s="153">
        <v>-5880672.4052545689</v>
      </c>
      <c r="M596" s="153">
        <v>119690.86983431266</v>
      </c>
      <c r="N596" s="154">
        <f t="shared" si="85"/>
        <v>-42521141.416234262</v>
      </c>
      <c r="O596" s="155">
        <f t="shared" si="86"/>
        <v>205347405.50562069</v>
      </c>
      <c r="S596" s="156" t="s">
        <v>341</v>
      </c>
    </row>
    <row r="597" spans="1:19" ht="15" x14ac:dyDescent="0.25">
      <c r="A597" s="150">
        <v>47</v>
      </c>
      <c r="B597" s="150">
        <v>1835</v>
      </c>
      <c r="C597" s="151" t="s">
        <v>120</v>
      </c>
      <c r="D597" s="181">
        <f t="shared" si="82"/>
        <v>141791486.98304132</v>
      </c>
      <c r="E597" s="153">
        <v>31464123.653299998</v>
      </c>
      <c r="F597" s="153">
        <v>-416959.61157622613</v>
      </c>
      <c r="G597" s="154">
        <f t="shared" si="84"/>
        <v>172838651.02476507</v>
      </c>
      <c r="H597" s="154"/>
      <c r="I597" s="154">
        <v>0</v>
      </c>
      <c r="J597" s="158"/>
      <c r="K597" s="182">
        <f t="shared" si="83"/>
        <v>-24935497.649336535</v>
      </c>
      <c r="L597" s="153">
        <v>-3399189.3010143368</v>
      </c>
      <c r="M597" s="153">
        <v>300237.97847626114</v>
      </c>
      <c r="N597" s="154">
        <f t="shared" si="85"/>
        <v>-28034448.971874613</v>
      </c>
      <c r="O597" s="155">
        <f t="shared" si="86"/>
        <v>144804202.05289045</v>
      </c>
      <c r="S597" s="156" t="s">
        <v>342</v>
      </c>
    </row>
    <row r="598" spans="1:19" ht="15" x14ac:dyDescent="0.25">
      <c r="A598" s="150">
        <v>47</v>
      </c>
      <c r="B598" s="150">
        <v>1840</v>
      </c>
      <c r="C598" s="151" t="s">
        <v>121</v>
      </c>
      <c r="D598" s="181">
        <f t="shared" si="82"/>
        <v>92955957.155136973</v>
      </c>
      <c r="E598" s="153">
        <v>9031824.0436999984</v>
      </c>
      <c r="F598" s="153">
        <v>0</v>
      </c>
      <c r="G598" s="154">
        <f t="shared" si="84"/>
        <v>101987781.19883697</v>
      </c>
      <c r="H598" s="154"/>
      <c r="I598" s="154">
        <v>0</v>
      </c>
      <c r="J598" s="158"/>
      <c r="K598" s="182">
        <f t="shared" si="83"/>
        <v>-13386289.785970923</v>
      </c>
      <c r="L598" s="153">
        <v>-1694900.4584844634</v>
      </c>
      <c r="M598" s="153">
        <v>0</v>
      </c>
      <c r="N598" s="154">
        <f t="shared" si="85"/>
        <v>-15081190.244455386</v>
      </c>
      <c r="O598" s="155">
        <f t="shared" si="86"/>
        <v>86906590.954381585</v>
      </c>
      <c r="S598" s="156" t="s">
        <v>343</v>
      </c>
    </row>
    <row r="599" spans="1:19" ht="15" x14ac:dyDescent="0.25">
      <c r="A599" s="150">
        <v>47</v>
      </c>
      <c r="B599" s="150">
        <v>1845</v>
      </c>
      <c r="C599" s="151" t="s">
        <v>122</v>
      </c>
      <c r="D599" s="181">
        <f t="shared" si="82"/>
        <v>148732414.87123233</v>
      </c>
      <c r="E599" s="153">
        <v>21450352.1697</v>
      </c>
      <c r="F599" s="153">
        <v>-129597.66630798834</v>
      </c>
      <c r="G599" s="154">
        <f t="shared" si="84"/>
        <v>170053169.37462434</v>
      </c>
      <c r="H599" s="154"/>
      <c r="I599" s="154">
        <v>0</v>
      </c>
      <c r="J599" s="158"/>
      <c r="K599" s="182">
        <f t="shared" si="83"/>
        <v>-30264735.786885187</v>
      </c>
      <c r="L599" s="153">
        <v>-4438489.730399128</v>
      </c>
      <c r="M599" s="153">
        <v>58678.857751499461</v>
      </c>
      <c r="N599" s="154">
        <f t="shared" si="85"/>
        <v>-34644546.659532823</v>
      </c>
      <c r="O599" s="155">
        <f t="shared" si="86"/>
        <v>135408622.71509153</v>
      </c>
      <c r="S599" s="156" t="s">
        <v>344</v>
      </c>
    </row>
    <row r="600" spans="1:19" ht="15" x14ac:dyDescent="0.25">
      <c r="A600" s="150">
        <v>47</v>
      </c>
      <c r="B600" s="150">
        <v>1850</v>
      </c>
      <c r="C600" s="151" t="s">
        <v>123</v>
      </c>
      <c r="D600" s="181">
        <f t="shared" si="82"/>
        <v>96500391.826610669</v>
      </c>
      <c r="E600" s="153">
        <v>5560822.3485999992</v>
      </c>
      <c r="F600" s="153">
        <v>-640958.5910647331</v>
      </c>
      <c r="G600" s="154">
        <f t="shared" si="84"/>
        <v>101420255.58414593</v>
      </c>
      <c r="H600" s="154"/>
      <c r="I600" s="154">
        <v>0</v>
      </c>
      <c r="J600" s="158"/>
      <c r="K600" s="182">
        <f t="shared" si="83"/>
        <v>-30139632.960715711</v>
      </c>
      <c r="L600" s="153">
        <v>-3389908.7971074739</v>
      </c>
      <c r="M600" s="153">
        <v>338380.52874251397</v>
      </c>
      <c r="N600" s="154">
        <f t="shared" si="85"/>
        <v>-33191161.22908067</v>
      </c>
      <c r="O600" s="155">
        <f t="shared" si="86"/>
        <v>68229094.355065256</v>
      </c>
      <c r="S600" s="156" t="s">
        <v>345</v>
      </c>
    </row>
    <row r="601" spans="1:19" ht="15" x14ac:dyDescent="0.25">
      <c r="A601" s="150">
        <v>47</v>
      </c>
      <c r="B601" s="150">
        <v>1855</v>
      </c>
      <c r="C601" s="151" t="s">
        <v>124</v>
      </c>
      <c r="D601" s="181">
        <f t="shared" si="82"/>
        <v>70148466.031980008</v>
      </c>
      <c r="E601" s="153">
        <v>5878501.2970000003</v>
      </c>
      <c r="F601" s="153"/>
      <c r="G601" s="154">
        <f t="shared" si="84"/>
        <v>76026967.328980014</v>
      </c>
      <c r="H601" s="154"/>
      <c r="I601" s="154">
        <v>0</v>
      </c>
      <c r="J601" s="158"/>
      <c r="K601" s="182">
        <f t="shared" si="83"/>
        <v>-16053837.979327224</v>
      </c>
      <c r="L601" s="153">
        <v>-1778545.253786</v>
      </c>
      <c r="M601" s="153"/>
      <c r="N601" s="154">
        <f t="shared" si="85"/>
        <v>-17832383.233113226</v>
      </c>
      <c r="O601" s="155">
        <f t="shared" si="86"/>
        <v>58194584.095866784</v>
      </c>
      <c r="S601" s="156" t="s">
        <v>346</v>
      </c>
    </row>
    <row r="602" spans="1:19" ht="15" x14ac:dyDescent="0.25">
      <c r="A602" s="150">
        <v>47</v>
      </c>
      <c r="B602" s="150">
        <v>1860</v>
      </c>
      <c r="C602" s="151" t="s">
        <v>125</v>
      </c>
      <c r="D602" s="181">
        <f t="shared" si="82"/>
        <v>3653716.7330183843</v>
      </c>
      <c r="E602" s="153">
        <v>168186.1643</v>
      </c>
      <c r="F602" s="153">
        <v>-6440.6480543171047</v>
      </c>
      <c r="G602" s="154">
        <f t="shared" si="84"/>
        <v>3815462.249264067</v>
      </c>
      <c r="H602" s="154"/>
      <c r="I602" s="154">
        <v>0</v>
      </c>
      <c r="J602" s="158"/>
      <c r="K602" s="182">
        <f t="shared" si="83"/>
        <v>-1424562.8382302031</v>
      </c>
      <c r="L602" s="153">
        <v>-152986.25197970856</v>
      </c>
      <c r="M602" s="153">
        <v>4103.47212474756</v>
      </c>
      <c r="N602" s="154">
        <f t="shared" si="85"/>
        <v>-1573445.6180851641</v>
      </c>
      <c r="O602" s="155">
        <f t="shared" si="86"/>
        <v>2242016.6311789029</v>
      </c>
      <c r="S602" s="156" t="s">
        <v>347</v>
      </c>
    </row>
    <row r="603" spans="1:19" ht="15" x14ac:dyDescent="0.25">
      <c r="A603" s="150">
        <v>47</v>
      </c>
      <c r="B603" s="150">
        <v>1860</v>
      </c>
      <c r="C603" s="151" t="s">
        <v>126</v>
      </c>
      <c r="D603" s="181">
        <f t="shared" si="82"/>
        <v>30667017.509446938</v>
      </c>
      <c r="E603" s="153">
        <v>2066287.1613999999</v>
      </c>
      <c r="F603" s="153">
        <v>-150412.58610345901</v>
      </c>
      <c r="G603" s="154">
        <f t="shared" si="84"/>
        <v>32582892.084743481</v>
      </c>
      <c r="H603" s="154"/>
      <c r="I603" s="154">
        <v>0</v>
      </c>
      <c r="J603" s="158"/>
      <c r="K603" s="182">
        <f t="shared" si="83"/>
        <v>-21261208.534061819</v>
      </c>
      <c r="L603" s="153">
        <v>-1146358.1607035147</v>
      </c>
      <c r="M603" s="153">
        <v>146206.0610904182</v>
      </c>
      <c r="N603" s="154">
        <f t="shared" si="85"/>
        <v>-22261360.633674916</v>
      </c>
      <c r="O603" s="155">
        <f t="shared" si="86"/>
        <v>10321531.451068565</v>
      </c>
      <c r="S603" s="156" t="s">
        <v>347</v>
      </c>
    </row>
    <row r="604" spans="1:19" ht="15" x14ac:dyDescent="0.25">
      <c r="A604" s="150">
        <v>47</v>
      </c>
      <c r="B604" s="150">
        <v>1865</v>
      </c>
      <c r="C604" s="151" t="s">
        <v>127</v>
      </c>
      <c r="D604" s="181">
        <f t="shared" si="82"/>
        <v>81548.159999999989</v>
      </c>
      <c r="E604" s="153"/>
      <c r="F604" s="153"/>
      <c r="G604" s="154">
        <f t="shared" si="84"/>
        <v>81548.159999999989</v>
      </c>
      <c r="H604" s="154"/>
      <c r="I604" s="154">
        <v>0</v>
      </c>
      <c r="J604" s="158"/>
      <c r="K604" s="182">
        <f t="shared" si="83"/>
        <v>-81548.160000000003</v>
      </c>
      <c r="L604" s="153"/>
      <c r="M604" s="153"/>
      <c r="N604" s="154">
        <f t="shared" si="85"/>
        <v>-81548.160000000003</v>
      </c>
      <c r="O604" s="155">
        <f t="shared" si="86"/>
        <v>0</v>
      </c>
      <c r="S604" s="156"/>
    </row>
    <row r="605" spans="1:19" ht="15" x14ac:dyDescent="0.25">
      <c r="A605" s="150" t="s">
        <v>109</v>
      </c>
      <c r="B605" s="150">
        <v>1905</v>
      </c>
      <c r="C605" s="151" t="s">
        <v>113</v>
      </c>
      <c r="D605" s="181">
        <f t="shared" si="82"/>
        <v>1195031.2999999998</v>
      </c>
      <c r="E605" s="153"/>
      <c r="F605" s="153"/>
      <c r="G605" s="154">
        <f t="shared" si="84"/>
        <v>1195031.2999999998</v>
      </c>
      <c r="H605" s="154"/>
      <c r="I605" s="154">
        <v>0</v>
      </c>
      <c r="J605" s="158"/>
      <c r="K605" s="182">
        <f t="shared" si="83"/>
        <v>0</v>
      </c>
      <c r="L605" s="153"/>
      <c r="M605" s="153"/>
      <c r="N605" s="154">
        <f t="shared" si="85"/>
        <v>0</v>
      </c>
      <c r="O605" s="155">
        <f t="shared" si="86"/>
        <v>1195031.2999999998</v>
      </c>
      <c r="S605" s="156" t="s">
        <v>348</v>
      </c>
    </row>
    <row r="606" spans="1:19" ht="15" x14ac:dyDescent="0.25">
      <c r="A606" s="150">
        <v>1</v>
      </c>
      <c r="B606" s="150">
        <v>1908</v>
      </c>
      <c r="C606" s="151" t="s">
        <v>128</v>
      </c>
      <c r="D606" s="181">
        <f t="shared" si="82"/>
        <v>33868631.129999995</v>
      </c>
      <c r="E606" s="153">
        <v>1976083.2</v>
      </c>
      <c r="F606" s="153"/>
      <c r="G606" s="154">
        <f t="shared" si="84"/>
        <v>35844714.329999998</v>
      </c>
      <c r="H606" s="154"/>
      <c r="I606" s="154">
        <v>0</v>
      </c>
      <c r="J606" s="158"/>
      <c r="K606" s="182">
        <f t="shared" si="83"/>
        <v>-17524833.008499999</v>
      </c>
      <c r="L606" s="153">
        <v>-1143063.9641694978</v>
      </c>
      <c r="M606" s="153"/>
      <c r="N606" s="154">
        <f t="shared" si="85"/>
        <v>-18667896.972669497</v>
      </c>
      <c r="O606" s="155">
        <f t="shared" si="86"/>
        <v>17176817.357330501</v>
      </c>
      <c r="S606" s="156" t="s">
        <v>349</v>
      </c>
    </row>
    <row r="607" spans="1:19" ht="15" x14ac:dyDescent="0.25">
      <c r="A607" s="150"/>
      <c r="B607" s="150">
        <v>1910</v>
      </c>
      <c r="C607" s="151" t="s">
        <v>115</v>
      </c>
      <c r="D607" s="181">
        <f t="shared" si="82"/>
        <v>0</v>
      </c>
      <c r="E607" s="153"/>
      <c r="F607" s="153"/>
      <c r="G607" s="154">
        <f t="shared" si="84"/>
        <v>0</v>
      </c>
      <c r="H607" s="154"/>
      <c r="I607" s="154">
        <v>0</v>
      </c>
      <c r="J607" s="158"/>
      <c r="K607" s="182">
        <f t="shared" si="83"/>
        <v>0</v>
      </c>
      <c r="L607" s="153"/>
      <c r="M607" s="153"/>
      <c r="N607" s="154">
        <f t="shared" si="85"/>
        <v>0</v>
      </c>
      <c r="O607" s="155">
        <f t="shared" si="86"/>
        <v>0</v>
      </c>
      <c r="S607" s="156" t="s">
        <v>350</v>
      </c>
    </row>
    <row r="608" spans="1:19" ht="15" x14ac:dyDescent="0.25">
      <c r="A608" s="150">
        <v>8</v>
      </c>
      <c r="B608" s="150">
        <v>1915</v>
      </c>
      <c r="C608" s="151" t="s">
        <v>129</v>
      </c>
      <c r="D608" s="181">
        <f t="shared" si="82"/>
        <v>6598472.2799999993</v>
      </c>
      <c r="E608" s="153"/>
      <c r="F608" s="153"/>
      <c r="G608" s="154">
        <f t="shared" si="84"/>
        <v>6598472.2799999993</v>
      </c>
      <c r="H608" s="154"/>
      <c r="I608" s="154">
        <v>0</v>
      </c>
      <c r="J608" s="158"/>
      <c r="K608" s="182">
        <f t="shared" si="83"/>
        <v>-2605137.9187000003</v>
      </c>
      <c r="L608" s="153">
        <v>-469607.65420109592</v>
      </c>
      <c r="M608" s="153"/>
      <c r="N608" s="154">
        <f t="shared" si="85"/>
        <v>-3074745.5729010962</v>
      </c>
      <c r="O608" s="155">
        <f t="shared" si="86"/>
        <v>3523726.7070989031</v>
      </c>
      <c r="S608" s="156" t="s">
        <v>351</v>
      </c>
    </row>
    <row r="609" spans="1:19" ht="15" x14ac:dyDescent="0.25">
      <c r="A609" s="150"/>
      <c r="B609" s="150">
        <v>1915</v>
      </c>
      <c r="C609" s="151" t="s">
        <v>130</v>
      </c>
      <c r="D609" s="181">
        <f t="shared" si="82"/>
        <v>0</v>
      </c>
      <c r="E609" s="153"/>
      <c r="F609" s="153"/>
      <c r="G609" s="154">
        <f t="shared" si="84"/>
        <v>0</v>
      </c>
      <c r="H609" s="154"/>
      <c r="I609" s="154">
        <v>0</v>
      </c>
      <c r="J609" s="158"/>
      <c r="K609" s="182">
        <f t="shared" si="83"/>
        <v>0</v>
      </c>
      <c r="L609" s="153"/>
      <c r="M609" s="153"/>
      <c r="N609" s="154">
        <f t="shared" si="85"/>
        <v>0</v>
      </c>
      <c r="O609" s="155">
        <f t="shared" si="86"/>
        <v>0</v>
      </c>
      <c r="S609" s="156" t="s">
        <v>351</v>
      </c>
    </row>
    <row r="610" spans="1:19" ht="15" x14ac:dyDescent="0.25">
      <c r="A610" s="150">
        <v>50</v>
      </c>
      <c r="B610" s="150">
        <v>1920</v>
      </c>
      <c r="C610" s="151" t="s">
        <v>131</v>
      </c>
      <c r="D610" s="181">
        <f t="shared" si="82"/>
        <v>22334023.780000001</v>
      </c>
      <c r="E610" s="153">
        <v>2726941.33</v>
      </c>
      <c r="F610" s="153"/>
      <c r="G610" s="154">
        <f t="shared" si="84"/>
        <v>25060965.109999999</v>
      </c>
      <c r="H610" s="154"/>
      <c r="I610" s="154">
        <v>0</v>
      </c>
      <c r="J610" s="158"/>
      <c r="K610" s="182">
        <f t="shared" si="83"/>
        <v>-16602771.785599999</v>
      </c>
      <c r="L610" s="153">
        <v>-2477492.9794160738</v>
      </c>
      <c r="M610" s="153"/>
      <c r="N610" s="154">
        <f t="shared" si="85"/>
        <v>-19080264.765016071</v>
      </c>
      <c r="O610" s="155">
        <f t="shared" si="86"/>
        <v>5980700.3449839279</v>
      </c>
      <c r="S610" s="156" t="s">
        <v>352</v>
      </c>
    </row>
    <row r="611" spans="1:19" ht="15" x14ac:dyDescent="0.25">
      <c r="A611" s="150"/>
      <c r="B611" s="150">
        <v>1920</v>
      </c>
      <c r="C611" s="151" t="s">
        <v>132</v>
      </c>
      <c r="D611" s="181">
        <f t="shared" si="82"/>
        <v>0</v>
      </c>
      <c r="E611" s="153"/>
      <c r="F611" s="153"/>
      <c r="G611" s="154">
        <f t="shared" si="84"/>
        <v>0</v>
      </c>
      <c r="H611" s="154"/>
      <c r="I611" s="154">
        <v>0</v>
      </c>
      <c r="J611" s="158"/>
      <c r="K611" s="182">
        <f t="shared" si="83"/>
        <v>0</v>
      </c>
      <c r="L611" s="153"/>
      <c r="M611" s="153"/>
      <c r="N611" s="154">
        <f t="shared" si="85"/>
        <v>0</v>
      </c>
      <c r="O611" s="155">
        <f t="shared" si="86"/>
        <v>0</v>
      </c>
      <c r="S611" s="156" t="s">
        <v>352</v>
      </c>
    </row>
    <row r="612" spans="1:19" ht="15" x14ac:dyDescent="0.25">
      <c r="A612" s="150"/>
      <c r="B612" s="150">
        <v>1920</v>
      </c>
      <c r="C612" s="151" t="s">
        <v>133</v>
      </c>
      <c r="D612" s="181">
        <f t="shared" si="82"/>
        <v>0</v>
      </c>
      <c r="E612" s="153"/>
      <c r="F612" s="153"/>
      <c r="G612" s="154">
        <f t="shared" si="84"/>
        <v>0</v>
      </c>
      <c r="H612" s="154"/>
      <c r="I612" s="154">
        <v>0</v>
      </c>
      <c r="J612" s="158"/>
      <c r="K612" s="182">
        <f t="shared" si="83"/>
        <v>0</v>
      </c>
      <c r="L612" s="153"/>
      <c r="M612" s="153"/>
      <c r="N612" s="154">
        <f t="shared" si="85"/>
        <v>0</v>
      </c>
      <c r="O612" s="155">
        <f t="shared" si="86"/>
        <v>0</v>
      </c>
      <c r="S612" s="156" t="s">
        <v>352</v>
      </c>
    </row>
    <row r="613" spans="1:19" ht="15" x14ac:dyDescent="0.25">
      <c r="A613" s="150">
        <v>10</v>
      </c>
      <c r="B613" s="150">
        <v>1930</v>
      </c>
      <c r="C613" s="151" t="s">
        <v>134</v>
      </c>
      <c r="D613" s="181">
        <f t="shared" si="82"/>
        <v>24098163.670000002</v>
      </c>
      <c r="E613" s="153">
        <v>3370896</v>
      </c>
      <c r="F613" s="153"/>
      <c r="G613" s="154">
        <f t="shared" si="84"/>
        <v>27469059.670000002</v>
      </c>
      <c r="H613" s="154"/>
      <c r="I613" s="154">
        <v>0</v>
      </c>
      <c r="J613" s="158"/>
      <c r="K613" s="182">
        <f t="shared" si="83"/>
        <v>-12361171.343366666</v>
      </c>
      <c r="L613" s="153">
        <v>-1886826.8205421006</v>
      </c>
      <c r="M613" s="153"/>
      <c r="N613" s="154">
        <f t="shared" si="85"/>
        <v>-14247998.163908767</v>
      </c>
      <c r="O613" s="155">
        <f t="shared" si="86"/>
        <v>13221061.506091235</v>
      </c>
      <c r="S613" s="156" t="s">
        <v>353</v>
      </c>
    </row>
    <row r="614" spans="1:19" ht="15" x14ac:dyDescent="0.25">
      <c r="A614" s="150">
        <v>8</v>
      </c>
      <c r="B614" s="150">
        <v>1935</v>
      </c>
      <c r="C614" s="151" t="s">
        <v>135</v>
      </c>
      <c r="D614" s="181">
        <f t="shared" si="82"/>
        <v>108757.92</v>
      </c>
      <c r="E614" s="153"/>
      <c r="F614" s="153"/>
      <c r="G614" s="154">
        <f t="shared" si="84"/>
        <v>108757.92</v>
      </c>
      <c r="H614" s="154"/>
      <c r="I614" s="154">
        <v>0</v>
      </c>
      <c r="J614" s="158"/>
      <c r="K614" s="182">
        <f t="shared" si="83"/>
        <v>-108757.92000000001</v>
      </c>
      <c r="L614" s="153"/>
      <c r="M614" s="153"/>
      <c r="N614" s="154">
        <f t="shared" si="85"/>
        <v>-108757.92000000001</v>
      </c>
      <c r="O614" s="155">
        <f t="shared" si="86"/>
        <v>0</v>
      </c>
      <c r="S614" s="156" t="s">
        <v>354</v>
      </c>
    </row>
    <row r="615" spans="1:19" ht="15" x14ac:dyDescent="0.25">
      <c r="A615" s="150">
        <v>8</v>
      </c>
      <c r="B615" s="150">
        <v>1940</v>
      </c>
      <c r="C615" s="151" t="s">
        <v>136</v>
      </c>
      <c r="D615" s="181">
        <f t="shared" si="82"/>
        <v>5758647.061230001</v>
      </c>
      <c r="E615" s="153">
        <v>1260349.92</v>
      </c>
      <c r="F615" s="153"/>
      <c r="G615" s="154">
        <f t="shared" si="84"/>
        <v>7018996.981230001</v>
      </c>
      <c r="H615" s="154"/>
      <c r="I615" s="154">
        <v>0</v>
      </c>
      <c r="J615" s="158"/>
      <c r="K615" s="182">
        <f t="shared" si="83"/>
        <v>-3340535.3746844996</v>
      </c>
      <c r="L615" s="153">
        <v>-444655.42800382181</v>
      </c>
      <c r="M615" s="153"/>
      <c r="N615" s="154">
        <f t="shared" si="85"/>
        <v>-3785190.8026883216</v>
      </c>
      <c r="O615" s="155">
        <f t="shared" si="86"/>
        <v>3233806.1785416794</v>
      </c>
      <c r="S615" s="156" t="s">
        <v>355</v>
      </c>
    </row>
    <row r="616" spans="1:19" ht="15" x14ac:dyDescent="0.25">
      <c r="A616" s="150">
        <v>8</v>
      </c>
      <c r="B616" s="150">
        <v>1945</v>
      </c>
      <c r="C616" s="151" t="s">
        <v>137</v>
      </c>
      <c r="D616" s="181">
        <f t="shared" si="82"/>
        <v>189615.94446999999</v>
      </c>
      <c r="E616" s="153"/>
      <c r="F616" s="153"/>
      <c r="G616" s="154">
        <f t="shared" si="84"/>
        <v>189615.94446999999</v>
      </c>
      <c r="H616" s="154"/>
      <c r="I616" s="154">
        <v>0</v>
      </c>
      <c r="J616" s="158"/>
      <c r="K616" s="182">
        <f t="shared" si="83"/>
        <v>-178280.27907050002</v>
      </c>
      <c r="L616" s="153">
        <v>-2640.1757697397265</v>
      </c>
      <c r="M616" s="153"/>
      <c r="N616" s="154">
        <f t="shared" si="85"/>
        <v>-180920.45484023975</v>
      </c>
      <c r="O616" s="155">
        <f t="shared" si="86"/>
        <v>8695.489629760239</v>
      </c>
      <c r="S616" s="156" t="s">
        <v>356</v>
      </c>
    </row>
    <row r="617" spans="1:19" ht="15" x14ac:dyDescent="0.25">
      <c r="A617" s="150"/>
      <c r="B617" s="150">
        <v>1950</v>
      </c>
      <c r="C617" s="151" t="s">
        <v>138</v>
      </c>
      <c r="D617" s="181">
        <f t="shared" si="82"/>
        <v>0</v>
      </c>
      <c r="E617" s="153"/>
      <c r="F617" s="153"/>
      <c r="G617" s="154">
        <f t="shared" si="84"/>
        <v>0</v>
      </c>
      <c r="H617" s="154"/>
      <c r="I617" s="154">
        <v>0</v>
      </c>
      <c r="J617" s="158"/>
      <c r="K617" s="182">
        <f t="shared" si="83"/>
        <v>0</v>
      </c>
      <c r="L617" s="153"/>
      <c r="M617" s="153"/>
      <c r="N617" s="154">
        <f t="shared" si="85"/>
        <v>0</v>
      </c>
      <c r="O617" s="155">
        <f t="shared" si="86"/>
        <v>0</v>
      </c>
      <c r="S617" s="156" t="s">
        <v>357</v>
      </c>
    </row>
    <row r="618" spans="1:19" ht="15" x14ac:dyDescent="0.25">
      <c r="A618" s="150">
        <v>8</v>
      </c>
      <c r="B618" s="150">
        <v>1955</v>
      </c>
      <c r="C618" s="151" t="s">
        <v>139</v>
      </c>
      <c r="D618" s="181">
        <f t="shared" si="82"/>
        <v>2325931.7399999993</v>
      </c>
      <c r="E618" s="153"/>
      <c r="F618" s="153"/>
      <c r="G618" s="154">
        <f t="shared" si="84"/>
        <v>2325931.7399999993</v>
      </c>
      <c r="H618" s="154"/>
      <c r="I618" s="154">
        <v>0</v>
      </c>
      <c r="J618" s="158"/>
      <c r="K618" s="182">
        <f t="shared" si="83"/>
        <v>-2132659.3416999998</v>
      </c>
      <c r="L618" s="153">
        <v>-53305.529593698629</v>
      </c>
      <c r="M618" s="153"/>
      <c r="N618" s="154">
        <f t="shared" si="85"/>
        <v>-2185964.8712936984</v>
      </c>
      <c r="O618" s="155">
        <f t="shared" si="86"/>
        <v>139966.86870630085</v>
      </c>
      <c r="S618" s="156" t="s">
        <v>358</v>
      </c>
    </row>
    <row r="619" spans="1:19" ht="15" x14ac:dyDescent="0.25">
      <c r="A619" s="150"/>
      <c r="B619" s="150">
        <v>1955</v>
      </c>
      <c r="C619" s="151" t="s">
        <v>140</v>
      </c>
      <c r="D619" s="181">
        <f t="shared" si="82"/>
        <v>0</v>
      </c>
      <c r="E619" s="153"/>
      <c r="F619" s="153"/>
      <c r="G619" s="154">
        <f t="shared" si="84"/>
        <v>0</v>
      </c>
      <c r="H619" s="154"/>
      <c r="I619" s="154">
        <v>0</v>
      </c>
      <c r="J619" s="158"/>
      <c r="K619" s="182">
        <f t="shared" si="83"/>
        <v>0</v>
      </c>
      <c r="L619" s="153"/>
      <c r="M619" s="153"/>
      <c r="N619" s="154">
        <f t="shared" si="85"/>
        <v>0</v>
      </c>
      <c r="O619" s="155">
        <f t="shared" si="86"/>
        <v>0</v>
      </c>
      <c r="S619" s="156" t="s">
        <v>358</v>
      </c>
    </row>
    <row r="620" spans="1:19" ht="15" x14ac:dyDescent="0.25">
      <c r="A620" s="150">
        <v>8</v>
      </c>
      <c r="B620" s="150">
        <v>1960</v>
      </c>
      <c r="C620" s="151" t="s">
        <v>141</v>
      </c>
      <c r="D620" s="181">
        <f t="shared" si="82"/>
        <v>470214.34999999992</v>
      </c>
      <c r="E620" s="153"/>
      <c r="F620" s="153"/>
      <c r="G620" s="154">
        <f t="shared" si="84"/>
        <v>470214.34999999992</v>
      </c>
      <c r="H620" s="154"/>
      <c r="I620" s="154">
        <v>0</v>
      </c>
      <c r="J620" s="158"/>
      <c r="K620" s="182">
        <f t="shared" si="83"/>
        <v>-426451.72579999996</v>
      </c>
      <c r="L620" s="153">
        <v>-20115.941462465751</v>
      </c>
      <c r="M620" s="153"/>
      <c r="N620" s="154">
        <f t="shared" si="85"/>
        <v>-446567.66726246569</v>
      </c>
      <c r="O620" s="155">
        <f t="shared" si="86"/>
        <v>23646.682737534225</v>
      </c>
      <c r="S620" s="156" t="s">
        <v>359</v>
      </c>
    </row>
    <row r="621" spans="1:19" ht="15" x14ac:dyDescent="0.25">
      <c r="A621" s="150"/>
      <c r="B621" s="150">
        <v>1970</v>
      </c>
      <c r="C621" s="151" t="s">
        <v>142</v>
      </c>
      <c r="D621" s="181">
        <f t="shared" si="82"/>
        <v>0</v>
      </c>
      <c r="E621" s="153"/>
      <c r="F621" s="153"/>
      <c r="G621" s="154">
        <f t="shared" si="84"/>
        <v>0</v>
      </c>
      <c r="H621" s="154"/>
      <c r="I621" s="154">
        <v>0</v>
      </c>
      <c r="J621" s="158"/>
      <c r="K621" s="182">
        <f t="shared" si="83"/>
        <v>0</v>
      </c>
      <c r="L621" s="153"/>
      <c r="M621" s="153"/>
      <c r="N621" s="154">
        <f t="shared" si="85"/>
        <v>0</v>
      </c>
      <c r="O621" s="155">
        <f t="shared" si="86"/>
        <v>0</v>
      </c>
      <c r="S621" s="156" t="s">
        <v>360</v>
      </c>
    </row>
    <row r="622" spans="1:19" ht="15" x14ac:dyDescent="0.25">
      <c r="A622" s="150"/>
      <c r="B622" s="150">
        <v>1975</v>
      </c>
      <c r="C622" s="151" t="s">
        <v>143</v>
      </c>
      <c r="D622" s="181">
        <f t="shared" si="82"/>
        <v>0</v>
      </c>
      <c r="E622" s="153"/>
      <c r="F622" s="153"/>
      <c r="G622" s="154">
        <f t="shared" si="84"/>
        <v>0</v>
      </c>
      <c r="H622" s="154"/>
      <c r="I622" s="154">
        <v>0</v>
      </c>
      <c r="J622" s="158"/>
      <c r="K622" s="182">
        <f t="shared" si="83"/>
        <v>0</v>
      </c>
      <c r="L622" s="153"/>
      <c r="M622" s="153"/>
      <c r="N622" s="154">
        <f t="shared" si="85"/>
        <v>0</v>
      </c>
      <c r="O622" s="155">
        <f t="shared" si="86"/>
        <v>0</v>
      </c>
      <c r="S622" s="156" t="s">
        <v>361</v>
      </c>
    </row>
    <row r="623" spans="1:19" ht="15" x14ac:dyDescent="0.25">
      <c r="A623" s="150">
        <v>8</v>
      </c>
      <c r="B623" s="150">
        <v>1980</v>
      </c>
      <c r="C623" s="151" t="s">
        <v>144</v>
      </c>
      <c r="D623" s="181">
        <f t="shared" si="82"/>
        <v>11602511.05597985</v>
      </c>
      <c r="E623" s="153">
        <v>1736057.4067111111</v>
      </c>
      <c r="F623" s="153"/>
      <c r="G623" s="154">
        <f t="shared" si="84"/>
        <v>13338568.462690961</v>
      </c>
      <c r="H623" s="154"/>
      <c r="I623" s="154">
        <v>0</v>
      </c>
      <c r="J623" s="158"/>
      <c r="K623" s="182">
        <f t="shared" si="83"/>
        <v>-7312465.9989040755</v>
      </c>
      <c r="L623" s="153">
        <v>-645137.6286672008</v>
      </c>
      <c r="M623" s="153"/>
      <c r="N623" s="154">
        <f t="shared" si="85"/>
        <v>-7957603.6275712764</v>
      </c>
      <c r="O623" s="155">
        <f t="shared" si="86"/>
        <v>5380964.8351196842</v>
      </c>
      <c r="S623" s="156" t="s">
        <v>362</v>
      </c>
    </row>
    <row r="624" spans="1:19" ht="15" x14ac:dyDescent="0.25">
      <c r="A624" s="150"/>
      <c r="B624" s="150">
        <v>1985</v>
      </c>
      <c r="C624" s="151" t="s">
        <v>145</v>
      </c>
      <c r="D624" s="181">
        <f t="shared" si="82"/>
        <v>0</v>
      </c>
      <c r="E624" s="153"/>
      <c r="F624" s="153"/>
      <c r="G624" s="154">
        <f t="shared" si="84"/>
        <v>0</v>
      </c>
      <c r="H624" s="154"/>
      <c r="I624" s="154">
        <v>0</v>
      </c>
      <c r="J624" s="158"/>
      <c r="K624" s="182">
        <f t="shared" si="83"/>
        <v>0</v>
      </c>
      <c r="L624" s="153"/>
      <c r="M624" s="153"/>
      <c r="N624" s="154">
        <f t="shared" si="85"/>
        <v>0</v>
      </c>
      <c r="O624" s="155">
        <f t="shared" si="86"/>
        <v>0</v>
      </c>
      <c r="S624" s="156" t="s">
        <v>363</v>
      </c>
    </row>
    <row r="625" spans="1:19" ht="15" x14ac:dyDescent="0.25">
      <c r="A625" s="150"/>
      <c r="B625" s="150">
        <v>1990</v>
      </c>
      <c r="C625" s="159" t="s">
        <v>146</v>
      </c>
      <c r="D625" s="181">
        <f t="shared" si="82"/>
        <v>0</v>
      </c>
      <c r="E625" s="153"/>
      <c r="F625" s="153"/>
      <c r="G625" s="154">
        <f t="shared" si="84"/>
        <v>0</v>
      </c>
      <c r="H625" s="154"/>
      <c r="I625" s="154">
        <v>0</v>
      </c>
      <c r="J625" s="158"/>
      <c r="K625" s="182">
        <f t="shared" si="83"/>
        <v>0</v>
      </c>
      <c r="L625" s="153"/>
      <c r="M625" s="153"/>
      <c r="N625" s="154">
        <f t="shared" si="85"/>
        <v>0</v>
      </c>
      <c r="O625" s="155">
        <f t="shared" si="86"/>
        <v>0</v>
      </c>
      <c r="S625" s="156" t="s">
        <v>364</v>
      </c>
    </row>
    <row r="626" spans="1:19" ht="15" x14ac:dyDescent="0.25">
      <c r="A626" s="150"/>
      <c r="B626" s="150">
        <v>1995</v>
      </c>
      <c r="C626" s="151" t="s">
        <v>147</v>
      </c>
      <c r="D626" s="181">
        <f t="shared" si="82"/>
        <v>0</v>
      </c>
      <c r="E626" s="153"/>
      <c r="F626" s="153"/>
      <c r="G626" s="154">
        <f t="shared" si="84"/>
        <v>0</v>
      </c>
      <c r="H626" s="154"/>
      <c r="I626" s="154">
        <v>0</v>
      </c>
      <c r="J626" s="158"/>
      <c r="K626" s="182">
        <f t="shared" si="83"/>
        <v>0</v>
      </c>
      <c r="L626" s="153"/>
      <c r="M626" s="153"/>
      <c r="N626" s="154">
        <f t="shared" si="85"/>
        <v>0</v>
      </c>
      <c r="O626" s="155">
        <f t="shared" si="86"/>
        <v>0</v>
      </c>
      <c r="S626" s="156" t="s">
        <v>365</v>
      </c>
    </row>
    <row r="627" spans="1:19" ht="15" x14ac:dyDescent="0.25">
      <c r="A627" s="150">
        <v>43.2</v>
      </c>
      <c r="B627" s="150">
        <v>2075</v>
      </c>
      <c r="C627" s="151" t="s">
        <v>148</v>
      </c>
      <c r="D627" s="181">
        <f t="shared" si="82"/>
        <v>1251765.9099999997</v>
      </c>
      <c r="E627" s="153"/>
      <c r="F627" s="153"/>
      <c r="G627" s="154">
        <f t="shared" si="84"/>
        <v>1251765.9099999997</v>
      </c>
      <c r="H627" s="154"/>
      <c r="I627" s="154">
        <v>0</v>
      </c>
      <c r="J627" s="158"/>
      <c r="K627" s="182">
        <f t="shared" si="83"/>
        <v>-744867.40570000024</v>
      </c>
      <c r="L627" s="153">
        <v>-52653.383603835617</v>
      </c>
      <c r="M627" s="153"/>
      <c r="N627" s="154">
        <f t="shared" si="85"/>
        <v>-797520.78930383583</v>
      </c>
      <c r="O627" s="155">
        <f t="shared" si="86"/>
        <v>454245.12069616385</v>
      </c>
      <c r="S627" s="156"/>
    </row>
    <row r="628" spans="1:19" ht="15" x14ac:dyDescent="0.25">
      <c r="A628" s="150">
        <v>47</v>
      </c>
      <c r="B628" s="150">
        <v>2440</v>
      </c>
      <c r="C628" s="151" t="s">
        <v>149</v>
      </c>
      <c r="D628" s="181">
        <f t="shared" si="82"/>
        <v>-241578882.06200215</v>
      </c>
      <c r="E628" s="153">
        <v>-50628808.979999997</v>
      </c>
      <c r="F628" s="153">
        <v>93412.065161036735</v>
      </c>
      <c r="G628" s="154">
        <f t="shared" si="84"/>
        <v>-292114278.97684109</v>
      </c>
      <c r="H628" s="154"/>
      <c r="I628" s="154">
        <v>0</v>
      </c>
      <c r="K628" s="181">
        <f t="shared" si="83"/>
        <v>31609803.406739973</v>
      </c>
      <c r="L628" s="153">
        <v>6846617.4360136576</v>
      </c>
      <c r="M628" s="153">
        <v>-19935.98792912691</v>
      </c>
      <c r="N628" s="154">
        <f t="shared" si="85"/>
        <v>38436484.854824506</v>
      </c>
      <c r="O628" s="155">
        <f t="shared" si="86"/>
        <v>-253677794.12201658</v>
      </c>
      <c r="S628" s="156" t="s">
        <v>366</v>
      </c>
    </row>
    <row r="629" spans="1:19" ht="15" x14ac:dyDescent="0.25">
      <c r="A629" s="160" t="s">
        <v>109</v>
      </c>
      <c r="B629" s="160">
        <v>2005</v>
      </c>
      <c r="C629" s="161" t="s">
        <v>150</v>
      </c>
      <c r="D629" s="181">
        <f t="shared" si="82"/>
        <v>1949864.7900000003</v>
      </c>
      <c r="E629" s="162"/>
      <c r="F629" s="162"/>
      <c r="G629" s="154">
        <f t="shared" si="84"/>
        <v>1949864.7900000003</v>
      </c>
      <c r="H629" s="154"/>
      <c r="I629" s="154">
        <v>0</v>
      </c>
      <c r="K629" s="181">
        <f t="shared" si="83"/>
        <v>-1949864.7899999998</v>
      </c>
      <c r="L629" s="162"/>
      <c r="M629" s="162"/>
      <c r="N629" s="154">
        <f t="shared" si="85"/>
        <v>-1949864.7899999998</v>
      </c>
      <c r="O629" s="155">
        <f t="shared" si="86"/>
        <v>0</v>
      </c>
      <c r="S629" s="156" t="s">
        <v>367</v>
      </c>
    </row>
    <row r="630" spans="1:19" x14ac:dyDescent="0.2">
      <c r="A630" s="160"/>
      <c r="B630" s="160"/>
      <c r="C630" s="164" t="s">
        <v>20</v>
      </c>
      <c r="D630" s="165">
        <f>SUM(D586:D629)</f>
        <v>871199904.50225544</v>
      </c>
      <c r="E630" s="165">
        <f>SUM(E586:E629)</f>
        <v>122404972.53999996</v>
      </c>
      <c r="F630" s="165">
        <f>SUM(F586:F629)</f>
        <v>-2822678.3691372438</v>
      </c>
      <c r="G630" s="165">
        <f>SUM(G586:G629)</f>
        <v>990782198.67311823</v>
      </c>
      <c r="H630" s="165"/>
      <c r="I630" s="165">
        <f>SUM(I586:I629)</f>
        <v>0</v>
      </c>
      <c r="J630" s="167"/>
      <c r="K630" s="165">
        <f>SUM(K586:K629)</f>
        <v>-271161989.22099251</v>
      </c>
      <c r="L630" s="165">
        <f>SUM(L586:L629)</f>
        <v>-29667221.401440818</v>
      </c>
      <c r="M630" s="165">
        <f>SUM(M586:M629)</f>
        <v>1388107.0011624068</v>
      </c>
      <c r="N630" s="165">
        <f>SUM(N586:N629)</f>
        <v>-299441103.62127101</v>
      </c>
      <c r="O630" s="165">
        <f>SUM(O586:O629)</f>
        <v>691341095.05184734</v>
      </c>
    </row>
    <row r="631" spans="1:19" ht="25.5" x14ac:dyDescent="0.25">
      <c r="A631" s="160"/>
      <c r="B631" s="160"/>
      <c r="C631" s="168" t="s">
        <v>151</v>
      </c>
      <c r="D631" s="183">
        <f>H564</f>
        <v>-675735.92449999996</v>
      </c>
      <c r="E631" s="162"/>
      <c r="F631" s="162"/>
      <c r="G631" s="154">
        <f>D631+E631+F631</f>
        <v>-675735.92449999996</v>
      </c>
      <c r="H631" s="154"/>
      <c r="I631" s="154"/>
      <c r="K631" s="183">
        <f>O564</f>
        <v>425844.11236499995</v>
      </c>
      <c r="L631" s="183">
        <v>35849.863702273971</v>
      </c>
      <c r="M631" s="183"/>
      <c r="N631" s="154">
        <f>K631+L631+M631</f>
        <v>461693.97606727394</v>
      </c>
      <c r="O631" s="155">
        <f>G631+N631</f>
        <v>-214041.94843272603</v>
      </c>
    </row>
    <row r="632" spans="1:19" ht="24.75" x14ac:dyDescent="0.25">
      <c r="A632" s="160"/>
      <c r="B632" s="160"/>
      <c r="C632" s="169" t="s">
        <v>152</v>
      </c>
      <c r="D632" s="183">
        <f>H565</f>
        <v>-1251765.9099999997</v>
      </c>
      <c r="E632" s="162"/>
      <c r="F632" s="162"/>
      <c r="G632" s="154">
        <f>D632+E632+F632</f>
        <v>-1251765.9099999997</v>
      </c>
      <c r="H632" s="154"/>
      <c r="I632" s="154"/>
      <c r="K632" s="183">
        <f>O565</f>
        <v>744867.40570000024</v>
      </c>
      <c r="L632" s="183">
        <f>-L627</f>
        <v>52653.383603835617</v>
      </c>
      <c r="M632" s="183">
        <f>-M627</f>
        <v>0</v>
      </c>
      <c r="N632" s="154">
        <f>K632+L632+M632</f>
        <v>797520.78930383583</v>
      </c>
      <c r="O632" s="155">
        <f>G632+N632</f>
        <v>-454245.12069616385</v>
      </c>
    </row>
    <row r="633" spans="1:19" ht="15" x14ac:dyDescent="0.25">
      <c r="A633" s="160"/>
      <c r="B633" s="160"/>
      <c r="C633" s="164" t="s">
        <v>153</v>
      </c>
      <c r="D633" s="165">
        <f>SUM(D630:D632)</f>
        <v>869272402.66775548</v>
      </c>
      <c r="E633" s="165">
        <f>SUM(E630:E632)</f>
        <v>122404972.53999996</v>
      </c>
      <c r="F633" s="165">
        <f>SUM(F630:F632)</f>
        <v>-2822678.3691372438</v>
      </c>
      <c r="G633" s="165">
        <f>SUM(G630:G632)</f>
        <v>988854696.83861828</v>
      </c>
      <c r="H633" s="165"/>
      <c r="I633" s="154"/>
      <c r="J633" s="167"/>
      <c r="K633" s="165">
        <f>SUM(K630:K632)</f>
        <v>-269991277.70292747</v>
      </c>
      <c r="L633" s="165">
        <f>SUM(L630:L632)</f>
        <v>-29578718.154134706</v>
      </c>
      <c r="M633" s="165">
        <f>SUM(M630:M632)</f>
        <v>1388107.0011624068</v>
      </c>
      <c r="N633" s="165">
        <f>SUM(N630:N632)</f>
        <v>-298181888.85589993</v>
      </c>
      <c r="O633" s="165">
        <f>SUM(O630:O632)</f>
        <v>690672807.98271847</v>
      </c>
    </row>
    <row r="634" spans="1:19" ht="15" x14ac:dyDescent="0.25">
      <c r="A634" s="160"/>
      <c r="B634" s="160"/>
      <c r="C634" s="170" t="s">
        <v>154</v>
      </c>
      <c r="D634" s="183">
        <f>H567</f>
        <v>126364790.10721998</v>
      </c>
      <c r="E634" s="153">
        <f>-3030847.45000002+10359030.69</f>
        <v>7328183.2399999797</v>
      </c>
      <c r="F634" s="153"/>
      <c r="G634" s="154">
        <f t="shared" ref="G634" si="87">D634+E634+F634</f>
        <v>133692973.34721996</v>
      </c>
      <c r="H634" s="154"/>
      <c r="I634" s="154">
        <v>0</v>
      </c>
      <c r="J634" s="158"/>
      <c r="N634" s="154">
        <f t="shared" ref="N634" si="88">K634+L634+M634</f>
        <v>0</v>
      </c>
      <c r="O634" s="155">
        <f t="shared" ref="O634" si="89">G634+N634</f>
        <v>133692973.34721996</v>
      </c>
    </row>
    <row r="635" spans="1:19" x14ac:dyDescent="0.2">
      <c r="A635" s="160"/>
      <c r="B635" s="160"/>
      <c r="C635" s="170" t="s">
        <v>155</v>
      </c>
      <c r="D635" s="165">
        <f>SUM(D633:D634)</f>
        <v>995637192.77497542</v>
      </c>
      <c r="E635" s="165">
        <f t="shared" ref="E635:G635" si="90">SUM(E633:E634)</f>
        <v>129733155.77999994</v>
      </c>
      <c r="F635" s="165">
        <f t="shared" si="90"/>
        <v>-2822678.3691372438</v>
      </c>
      <c r="G635" s="165">
        <f t="shared" si="90"/>
        <v>1122547670.1858382</v>
      </c>
      <c r="H635" s="165"/>
      <c r="I635" s="165">
        <f t="shared" ref="I635:O635" si="91">SUM(I633:I634)</f>
        <v>0</v>
      </c>
      <c r="J635" s="165">
        <f t="shared" si="91"/>
        <v>0</v>
      </c>
      <c r="K635" s="165">
        <f t="shared" si="91"/>
        <v>-269991277.70292747</v>
      </c>
      <c r="L635" s="165">
        <f t="shared" si="91"/>
        <v>-29578718.154134706</v>
      </c>
      <c r="M635" s="165">
        <f t="shared" si="91"/>
        <v>1388107.0011624068</v>
      </c>
      <c r="N635" s="165">
        <f t="shared" si="91"/>
        <v>-298181888.85589993</v>
      </c>
      <c r="O635" s="165">
        <f t="shared" si="91"/>
        <v>824365781.32993841</v>
      </c>
    </row>
    <row r="636" spans="1:19" ht="15" x14ac:dyDescent="0.25">
      <c r="A636" s="160"/>
      <c r="B636" s="160"/>
      <c r="C636" s="359" t="s">
        <v>156</v>
      </c>
      <c r="D636" s="360"/>
      <c r="E636" s="360"/>
      <c r="F636" s="360"/>
      <c r="G636" s="360"/>
      <c r="H636" s="360"/>
      <c r="I636" s="360"/>
      <c r="J636" s="360"/>
      <c r="K636" s="361"/>
      <c r="L636" s="162"/>
      <c r="N636" s="171"/>
      <c r="O636" s="172"/>
    </row>
    <row r="637" spans="1:19" ht="15" x14ac:dyDescent="0.25">
      <c r="A637" s="160"/>
      <c r="B637" s="160"/>
      <c r="C637" s="359" t="s">
        <v>43</v>
      </c>
      <c r="D637" s="360"/>
      <c r="E637" s="360"/>
      <c r="F637" s="360"/>
      <c r="G637" s="360"/>
      <c r="H637" s="360"/>
      <c r="I637" s="360"/>
      <c r="J637" s="360"/>
      <c r="K637" s="361"/>
      <c r="L637" s="165">
        <f>L635+L636</f>
        <v>-29578718.154134706</v>
      </c>
      <c r="N637" s="171"/>
      <c r="O637" s="172"/>
    </row>
    <row r="638" spans="1:19" ht="26.25" customHeight="1" x14ac:dyDescent="0.2">
      <c r="D638" s="355" t="s">
        <v>157</v>
      </c>
      <c r="E638" s="355"/>
      <c r="F638" s="355"/>
      <c r="G638" s="172">
        <f>AVERAGE(D633,G633)</f>
        <v>929063549.75318694</v>
      </c>
      <c r="H638" s="172"/>
      <c r="K638" s="124" t="s">
        <v>158</v>
      </c>
      <c r="N638" s="172">
        <f>AVERAGE(K633,N633)</f>
        <v>-284086583.2794137</v>
      </c>
    </row>
    <row r="639" spans="1:19" x14ac:dyDescent="0.2">
      <c r="D639" s="124"/>
      <c r="G639" s="172"/>
      <c r="H639" s="172"/>
      <c r="K639" s="124" t="s">
        <v>159</v>
      </c>
      <c r="N639" s="172">
        <f>G638+N638</f>
        <v>644976966.47377324</v>
      </c>
    </row>
    <row r="640" spans="1:19" x14ac:dyDescent="0.2">
      <c r="K640" s="123" t="s">
        <v>160</v>
      </c>
    </row>
    <row r="641" spans="1:19" ht="15" x14ac:dyDescent="0.25">
      <c r="A641" s="160">
        <v>10</v>
      </c>
      <c r="B641" s="160"/>
      <c r="C641" s="173" t="s">
        <v>161</v>
      </c>
      <c r="D641" s="174"/>
      <c r="E641" s="174"/>
      <c r="F641" s="174"/>
      <c r="G641" s="174"/>
      <c r="H641" s="174"/>
      <c r="I641" s="174"/>
      <c r="J641" s="174"/>
      <c r="K641" s="174" t="s">
        <v>161</v>
      </c>
      <c r="L641" s="174"/>
      <c r="M641" s="175">
        <f>+L613</f>
        <v>-1886826.8205421006</v>
      </c>
    </row>
    <row r="642" spans="1:19" ht="15" x14ac:dyDescent="0.25">
      <c r="A642" s="160"/>
      <c r="B642" s="160"/>
      <c r="C642" s="174" t="s">
        <v>162</v>
      </c>
      <c r="D642" s="174"/>
      <c r="E642" s="174"/>
      <c r="F642" s="174"/>
      <c r="G642" s="174"/>
      <c r="H642" s="174"/>
      <c r="I642" s="174"/>
      <c r="J642" s="174"/>
      <c r="K642" s="174" t="s">
        <v>162</v>
      </c>
      <c r="L642" s="174"/>
      <c r="M642" s="175">
        <f>-F630-M630+F628+M628</f>
        <v>1508047.4452067469</v>
      </c>
    </row>
    <row r="643" spans="1:19" ht="15" x14ac:dyDescent="0.25">
      <c r="A643" s="160">
        <v>47</v>
      </c>
      <c r="B643" s="160"/>
      <c r="C643" s="173" t="s">
        <v>166</v>
      </c>
      <c r="D643" s="174"/>
      <c r="E643" s="174"/>
      <c r="F643" s="174"/>
      <c r="G643" s="174"/>
      <c r="H643" s="174"/>
      <c r="I643" s="174"/>
      <c r="J643" s="174"/>
      <c r="K643" s="174" t="s">
        <v>166</v>
      </c>
      <c r="L643" s="174"/>
      <c r="M643" s="175">
        <f>-F628-M628</f>
        <v>-73476.077231909818</v>
      </c>
    </row>
    <row r="644" spans="1:19" x14ac:dyDescent="0.2">
      <c r="K644" s="353" t="s">
        <v>164</v>
      </c>
      <c r="L644" s="354"/>
      <c r="M644" s="177">
        <f>L637-M641-M642-M643</f>
        <v>-29126462.701567441</v>
      </c>
    </row>
    <row r="646" spans="1:19" x14ac:dyDescent="0.2">
      <c r="M646" s="172"/>
    </row>
    <row r="648" spans="1:19" ht="15.75" thickBot="1" x14ac:dyDescent="0.25">
      <c r="E648" s="135" t="s">
        <v>94</v>
      </c>
      <c r="F648" s="136" t="s">
        <v>12</v>
      </c>
    </row>
    <row r="649" spans="1:19" ht="15.75" thickBot="1" x14ac:dyDescent="0.3">
      <c r="E649" s="135" t="s">
        <v>95</v>
      </c>
      <c r="F649" s="137">
        <v>2029</v>
      </c>
      <c r="G649" s="138"/>
      <c r="H649" s="138"/>
      <c r="I649" s="139" t="b">
        <f>IF(F649=2014,4,IF(F649=2015,5,IF(F649=2016,6,IF(F649=2017,7,IF(F649=2018,8,IF(F649=2019,9,IF(F649=2020,10)))))))</f>
        <v>0</v>
      </c>
    </row>
    <row r="651" spans="1:19" x14ac:dyDescent="0.2">
      <c r="D651" s="356" t="s">
        <v>96</v>
      </c>
      <c r="E651" s="357"/>
      <c r="F651" s="357"/>
      <c r="G651" s="357"/>
      <c r="H651" s="357"/>
      <c r="I651" s="358"/>
      <c r="K651" s="140"/>
      <c r="L651" s="141" t="s">
        <v>97</v>
      </c>
      <c r="M651" s="141"/>
      <c r="N651" s="142"/>
    </row>
    <row r="652" spans="1:19" ht="30" customHeight="1" x14ac:dyDescent="0.2">
      <c r="A652" s="143" t="s">
        <v>98</v>
      </c>
      <c r="B652" s="143" t="s">
        <v>99</v>
      </c>
      <c r="C652" s="144" t="s">
        <v>100</v>
      </c>
      <c r="D652" s="143" t="s">
        <v>101</v>
      </c>
      <c r="E652" s="145" t="s">
        <v>102</v>
      </c>
      <c r="F652" s="145" t="s">
        <v>103</v>
      </c>
      <c r="G652" s="143" t="s">
        <v>104</v>
      </c>
      <c r="H652" s="143"/>
      <c r="I652" s="143" t="s">
        <v>105</v>
      </c>
      <c r="J652" s="146"/>
      <c r="K652" s="143" t="s">
        <v>101</v>
      </c>
      <c r="L652" s="147" t="s">
        <v>106</v>
      </c>
      <c r="M652" s="147" t="s">
        <v>103</v>
      </c>
      <c r="N652" s="148" t="s">
        <v>104</v>
      </c>
      <c r="O652" s="143" t="s">
        <v>107</v>
      </c>
    </row>
    <row r="653" spans="1:19" ht="15" x14ac:dyDescent="0.25">
      <c r="A653" s="149">
        <v>14.1</v>
      </c>
      <c r="B653" s="150">
        <v>1609</v>
      </c>
      <c r="C653" s="151" t="s">
        <v>108</v>
      </c>
      <c r="D653" s="181">
        <f t="shared" ref="D653:D696" si="92">G586</f>
        <v>26577511.756089997</v>
      </c>
      <c r="E653" s="153"/>
      <c r="F653" s="153"/>
      <c r="G653" s="154">
        <f>D653+E653+F653</f>
        <v>26577511.756089997</v>
      </c>
      <c r="H653" s="154"/>
      <c r="I653" s="154">
        <v>0</v>
      </c>
      <c r="J653" s="146"/>
      <c r="K653" s="182">
        <f t="shared" ref="K653:K696" si="93">N586</f>
        <v>-5482822.4696635203</v>
      </c>
      <c r="L653" s="153">
        <v>-1376029.3467436</v>
      </c>
      <c r="M653" s="153"/>
      <c r="N653" s="154">
        <f>K653+L653+M653</f>
        <v>-6858851.8164071199</v>
      </c>
      <c r="O653" s="155">
        <f>G653+N653</f>
        <v>19718659.939682879</v>
      </c>
      <c r="S653" s="156" t="s">
        <v>332</v>
      </c>
    </row>
    <row r="654" spans="1:19" ht="15" x14ac:dyDescent="0.25">
      <c r="A654" s="149" t="s">
        <v>109</v>
      </c>
      <c r="B654" s="150">
        <v>1610</v>
      </c>
      <c r="C654" s="151" t="s">
        <v>110</v>
      </c>
      <c r="D654" s="181">
        <f t="shared" si="92"/>
        <v>4560266.58</v>
      </c>
      <c r="E654" s="153"/>
      <c r="F654" s="153"/>
      <c r="G654" s="154">
        <f>D654+E654+F654</f>
        <v>4560266.58</v>
      </c>
      <c r="H654" s="154"/>
      <c r="I654" s="154">
        <v>0</v>
      </c>
      <c r="J654" s="146"/>
      <c r="K654" s="182">
        <f t="shared" si="93"/>
        <v>-4350249.7794454806</v>
      </c>
      <c r="L654" s="153">
        <v>-46684.611599999997</v>
      </c>
      <c r="M654" s="153"/>
      <c r="N654" s="154">
        <f>K654+L654+M654</f>
        <v>-4396934.391045481</v>
      </c>
      <c r="O654" s="155">
        <f>G654+N654</f>
        <v>163332.18895451911</v>
      </c>
      <c r="S654" s="156"/>
    </row>
    <row r="655" spans="1:19" ht="15" x14ac:dyDescent="0.25">
      <c r="A655" s="150">
        <v>12</v>
      </c>
      <c r="B655" s="150">
        <v>1611</v>
      </c>
      <c r="C655" s="157" t="s">
        <v>111</v>
      </c>
      <c r="D655" s="181">
        <f t="shared" si="92"/>
        <v>30836910.230000004</v>
      </c>
      <c r="E655" s="153">
        <v>1935723.16</v>
      </c>
      <c r="F655" s="153"/>
      <c r="G655" s="154">
        <f>D655+E655+F655</f>
        <v>32772633.390000004</v>
      </c>
      <c r="H655" s="154"/>
      <c r="I655" s="154">
        <v>0</v>
      </c>
      <c r="J655" s="158"/>
      <c r="K655" s="182">
        <f t="shared" si="93"/>
        <v>-28023423.386585571</v>
      </c>
      <c r="L655" s="153">
        <v>-1945745.4287477625</v>
      </c>
      <c r="M655" s="153"/>
      <c r="N655" s="154">
        <f>K655+L655+M655</f>
        <v>-29969168.815333333</v>
      </c>
      <c r="O655" s="155">
        <f>G655+N655</f>
        <v>2803464.5746666715</v>
      </c>
      <c r="S655" s="156" t="s">
        <v>333</v>
      </c>
    </row>
    <row r="656" spans="1:19" ht="15" x14ac:dyDescent="0.25">
      <c r="A656" s="150">
        <v>14.1</v>
      </c>
      <c r="B656" s="150">
        <v>1612</v>
      </c>
      <c r="C656" s="151" t="s">
        <v>112</v>
      </c>
      <c r="D656" s="181">
        <f t="shared" si="92"/>
        <v>4302600.6100000003</v>
      </c>
      <c r="E656" s="153"/>
      <c r="F656" s="153"/>
      <c r="G656" s="154">
        <f>D656+E656+F656</f>
        <v>4302600.6100000003</v>
      </c>
      <c r="H656" s="154"/>
      <c r="I656" s="154">
        <v>0</v>
      </c>
      <c r="J656" s="158"/>
      <c r="K656" s="182">
        <f t="shared" si="93"/>
        <v>-177895.63022246576</v>
      </c>
      <c r="L656" s="153">
        <v>-12301.7492</v>
      </c>
      <c r="M656" s="153"/>
      <c r="N656" s="154">
        <f>K656+L656+M656</f>
        <v>-190197.37942246575</v>
      </c>
      <c r="O656" s="155">
        <f>G656+N656</f>
        <v>4112403.2305775345</v>
      </c>
      <c r="S656" s="156" t="s">
        <v>334</v>
      </c>
    </row>
    <row r="657" spans="1:19" ht="15" x14ac:dyDescent="0.25">
      <c r="A657" s="150" t="s">
        <v>109</v>
      </c>
      <c r="B657" s="150">
        <v>1805</v>
      </c>
      <c r="C657" s="151" t="s">
        <v>113</v>
      </c>
      <c r="D657" s="181">
        <f t="shared" si="92"/>
        <v>4190619.8899999997</v>
      </c>
      <c r="E657" s="153"/>
      <c r="F657" s="153"/>
      <c r="G657" s="154">
        <f>D657+E657+F657</f>
        <v>4190619.8899999997</v>
      </c>
      <c r="H657" s="154"/>
      <c r="I657" s="154">
        <v>0</v>
      </c>
      <c r="J657" s="158"/>
      <c r="K657" s="182">
        <f t="shared" si="93"/>
        <v>0</v>
      </c>
      <c r="L657" s="153"/>
      <c r="M657" s="153"/>
      <c r="N657" s="154">
        <f>K657+L657+M657</f>
        <v>0</v>
      </c>
      <c r="O657" s="155">
        <f>G657+N657</f>
        <v>4190619.8899999997</v>
      </c>
      <c r="S657" s="156" t="s">
        <v>335</v>
      </c>
    </row>
    <row r="658" spans="1:19" ht="15" x14ac:dyDescent="0.25">
      <c r="A658" s="150">
        <v>47</v>
      </c>
      <c r="B658" s="150">
        <v>1808</v>
      </c>
      <c r="C658" s="151" t="s">
        <v>114</v>
      </c>
      <c r="D658" s="181">
        <f t="shared" si="92"/>
        <v>1409044.04</v>
      </c>
      <c r="E658" s="153"/>
      <c r="F658" s="153"/>
      <c r="G658" s="154">
        <f t="shared" ref="G658:G696" si="94">D658+E658+F658</f>
        <v>1409044.04</v>
      </c>
      <c r="H658" s="154"/>
      <c r="I658" s="154">
        <v>0</v>
      </c>
      <c r="J658" s="158"/>
      <c r="K658" s="182">
        <f t="shared" si="93"/>
        <v>-1259385.3336191783</v>
      </c>
      <c r="L658" s="153">
        <v>-9573.8109999999997</v>
      </c>
      <c r="M658" s="153"/>
      <c r="N658" s="154">
        <f t="shared" ref="N658:N696" si="95">K658+L658+M658</f>
        <v>-1268959.1446191783</v>
      </c>
      <c r="O658" s="155">
        <f t="shared" ref="O658:O696" si="96">G658+N658</f>
        <v>140084.89538082178</v>
      </c>
      <c r="S658" s="156" t="s">
        <v>336</v>
      </c>
    </row>
    <row r="659" spans="1:19" ht="15" x14ac:dyDescent="0.25">
      <c r="A659" s="150"/>
      <c r="B659" s="150">
        <v>1810</v>
      </c>
      <c r="C659" s="151" t="s">
        <v>115</v>
      </c>
      <c r="D659" s="181">
        <f t="shared" si="92"/>
        <v>0</v>
      </c>
      <c r="E659" s="153"/>
      <c r="F659" s="153"/>
      <c r="G659" s="154">
        <f t="shared" si="94"/>
        <v>0</v>
      </c>
      <c r="H659" s="154"/>
      <c r="I659" s="154">
        <v>0</v>
      </c>
      <c r="J659" s="158"/>
      <c r="K659" s="182">
        <f t="shared" si="93"/>
        <v>0</v>
      </c>
      <c r="L659" s="153"/>
      <c r="M659" s="153"/>
      <c r="N659" s="154">
        <f t="shared" si="95"/>
        <v>0</v>
      </c>
      <c r="O659" s="155">
        <f t="shared" si="96"/>
        <v>0</v>
      </c>
      <c r="S659" s="156" t="s">
        <v>337</v>
      </c>
    </row>
    <row r="660" spans="1:19" ht="15" x14ac:dyDescent="0.25">
      <c r="A660" s="150">
        <v>47</v>
      </c>
      <c r="B660" s="150">
        <v>1815</v>
      </c>
      <c r="C660" s="151" t="s">
        <v>116</v>
      </c>
      <c r="D660" s="181">
        <f t="shared" si="92"/>
        <v>35021645.939999998</v>
      </c>
      <c r="E660" s="153"/>
      <c r="F660" s="153"/>
      <c r="G660" s="154">
        <f t="shared" si="94"/>
        <v>35021645.939999998</v>
      </c>
      <c r="H660" s="154"/>
      <c r="I660" s="154">
        <v>0</v>
      </c>
      <c r="J660" s="158"/>
      <c r="K660" s="182">
        <f t="shared" si="93"/>
        <v>-4862990.8262676718</v>
      </c>
      <c r="L660" s="153">
        <v>-741911.21570000006</v>
      </c>
      <c r="M660" s="153"/>
      <c r="N660" s="154">
        <f t="shared" si="95"/>
        <v>-5604902.0419676714</v>
      </c>
      <c r="O660" s="155">
        <f t="shared" si="96"/>
        <v>29416743.898032326</v>
      </c>
      <c r="S660" s="156" t="s">
        <v>338</v>
      </c>
    </row>
    <row r="661" spans="1:19" ht="15" x14ac:dyDescent="0.25">
      <c r="A661" s="150">
        <v>47</v>
      </c>
      <c r="B661" s="150">
        <v>1820</v>
      </c>
      <c r="C661" s="151" t="s">
        <v>117</v>
      </c>
      <c r="D661" s="181">
        <f t="shared" si="92"/>
        <v>146500645.88826352</v>
      </c>
      <c r="E661" s="153">
        <v>41509388.684155554</v>
      </c>
      <c r="F661" s="153">
        <v>-3312079.7800000003</v>
      </c>
      <c r="G661" s="154">
        <f t="shared" si="94"/>
        <v>184697954.79241908</v>
      </c>
      <c r="H661" s="154"/>
      <c r="I661" s="154">
        <v>0</v>
      </c>
      <c r="J661" s="158"/>
      <c r="K661" s="182">
        <f t="shared" si="93"/>
        <v>-26016298.486785155</v>
      </c>
      <c r="L661" s="153">
        <v>-4316190.1006366676</v>
      </c>
      <c r="M661" s="153">
        <v>1484044.5876646577</v>
      </c>
      <c r="N661" s="154">
        <f t="shared" si="95"/>
        <v>-28848443.999757167</v>
      </c>
      <c r="O661" s="155">
        <f t="shared" si="96"/>
        <v>155849510.79266191</v>
      </c>
      <c r="S661" s="156" t="s">
        <v>339</v>
      </c>
    </row>
    <row r="662" spans="1:19" ht="15" x14ac:dyDescent="0.25">
      <c r="A662" s="150"/>
      <c r="B662" s="150">
        <v>1825</v>
      </c>
      <c r="C662" s="151" t="s">
        <v>118</v>
      </c>
      <c r="D662" s="181">
        <f t="shared" si="92"/>
        <v>0</v>
      </c>
      <c r="E662" s="153"/>
      <c r="F662" s="153"/>
      <c r="G662" s="154">
        <f t="shared" si="94"/>
        <v>0</v>
      </c>
      <c r="H662" s="154"/>
      <c r="I662" s="154">
        <v>0</v>
      </c>
      <c r="J662" s="158"/>
      <c r="K662" s="182">
        <f t="shared" si="93"/>
        <v>0</v>
      </c>
      <c r="L662" s="153"/>
      <c r="M662" s="153"/>
      <c r="N662" s="154">
        <f t="shared" si="95"/>
        <v>0</v>
      </c>
      <c r="O662" s="155">
        <f t="shared" si="96"/>
        <v>0</v>
      </c>
      <c r="S662" s="156" t="s">
        <v>340</v>
      </c>
    </row>
    <row r="663" spans="1:19" ht="15" x14ac:dyDescent="0.25">
      <c r="A663" s="150">
        <v>47</v>
      </c>
      <c r="B663" s="150">
        <v>1830</v>
      </c>
      <c r="C663" s="151" t="s">
        <v>119</v>
      </c>
      <c r="D663" s="181">
        <f t="shared" si="92"/>
        <v>247868546.92185494</v>
      </c>
      <c r="E663" s="153">
        <v>28352574.672699999</v>
      </c>
      <c r="F663" s="153">
        <v>-295818.77886207186</v>
      </c>
      <c r="G663" s="154">
        <f t="shared" si="94"/>
        <v>275925302.8156929</v>
      </c>
      <c r="H663" s="154"/>
      <c r="I663" s="154">
        <v>0</v>
      </c>
      <c r="J663" s="158"/>
      <c r="K663" s="182">
        <f t="shared" si="93"/>
        <v>-42521141.416234262</v>
      </c>
      <c r="L663" s="153">
        <v>-6677045.6146579105</v>
      </c>
      <c r="M663" s="153">
        <v>105749.33465625141</v>
      </c>
      <c r="N663" s="154">
        <f t="shared" si="95"/>
        <v>-49092437.696235918</v>
      </c>
      <c r="O663" s="155">
        <f t="shared" si="96"/>
        <v>226832865.11945698</v>
      </c>
      <c r="S663" s="156" t="s">
        <v>341</v>
      </c>
    </row>
    <row r="664" spans="1:19" ht="15" x14ac:dyDescent="0.25">
      <c r="A664" s="150">
        <v>47</v>
      </c>
      <c r="B664" s="150">
        <v>1835</v>
      </c>
      <c r="C664" s="151" t="s">
        <v>120</v>
      </c>
      <c r="D664" s="181">
        <f t="shared" si="92"/>
        <v>172838651.02476507</v>
      </c>
      <c r="E664" s="153">
        <v>27792564.462699998</v>
      </c>
      <c r="F664" s="153">
        <v>-437147.9574323917</v>
      </c>
      <c r="G664" s="154">
        <f t="shared" si="94"/>
        <v>200194067.53003269</v>
      </c>
      <c r="H664" s="154"/>
      <c r="I664" s="154">
        <v>0</v>
      </c>
      <c r="J664" s="158"/>
      <c r="K664" s="182">
        <f t="shared" si="93"/>
        <v>-28034448.971874613</v>
      </c>
      <c r="L664" s="153">
        <v>-4012588.0772326193</v>
      </c>
      <c r="M664" s="153">
        <v>310711.39957352699</v>
      </c>
      <c r="N664" s="154">
        <f t="shared" si="95"/>
        <v>-31736325.649533704</v>
      </c>
      <c r="O664" s="155">
        <f t="shared" si="96"/>
        <v>168457741.88049901</v>
      </c>
      <c r="S664" s="156" t="s">
        <v>342</v>
      </c>
    </row>
    <row r="665" spans="1:19" ht="15" x14ac:dyDescent="0.25">
      <c r="A665" s="150">
        <v>47</v>
      </c>
      <c r="B665" s="150">
        <v>1840</v>
      </c>
      <c r="C665" s="151" t="s">
        <v>121</v>
      </c>
      <c r="D665" s="181">
        <f t="shared" si="92"/>
        <v>101987781.19883697</v>
      </c>
      <c r="E665" s="153">
        <v>9010796.3972000014</v>
      </c>
      <c r="F665" s="153">
        <v>0</v>
      </c>
      <c r="G665" s="154">
        <f t="shared" si="94"/>
        <v>110998577.59603697</v>
      </c>
      <c r="H665" s="154"/>
      <c r="I665" s="154">
        <v>0</v>
      </c>
      <c r="J665" s="158"/>
      <c r="K665" s="182">
        <f t="shared" si="93"/>
        <v>-15081190.244455386</v>
      </c>
      <c r="L665" s="153">
        <v>-1841955.7433022829</v>
      </c>
      <c r="M665" s="153">
        <v>0</v>
      </c>
      <c r="N665" s="154">
        <f t="shared" si="95"/>
        <v>-16923145.987757668</v>
      </c>
      <c r="O665" s="155">
        <f t="shared" si="96"/>
        <v>94075431.608279303</v>
      </c>
      <c r="S665" s="156" t="s">
        <v>343</v>
      </c>
    </row>
    <row r="666" spans="1:19" ht="15" x14ac:dyDescent="0.25">
      <c r="A666" s="150">
        <v>47</v>
      </c>
      <c r="B666" s="150">
        <v>1845</v>
      </c>
      <c r="C666" s="151" t="s">
        <v>122</v>
      </c>
      <c r="D666" s="181">
        <f t="shared" si="92"/>
        <v>170053169.37462434</v>
      </c>
      <c r="E666" s="153">
        <v>27442532.878600001</v>
      </c>
      <c r="F666" s="153">
        <v>-114661.14599517293</v>
      </c>
      <c r="G666" s="154">
        <f t="shared" si="94"/>
        <v>197381041.10722917</v>
      </c>
      <c r="H666" s="154"/>
      <c r="I666" s="154">
        <v>0</v>
      </c>
      <c r="J666" s="158"/>
      <c r="K666" s="182">
        <f t="shared" si="93"/>
        <v>-34644546.659532823</v>
      </c>
      <c r="L666" s="153">
        <v>-5108324.8810189888</v>
      </c>
      <c r="M666" s="153">
        <v>55084.220320289132</v>
      </c>
      <c r="N666" s="154">
        <f t="shared" si="95"/>
        <v>-39697787.32023152</v>
      </c>
      <c r="O666" s="155">
        <f t="shared" si="96"/>
        <v>157683253.78699765</v>
      </c>
      <c r="S666" s="156" t="s">
        <v>344</v>
      </c>
    </row>
    <row r="667" spans="1:19" ht="15" x14ac:dyDescent="0.25">
      <c r="A667" s="150">
        <v>47</v>
      </c>
      <c r="B667" s="150">
        <v>1850</v>
      </c>
      <c r="C667" s="151" t="s">
        <v>123</v>
      </c>
      <c r="D667" s="181">
        <f t="shared" si="92"/>
        <v>101420255.58414593</v>
      </c>
      <c r="E667" s="153">
        <v>6593246.4648000002</v>
      </c>
      <c r="F667" s="153">
        <v>-785465.61500714894</v>
      </c>
      <c r="G667" s="154">
        <f t="shared" si="94"/>
        <v>107228036.43393879</v>
      </c>
      <c r="H667" s="154"/>
      <c r="I667" s="154">
        <v>0</v>
      </c>
      <c r="J667" s="158"/>
      <c r="K667" s="182">
        <f t="shared" si="93"/>
        <v>-33191161.22908067</v>
      </c>
      <c r="L667" s="153">
        <v>-3518431.1437735395</v>
      </c>
      <c r="M667" s="153">
        <v>444369.63624168932</v>
      </c>
      <c r="N667" s="154">
        <f t="shared" si="95"/>
        <v>-36265222.736612521</v>
      </c>
      <c r="O667" s="155">
        <f t="shared" si="96"/>
        <v>70962813.697326273</v>
      </c>
      <c r="S667" s="156" t="s">
        <v>345</v>
      </c>
    </row>
    <row r="668" spans="1:19" ht="15" x14ac:dyDescent="0.25">
      <c r="A668" s="150">
        <v>47</v>
      </c>
      <c r="B668" s="150">
        <v>1855</v>
      </c>
      <c r="C668" s="151" t="s">
        <v>124</v>
      </c>
      <c r="D668" s="181">
        <f t="shared" si="92"/>
        <v>76026967.328980014</v>
      </c>
      <c r="E668" s="153">
        <v>5964738.6140000001</v>
      </c>
      <c r="F668" s="153"/>
      <c r="G668" s="154">
        <f t="shared" si="94"/>
        <v>81991705.942980021</v>
      </c>
      <c r="H668" s="154"/>
      <c r="I668" s="154">
        <v>0</v>
      </c>
      <c r="J668" s="158"/>
      <c r="K668" s="182">
        <f t="shared" si="93"/>
        <v>-17832383.233113226</v>
      </c>
      <c r="L668" s="153">
        <v>-1905307.6078368251</v>
      </c>
      <c r="M668" s="153"/>
      <c r="N668" s="154">
        <f t="shared" si="95"/>
        <v>-19737690.840950049</v>
      </c>
      <c r="O668" s="155">
        <f t="shared" si="96"/>
        <v>62254015.102029972</v>
      </c>
      <c r="S668" s="156" t="s">
        <v>346</v>
      </c>
    </row>
    <row r="669" spans="1:19" ht="15" x14ac:dyDescent="0.25">
      <c r="A669" s="150">
        <v>47</v>
      </c>
      <c r="B669" s="150">
        <v>1860</v>
      </c>
      <c r="C669" s="151" t="s">
        <v>125</v>
      </c>
      <c r="D669" s="181">
        <f t="shared" si="92"/>
        <v>3815462.249264067</v>
      </c>
      <c r="E669" s="153">
        <v>620216.17980000004</v>
      </c>
      <c r="F669" s="153">
        <v>-6537.1953144916197</v>
      </c>
      <c r="G669" s="154">
        <f t="shared" si="94"/>
        <v>4429141.2337495759</v>
      </c>
      <c r="H669" s="154"/>
      <c r="I669" s="154">
        <v>0</v>
      </c>
      <c r="J669" s="158"/>
      <c r="K669" s="182">
        <f t="shared" si="93"/>
        <v>-1573445.6180851641</v>
      </c>
      <c r="L669" s="153">
        <v>-167392.87454691771</v>
      </c>
      <c r="M669" s="153">
        <v>4093.6651159710409</v>
      </c>
      <c r="N669" s="154">
        <f t="shared" si="95"/>
        <v>-1736744.8275161106</v>
      </c>
      <c r="O669" s="155">
        <f t="shared" si="96"/>
        <v>2692396.4062334653</v>
      </c>
      <c r="S669" s="156" t="s">
        <v>347</v>
      </c>
    </row>
    <row r="670" spans="1:19" ht="15" x14ac:dyDescent="0.25">
      <c r="A670" s="150">
        <v>47</v>
      </c>
      <c r="B670" s="150">
        <v>1860</v>
      </c>
      <c r="C670" s="151" t="s">
        <v>126</v>
      </c>
      <c r="D670" s="181">
        <f t="shared" si="92"/>
        <v>32582892.084743481</v>
      </c>
      <c r="E670" s="153">
        <v>7619798.7804000005</v>
      </c>
      <c r="F670" s="153">
        <v>-2182049.9211734268</v>
      </c>
      <c r="G670" s="154">
        <f t="shared" si="94"/>
        <v>38020640.943970054</v>
      </c>
      <c r="H670" s="154"/>
      <c r="I670" s="154">
        <v>0</v>
      </c>
      <c r="J670" s="158"/>
      <c r="K670" s="182">
        <f t="shared" si="93"/>
        <v>-22261360.633674916</v>
      </c>
      <c r="L670" s="153">
        <v>-1422537.408480701</v>
      </c>
      <c r="M670" s="153">
        <v>2166278.147499748</v>
      </c>
      <c r="N670" s="154">
        <f t="shared" si="95"/>
        <v>-21517619.894655868</v>
      </c>
      <c r="O670" s="155">
        <f t="shared" si="96"/>
        <v>16503021.049314186</v>
      </c>
      <c r="S670" s="156" t="s">
        <v>347</v>
      </c>
    </row>
    <row r="671" spans="1:19" ht="15" x14ac:dyDescent="0.25">
      <c r="A671" s="150">
        <v>47</v>
      </c>
      <c r="B671" s="150">
        <v>1865</v>
      </c>
      <c r="C671" s="151" t="s">
        <v>127</v>
      </c>
      <c r="D671" s="181">
        <f t="shared" si="92"/>
        <v>81548.159999999989</v>
      </c>
      <c r="E671" s="153"/>
      <c r="F671" s="153"/>
      <c r="G671" s="154">
        <f t="shared" si="94"/>
        <v>81548.159999999989</v>
      </c>
      <c r="H671" s="154"/>
      <c r="I671" s="154">
        <v>0</v>
      </c>
      <c r="J671" s="158"/>
      <c r="K671" s="182">
        <f t="shared" si="93"/>
        <v>-81548.160000000003</v>
      </c>
      <c r="L671" s="153"/>
      <c r="M671" s="153"/>
      <c r="N671" s="154">
        <f t="shared" si="95"/>
        <v>-81548.160000000003</v>
      </c>
      <c r="O671" s="155">
        <f t="shared" si="96"/>
        <v>0</v>
      </c>
      <c r="S671" s="156"/>
    </row>
    <row r="672" spans="1:19" ht="15" x14ac:dyDescent="0.25">
      <c r="A672" s="150" t="s">
        <v>109</v>
      </c>
      <c r="B672" s="150">
        <v>1905</v>
      </c>
      <c r="C672" s="151" t="s">
        <v>113</v>
      </c>
      <c r="D672" s="181">
        <f t="shared" si="92"/>
        <v>1195031.2999999998</v>
      </c>
      <c r="E672" s="153"/>
      <c r="F672" s="153"/>
      <c r="G672" s="154">
        <f t="shared" si="94"/>
        <v>1195031.2999999998</v>
      </c>
      <c r="H672" s="154"/>
      <c r="I672" s="154">
        <v>0</v>
      </c>
      <c r="J672" s="158"/>
      <c r="K672" s="182">
        <f t="shared" si="93"/>
        <v>0</v>
      </c>
      <c r="L672" s="153"/>
      <c r="M672" s="153"/>
      <c r="N672" s="154">
        <f t="shared" si="95"/>
        <v>0</v>
      </c>
      <c r="O672" s="155">
        <f t="shared" si="96"/>
        <v>1195031.2999999998</v>
      </c>
      <c r="S672" s="156" t="s">
        <v>348</v>
      </c>
    </row>
    <row r="673" spans="1:19" ht="15" x14ac:dyDescent="0.25">
      <c r="A673" s="150">
        <v>1</v>
      </c>
      <c r="B673" s="150">
        <v>1908</v>
      </c>
      <c r="C673" s="151" t="s">
        <v>128</v>
      </c>
      <c r="D673" s="181">
        <f t="shared" si="92"/>
        <v>35844714.329999998</v>
      </c>
      <c r="E673" s="153">
        <v>5418315.7800000003</v>
      </c>
      <c r="F673" s="153"/>
      <c r="G673" s="154">
        <f t="shared" si="94"/>
        <v>41263030.109999999</v>
      </c>
      <c r="H673" s="154"/>
      <c r="I673" s="154">
        <v>0</v>
      </c>
      <c r="J673" s="158"/>
      <c r="K673" s="182">
        <f t="shared" si="93"/>
        <v>-18667896.972669497</v>
      </c>
      <c r="L673" s="153">
        <v>-1379566.3980514156</v>
      </c>
      <c r="M673" s="153"/>
      <c r="N673" s="154">
        <f t="shared" si="95"/>
        <v>-20047463.370720912</v>
      </c>
      <c r="O673" s="155">
        <f t="shared" si="96"/>
        <v>21215566.739279088</v>
      </c>
      <c r="S673" s="156" t="s">
        <v>349</v>
      </c>
    </row>
    <row r="674" spans="1:19" ht="15" x14ac:dyDescent="0.25">
      <c r="A674" s="150"/>
      <c r="B674" s="150">
        <v>1910</v>
      </c>
      <c r="C674" s="151" t="s">
        <v>115</v>
      </c>
      <c r="D674" s="181">
        <f t="shared" si="92"/>
        <v>0</v>
      </c>
      <c r="E674" s="153"/>
      <c r="F674" s="153"/>
      <c r="G674" s="154">
        <f t="shared" si="94"/>
        <v>0</v>
      </c>
      <c r="H674" s="154"/>
      <c r="I674" s="154">
        <v>0</v>
      </c>
      <c r="J674" s="158"/>
      <c r="K674" s="182">
        <f t="shared" si="93"/>
        <v>0</v>
      </c>
      <c r="L674" s="153"/>
      <c r="M674" s="153"/>
      <c r="N674" s="154">
        <f t="shared" si="95"/>
        <v>0</v>
      </c>
      <c r="O674" s="155">
        <f t="shared" si="96"/>
        <v>0</v>
      </c>
      <c r="S674" s="156" t="s">
        <v>350</v>
      </c>
    </row>
    <row r="675" spans="1:19" ht="15" x14ac:dyDescent="0.25">
      <c r="A675" s="150">
        <v>8</v>
      </c>
      <c r="B675" s="150">
        <v>1915</v>
      </c>
      <c r="C675" s="151" t="s">
        <v>129</v>
      </c>
      <c r="D675" s="181">
        <f t="shared" si="92"/>
        <v>6598472.2799999993</v>
      </c>
      <c r="E675" s="153"/>
      <c r="F675" s="153"/>
      <c r="G675" s="154">
        <f t="shared" si="94"/>
        <v>6598472.2799999993</v>
      </c>
      <c r="H675" s="154"/>
      <c r="I675" s="154">
        <v>0</v>
      </c>
      <c r="J675" s="158"/>
      <c r="K675" s="182">
        <f t="shared" si="93"/>
        <v>-3074745.5729010962</v>
      </c>
      <c r="L675" s="153">
        <v>-455502.98757671239</v>
      </c>
      <c r="M675" s="153"/>
      <c r="N675" s="154">
        <f t="shared" si="95"/>
        <v>-3530248.5604778086</v>
      </c>
      <c r="O675" s="155">
        <f t="shared" si="96"/>
        <v>3068223.7195221907</v>
      </c>
      <c r="S675" s="156" t="s">
        <v>351</v>
      </c>
    </row>
    <row r="676" spans="1:19" ht="15" x14ac:dyDescent="0.25">
      <c r="A676" s="150"/>
      <c r="B676" s="150">
        <v>1915</v>
      </c>
      <c r="C676" s="151" t="s">
        <v>130</v>
      </c>
      <c r="D676" s="181">
        <f t="shared" si="92"/>
        <v>0</v>
      </c>
      <c r="E676" s="153"/>
      <c r="F676" s="153"/>
      <c r="G676" s="154">
        <f t="shared" si="94"/>
        <v>0</v>
      </c>
      <c r="H676" s="154"/>
      <c r="I676" s="154">
        <v>0</v>
      </c>
      <c r="J676" s="158"/>
      <c r="K676" s="182">
        <f t="shared" si="93"/>
        <v>0</v>
      </c>
      <c r="L676" s="153"/>
      <c r="M676" s="153"/>
      <c r="N676" s="154">
        <f t="shared" si="95"/>
        <v>0</v>
      </c>
      <c r="O676" s="155">
        <f t="shared" si="96"/>
        <v>0</v>
      </c>
      <c r="S676" s="156" t="s">
        <v>351</v>
      </c>
    </row>
    <row r="677" spans="1:19" ht="15" x14ac:dyDescent="0.25">
      <c r="A677" s="150">
        <v>50</v>
      </c>
      <c r="B677" s="150">
        <v>1920</v>
      </c>
      <c r="C677" s="151" t="s">
        <v>131</v>
      </c>
      <c r="D677" s="181">
        <f t="shared" si="92"/>
        <v>25060965.109999999</v>
      </c>
      <c r="E677" s="153">
        <v>3466580.74</v>
      </c>
      <c r="F677" s="153"/>
      <c r="G677" s="154">
        <f t="shared" si="94"/>
        <v>28527545.850000001</v>
      </c>
      <c r="H677" s="154"/>
      <c r="I677" s="154">
        <v>0</v>
      </c>
      <c r="J677" s="158"/>
      <c r="K677" s="182">
        <f t="shared" si="93"/>
        <v>-19080264.765016071</v>
      </c>
      <c r="L677" s="153">
        <v>-2555441.4517839267</v>
      </c>
      <c r="M677" s="153"/>
      <c r="N677" s="154">
        <f t="shared" si="95"/>
        <v>-21635706.216799997</v>
      </c>
      <c r="O677" s="155">
        <f t="shared" si="96"/>
        <v>6891839.6332000047</v>
      </c>
      <c r="S677" s="156" t="s">
        <v>352</v>
      </c>
    </row>
    <row r="678" spans="1:19" ht="15" x14ac:dyDescent="0.25">
      <c r="A678" s="150"/>
      <c r="B678" s="150">
        <v>1920</v>
      </c>
      <c r="C678" s="151" t="s">
        <v>132</v>
      </c>
      <c r="D678" s="181">
        <f t="shared" si="92"/>
        <v>0</v>
      </c>
      <c r="E678" s="153"/>
      <c r="F678" s="153"/>
      <c r="G678" s="154">
        <f t="shared" si="94"/>
        <v>0</v>
      </c>
      <c r="H678" s="154"/>
      <c r="I678" s="154">
        <v>0</v>
      </c>
      <c r="J678" s="158"/>
      <c r="K678" s="182">
        <f t="shared" si="93"/>
        <v>0</v>
      </c>
      <c r="L678" s="153"/>
      <c r="M678" s="153"/>
      <c r="N678" s="154">
        <f t="shared" si="95"/>
        <v>0</v>
      </c>
      <c r="O678" s="155">
        <f t="shared" si="96"/>
        <v>0</v>
      </c>
      <c r="S678" s="156" t="s">
        <v>352</v>
      </c>
    </row>
    <row r="679" spans="1:19" ht="15" x14ac:dyDescent="0.25">
      <c r="A679" s="150"/>
      <c r="B679" s="150">
        <v>1920</v>
      </c>
      <c r="C679" s="151" t="s">
        <v>133</v>
      </c>
      <c r="D679" s="181">
        <f t="shared" si="92"/>
        <v>0</v>
      </c>
      <c r="E679" s="153"/>
      <c r="F679" s="153"/>
      <c r="G679" s="154">
        <f t="shared" si="94"/>
        <v>0</v>
      </c>
      <c r="H679" s="154"/>
      <c r="I679" s="154">
        <v>0</v>
      </c>
      <c r="J679" s="158"/>
      <c r="K679" s="182">
        <f t="shared" si="93"/>
        <v>0</v>
      </c>
      <c r="L679" s="153"/>
      <c r="M679" s="153"/>
      <c r="N679" s="154">
        <f t="shared" si="95"/>
        <v>0</v>
      </c>
      <c r="O679" s="155">
        <f t="shared" si="96"/>
        <v>0</v>
      </c>
      <c r="S679" s="156" t="s">
        <v>352</v>
      </c>
    </row>
    <row r="680" spans="1:19" ht="15" x14ac:dyDescent="0.25">
      <c r="A680" s="150">
        <v>10</v>
      </c>
      <c r="B680" s="150">
        <v>1930</v>
      </c>
      <c r="C680" s="151" t="s">
        <v>134</v>
      </c>
      <c r="D680" s="181">
        <f t="shared" si="92"/>
        <v>27469059.670000002</v>
      </c>
      <c r="E680" s="153">
        <v>4637444</v>
      </c>
      <c r="F680" s="153"/>
      <c r="G680" s="154">
        <f t="shared" si="94"/>
        <v>32106503.670000002</v>
      </c>
      <c r="H680" s="154"/>
      <c r="I680" s="154">
        <v>0</v>
      </c>
      <c r="J680" s="158"/>
      <c r="K680" s="182">
        <f t="shared" si="93"/>
        <v>-14247998.163908767</v>
      </c>
      <c r="L680" s="153">
        <v>-2163326.9344000909</v>
      </c>
      <c r="M680" s="153"/>
      <c r="N680" s="154">
        <f t="shared" si="95"/>
        <v>-16411325.098308858</v>
      </c>
      <c r="O680" s="155">
        <f t="shared" si="96"/>
        <v>15695178.571691144</v>
      </c>
      <c r="S680" s="156" t="s">
        <v>353</v>
      </c>
    </row>
    <row r="681" spans="1:19" ht="15" x14ac:dyDescent="0.25">
      <c r="A681" s="150">
        <v>8</v>
      </c>
      <c r="B681" s="150">
        <v>1935</v>
      </c>
      <c r="C681" s="151" t="s">
        <v>135</v>
      </c>
      <c r="D681" s="181">
        <f t="shared" si="92"/>
        <v>108757.92</v>
      </c>
      <c r="E681" s="153"/>
      <c r="F681" s="153"/>
      <c r="G681" s="154">
        <f t="shared" si="94"/>
        <v>108757.92</v>
      </c>
      <c r="H681" s="154"/>
      <c r="I681" s="154">
        <v>0</v>
      </c>
      <c r="J681" s="158"/>
      <c r="K681" s="182">
        <f t="shared" si="93"/>
        <v>-108757.92000000001</v>
      </c>
      <c r="L681" s="153"/>
      <c r="M681" s="153"/>
      <c r="N681" s="154">
        <f t="shared" si="95"/>
        <v>-108757.92000000001</v>
      </c>
      <c r="O681" s="155">
        <f t="shared" si="96"/>
        <v>0</v>
      </c>
      <c r="S681" s="156" t="s">
        <v>354</v>
      </c>
    </row>
    <row r="682" spans="1:19" ht="15" x14ac:dyDescent="0.25">
      <c r="A682" s="150">
        <v>8</v>
      </c>
      <c r="B682" s="150">
        <v>1940</v>
      </c>
      <c r="C682" s="151" t="s">
        <v>136</v>
      </c>
      <c r="D682" s="181">
        <f t="shared" si="92"/>
        <v>7018996.981230001</v>
      </c>
      <c r="E682" s="153">
        <v>1351163.88</v>
      </c>
      <c r="F682" s="153"/>
      <c r="G682" s="154">
        <f t="shared" si="94"/>
        <v>8370160.8612300009</v>
      </c>
      <c r="H682" s="154"/>
      <c r="I682" s="154">
        <v>0</v>
      </c>
      <c r="J682" s="158"/>
      <c r="K682" s="182">
        <f t="shared" si="93"/>
        <v>-3785190.8026883216</v>
      </c>
      <c r="L682" s="153">
        <v>-539097.28207121918</v>
      </c>
      <c r="M682" s="153"/>
      <c r="N682" s="154">
        <f t="shared" si="95"/>
        <v>-4324288.0847595409</v>
      </c>
      <c r="O682" s="155">
        <f t="shared" si="96"/>
        <v>4045872.77647046</v>
      </c>
      <c r="S682" s="156" t="s">
        <v>355</v>
      </c>
    </row>
    <row r="683" spans="1:19" ht="15" x14ac:dyDescent="0.25">
      <c r="A683" s="150">
        <v>8</v>
      </c>
      <c r="B683" s="150">
        <v>1945</v>
      </c>
      <c r="C683" s="151" t="s">
        <v>137</v>
      </c>
      <c r="D683" s="181">
        <f t="shared" si="92"/>
        <v>189615.94446999999</v>
      </c>
      <c r="E683" s="153"/>
      <c r="F683" s="153"/>
      <c r="G683" s="154">
        <f t="shared" si="94"/>
        <v>189615.94446999999</v>
      </c>
      <c r="H683" s="154"/>
      <c r="I683" s="154">
        <v>0</v>
      </c>
      <c r="J683" s="158"/>
      <c r="K683" s="182">
        <f t="shared" si="93"/>
        <v>-180920.45484023975</v>
      </c>
      <c r="L683" s="153">
        <v>-2634.1202470000003</v>
      </c>
      <c r="M683" s="153"/>
      <c r="N683" s="154">
        <f t="shared" si="95"/>
        <v>-183554.57508723976</v>
      </c>
      <c r="O683" s="155">
        <f t="shared" si="96"/>
        <v>6061.3693827602256</v>
      </c>
      <c r="S683" s="156" t="s">
        <v>356</v>
      </c>
    </row>
    <row r="684" spans="1:19" ht="15" x14ac:dyDescent="0.25">
      <c r="A684" s="150"/>
      <c r="B684" s="150">
        <v>1950</v>
      </c>
      <c r="C684" s="151" t="s">
        <v>138</v>
      </c>
      <c r="D684" s="181">
        <f t="shared" si="92"/>
        <v>0</v>
      </c>
      <c r="E684" s="153"/>
      <c r="F684" s="153"/>
      <c r="G684" s="154">
        <f t="shared" si="94"/>
        <v>0</v>
      </c>
      <c r="H684" s="154"/>
      <c r="I684" s="154">
        <v>0</v>
      </c>
      <c r="J684" s="158"/>
      <c r="K684" s="182">
        <f t="shared" si="93"/>
        <v>0</v>
      </c>
      <c r="L684" s="153"/>
      <c r="M684" s="153"/>
      <c r="N684" s="154">
        <f t="shared" si="95"/>
        <v>0</v>
      </c>
      <c r="O684" s="155">
        <f t="shared" si="96"/>
        <v>0</v>
      </c>
      <c r="S684" s="156" t="s">
        <v>357</v>
      </c>
    </row>
    <row r="685" spans="1:19" ht="15" x14ac:dyDescent="0.25">
      <c r="A685" s="150">
        <v>8</v>
      </c>
      <c r="B685" s="150">
        <v>1955</v>
      </c>
      <c r="C685" s="151" t="s">
        <v>139</v>
      </c>
      <c r="D685" s="181">
        <f t="shared" si="92"/>
        <v>2325931.7399999993</v>
      </c>
      <c r="E685" s="153"/>
      <c r="F685" s="153"/>
      <c r="G685" s="154">
        <f t="shared" si="94"/>
        <v>2325931.7399999993</v>
      </c>
      <c r="H685" s="154"/>
      <c r="I685" s="154">
        <v>0</v>
      </c>
      <c r="J685" s="158"/>
      <c r="K685" s="182">
        <f t="shared" si="93"/>
        <v>-2185964.8712936984</v>
      </c>
      <c r="L685" s="153">
        <v>-48180.180200000003</v>
      </c>
      <c r="M685" s="153"/>
      <c r="N685" s="154">
        <f t="shared" si="95"/>
        <v>-2234145.0514936983</v>
      </c>
      <c r="O685" s="155">
        <f t="shared" si="96"/>
        <v>91786.688506301027</v>
      </c>
      <c r="S685" s="156" t="s">
        <v>358</v>
      </c>
    </row>
    <row r="686" spans="1:19" ht="15" x14ac:dyDescent="0.25">
      <c r="A686" s="150"/>
      <c r="B686" s="150">
        <v>1955</v>
      </c>
      <c r="C686" s="151" t="s">
        <v>140</v>
      </c>
      <c r="D686" s="181">
        <f t="shared" si="92"/>
        <v>0</v>
      </c>
      <c r="E686" s="153"/>
      <c r="F686" s="153"/>
      <c r="G686" s="154">
        <f t="shared" si="94"/>
        <v>0</v>
      </c>
      <c r="H686" s="154"/>
      <c r="I686" s="154">
        <v>0</v>
      </c>
      <c r="J686" s="158"/>
      <c r="K686" s="182">
        <f t="shared" si="93"/>
        <v>0</v>
      </c>
      <c r="L686" s="153"/>
      <c r="M686" s="153"/>
      <c r="N686" s="154">
        <f t="shared" si="95"/>
        <v>0</v>
      </c>
      <c r="O686" s="155">
        <f t="shared" si="96"/>
        <v>0</v>
      </c>
      <c r="S686" s="156" t="s">
        <v>358</v>
      </c>
    </row>
    <row r="687" spans="1:19" ht="15" x14ac:dyDescent="0.25">
      <c r="A687" s="150">
        <v>8</v>
      </c>
      <c r="B687" s="150">
        <v>1960</v>
      </c>
      <c r="C687" s="151" t="s">
        <v>141</v>
      </c>
      <c r="D687" s="181">
        <f t="shared" si="92"/>
        <v>470214.34999999992</v>
      </c>
      <c r="E687" s="153"/>
      <c r="F687" s="153"/>
      <c r="G687" s="154">
        <f t="shared" si="94"/>
        <v>470214.34999999992</v>
      </c>
      <c r="H687" s="154"/>
      <c r="I687" s="154">
        <v>0</v>
      </c>
      <c r="J687" s="158"/>
      <c r="K687" s="182">
        <f t="shared" si="93"/>
        <v>-446567.66726246569</v>
      </c>
      <c r="L687" s="153">
        <v>-11837.189690410958</v>
      </c>
      <c r="M687" s="153"/>
      <c r="N687" s="154">
        <f t="shared" si="95"/>
        <v>-458404.85695287667</v>
      </c>
      <c r="O687" s="155">
        <f t="shared" si="96"/>
        <v>11809.493047123251</v>
      </c>
      <c r="S687" s="156" t="s">
        <v>359</v>
      </c>
    </row>
    <row r="688" spans="1:19" ht="15" x14ac:dyDescent="0.25">
      <c r="A688" s="150"/>
      <c r="B688" s="150">
        <v>1970</v>
      </c>
      <c r="C688" s="151" t="s">
        <v>142</v>
      </c>
      <c r="D688" s="181">
        <f t="shared" si="92"/>
        <v>0</v>
      </c>
      <c r="E688" s="153"/>
      <c r="F688" s="153"/>
      <c r="G688" s="154">
        <f t="shared" si="94"/>
        <v>0</v>
      </c>
      <c r="H688" s="154"/>
      <c r="I688" s="154">
        <v>0</v>
      </c>
      <c r="J688" s="158"/>
      <c r="K688" s="182">
        <f t="shared" si="93"/>
        <v>0</v>
      </c>
      <c r="L688" s="153"/>
      <c r="M688" s="153"/>
      <c r="N688" s="154">
        <f t="shared" si="95"/>
        <v>0</v>
      </c>
      <c r="O688" s="155">
        <f t="shared" si="96"/>
        <v>0</v>
      </c>
      <c r="S688" s="156" t="s">
        <v>360</v>
      </c>
    </row>
    <row r="689" spans="1:19" ht="15" x14ac:dyDescent="0.25">
      <c r="A689" s="150"/>
      <c r="B689" s="150">
        <v>1975</v>
      </c>
      <c r="C689" s="151" t="s">
        <v>143</v>
      </c>
      <c r="D689" s="181">
        <f t="shared" si="92"/>
        <v>0</v>
      </c>
      <c r="E689" s="153"/>
      <c r="F689" s="153"/>
      <c r="G689" s="154">
        <f t="shared" si="94"/>
        <v>0</v>
      </c>
      <c r="H689" s="154"/>
      <c r="I689" s="154">
        <v>0</v>
      </c>
      <c r="J689" s="158"/>
      <c r="K689" s="182">
        <f t="shared" si="93"/>
        <v>0</v>
      </c>
      <c r="L689" s="153"/>
      <c r="M689" s="153"/>
      <c r="N689" s="154">
        <f t="shared" si="95"/>
        <v>0</v>
      </c>
      <c r="O689" s="155">
        <f t="shared" si="96"/>
        <v>0</v>
      </c>
      <c r="S689" s="156" t="s">
        <v>361</v>
      </c>
    </row>
    <row r="690" spans="1:19" ht="15" x14ac:dyDescent="0.25">
      <c r="A690" s="150">
        <v>8</v>
      </c>
      <c r="B690" s="150">
        <v>1980</v>
      </c>
      <c r="C690" s="151" t="s">
        <v>144</v>
      </c>
      <c r="D690" s="181">
        <f t="shared" si="92"/>
        <v>13338568.462690961</v>
      </c>
      <c r="E690" s="153">
        <v>1580667.3056444447</v>
      </c>
      <c r="F690" s="153">
        <v>-24835.199999999997</v>
      </c>
      <c r="G690" s="154">
        <f t="shared" si="94"/>
        <v>14894400.568335406</v>
      </c>
      <c r="H690" s="154"/>
      <c r="I690" s="154">
        <v>0</v>
      </c>
      <c r="J690" s="158"/>
      <c r="K690" s="182">
        <f t="shared" si="93"/>
        <v>-7957603.6275712764</v>
      </c>
      <c r="L690" s="153">
        <v>-715800.8879771349</v>
      </c>
      <c r="M690" s="153">
        <v>19403.256174246577</v>
      </c>
      <c r="N690" s="154">
        <f t="shared" si="95"/>
        <v>-8654001.2593741659</v>
      </c>
      <c r="O690" s="155">
        <f t="shared" si="96"/>
        <v>6240399.3089612406</v>
      </c>
      <c r="S690" s="156" t="s">
        <v>362</v>
      </c>
    </row>
    <row r="691" spans="1:19" ht="15" x14ac:dyDescent="0.25">
      <c r="A691" s="150"/>
      <c r="B691" s="150">
        <v>1985</v>
      </c>
      <c r="C691" s="151" t="s">
        <v>145</v>
      </c>
      <c r="D691" s="181">
        <f t="shared" si="92"/>
        <v>0</v>
      </c>
      <c r="E691" s="153"/>
      <c r="F691" s="153"/>
      <c r="G691" s="154">
        <f t="shared" si="94"/>
        <v>0</v>
      </c>
      <c r="H691" s="154"/>
      <c r="I691" s="154">
        <v>0</v>
      </c>
      <c r="J691" s="158"/>
      <c r="K691" s="182">
        <f t="shared" si="93"/>
        <v>0</v>
      </c>
      <c r="L691" s="153"/>
      <c r="M691" s="153"/>
      <c r="N691" s="154">
        <f t="shared" si="95"/>
        <v>0</v>
      </c>
      <c r="O691" s="155">
        <f t="shared" si="96"/>
        <v>0</v>
      </c>
      <c r="S691" s="156" t="s">
        <v>363</v>
      </c>
    </row>
    <row r="692" spans="1:19" ht="15" x14ac:dyDescent="0.25">
      <c r="A692" s="150"/>
      <c r="B692" s="150">
        <v>1990</v>
      </c>
      <c r="C692" s="159" t="s">
        <v>146</v>
      </c>
      <c r="D692" s="181">
        <f t="shared" si="92"/>
        <v>0</v>
      </c>
      <c r="E692" s="153"/>
      <c r="F692" s="153"/>
      <c r="G692" s="154">
        <f t="shared" si="94"/>
        <v>0</v>
      </c>
      <c r="H692" s="154"/>
      <c r="I692" s="154">
        <v>0</v>
      </c>
      <c r="J692" s="158"/>
      <c r="K692" s="182">
        <f t="shared" si="93"/>
        <v>0</v>
      </c>
      <c r="L692" s="153"/>
      <c r="M692" s="153"/>
      <c r="N692" s="154">
        <f t="shared" si="95"/>
        <v>0</v>
      </c>
      <c r="O692" s="155">
        <f t="shared" si="96"/>
        <v>0</v>
      </c>
      <c r="S692" s="156" t="s">
        <v>364</v>
      </c>
    </row>
    <row r="693" spans="1:19" ht="15" x14ac:dyDescent="0.25">
      <c r="A693" s="150"/>
      <c r="B693" s="150">
        <v>1995</v>
      </c>
      <c r="C693" s="151" t="s">
        <v>147</v>
      </c>
      <c r="D693" s="181">
        <f t="shared" si="92"/>
        <v>0</v>
      </c>
      <c r="E693" s="153"/>
      <c r="F693" s="153"/>
      <c r="G693" s="154">
        <f t="shared" si="94"/>
        <v>0</v>
      </c>
      <c r="H693" s="154"/>
      <c r="I693" s="154">
        <v>0</v>
      </c>
      <c r="J693" s="158"/>
      <c r="K693" s="182">
        <f t="shared" si="93"/>
        <v>0</v>
      </c>
      <c r="L693" s="153"/>
      <c r="M693" s="153"/>
      <c r="N693" s="154">
        <f t="shared" si="95"/>
        <v>0</v>
      </c>
      <c r="O693" s="155">
        <f t="shared" si="96"/>
        <v>0</v>
      </c>
      <c r="S693" s="156" t="s">
        <v>365</v>
      </c>
    </row>
    <row r="694" spans="1:19" ht="15" x14ac:dyDescent="0.25">
      <c r="A694" s="150">
        <v>43.2</v>
      </c>
      <c r="B694" s="150">
        <v>2075</v>
      </c>
      <c r="C694" s="151" t="s">
        <v>148</v>
      </c>
      <c r="D694" s="181">
        <f t="shared" si="92"/>
        <v>1251765.9099999997</v>
      </c>
      <c r="E694" s="153"/>
      <c r="F694" s="153"/>
      <c r="G694" s="154">
        <f t="shared" si="94"/>
        <v>1251765.9099999997</v>
      </c>
      <c r="H694" s="154"/>
      <c r="I694" s="154">
        <v>0</v>
      </c>
      <c r="J694" s="158"/>
      <c r="K694" s="182">
        <f t="shared" si="93"/>
        <v>-797520.78930383583</v>
      </c>
      <c r="L694" s="153">
        <v>-52509.521900000007</v>
      </c>
      <c r="M694" s="153"/>
      <c r="N694" s="154">
        <f t="shared" si="95"/>
        <v>-850030.31120383588</v>
      </c>
      <c r="O694" s="155">
        <f t="shared" si="96"/>
        <v>401735.5987961638</v>
      </c>
      <c r="S694" s="156"/>
    </row>
    <row r="695" spans="1:19" ht="15" x14ac:dyDescent="0.25">
      <c r="A695" s="150">
        <v>47</v>
      </c>
      <c r="B695" s="150">
        <v>2440</v>
      </c>
      <c r="C695" s="151" t="s">
        <v>149</v>
      </c>
      <c r="D695" s="181">
        <f t="shared" si="92"/>
        <v>-292114278.97684109</v>
      </c>
      <c r="E695" s="153">
        <v>-36078284.280000001</v>
      </c>
      <c r="F695" s="153">
        <v>90444.90003256622</v>
      </c>
      <c r="G695" s="154">
        <f t="shared" si="94"/>
        <v>-328102118.35680848</v>
      </c>
      <c r="H695" s="154"/>
      <c r="I695" s="154">
        <v>0</v>
      </c>
      <c r="K695" s="181">
        <f t="shared" si="93"/>
        <v>38436484.854824506</v>
      </c>
      <c r="L695" s="153">
        <v>7677587.5838314444</v>
      </c>
      <c r="M695" s="153">
        <v>-21893.408366112577</v>
      </c>
      <c r="N695" s="154">
        <f t="shared" si="95"/>
        <v>46092179.030289836</v>
      </c>
      <c r="O695" s="155">
        <f t="shared" si="96"/>
        <v>-282009939.32651865</v>
      </c>
      <c r="S695" s="156" t="s">
        <v>366</v>
      </c>
    </row>
    <row r="696" spans="1:19" ht="15" x14ac:dyDescent="0.25">
      <c r="A696" s="160" t="s">
        <v>109</v>
      </c>
      <c r="B696" s="160">
        <v>2005</v>
      </c>
      <c r="C696" s="161" t="s">
        <v>150</v>
      </c>
      <c r="D696" s="181">
        <f t="shared" si="92"/>
        <v>1949864.7900000003</v>
      </c>
      <c r="E696" s="153">
        <v>0</v>
      </c>
      <c r="F696" s="162"/>
      <c r="G696" s="154">
        <f t="shared" si="94"/>
        <v>1949864.7900000003</v>
      </c>
      <c r="H696" s="154"/>
      <c r="I696" s="154">
        <v>0</v>
      </c>
      <c r="K696" s="181">
        <f t="shared" si="93"/>
        <v>-1949864.7899999998</v>
      </c>
      <c r="L696" s="162"/>
      <c r="M696" s="162"/>
      <c r="N696" s="154">
        <f t="shared" si="95"/>
        <v>-1949864.7899999998</v>
      </c>
      <c r="O696" s="155">
        <f t="shared" si="96"/>
        <v>0</v>
      </c>
      <c r="S696" s="156" t="s">
        <v>367</v>
      </c>
    </row>
    <row r="697" spans="1:19" x14ac:dyDescent="0.2">
      <c r="A697" s="160"/>
      <c r="B697" s="160"/>
      <c r="C697" s="164" t="s">
        <v>20</v>
      </c>
      <c r="D697" s="165">
        <f>SUM(D653:D696)</f>
        <v>990782198.67311823</v>
      </c>
      <c r="E697" s="165">
        <f>SUM(E653:E696)</f>
        <v>137217467.72</v>
      </c>
      <c r="F697" s="165">
        <f>SUM(F653:F696)</f>
        <v>-7068150.6937521379</v>
      </c>
      <c r="G697" s="165">
        <f>SUM(G653:G696)</f>
        <v>1120931515.6993659</v>
      </c>
      <c r="H697" s="165"/>
      <c r="I697" s="165">
        <f>SUM(I653:I696)</f>
        <v>0</v>
      </c>
      <c r="J697" s="167"/>
      <c r="K697" s="165">
        <f>SUM(K653:K696)</f>
        <v>-299441103.62127101</v>
      </c>
      <c r="L697" s="165">
        <f>SUM(L653:L696)</f>
        <v>-33348328.984544285</v>
      </c>
      <c r="M697" s="165">
        <f>SUM(M653:M696)</f>
        <v>4567840.838880267</v>
      </c>
      <c r="N697" s="165">
        <f>SUM(N653:N696)</f>
        <v>-328221591.76693505</v>
      </c>
      <c r="O697" s="165">
        <f>SUM(O653:O696)</f>
        <v>792709923.9324311</v>
      </c>
    </row>
    <row r="698" spans="1:19" ht="25.5" x14ac:dyDescent="0.25">
      <c r="A698" s="160"/>
      <c r="B698" s="160"/>
      <c r="C698" s="168" t="s">
        <v>151</v>
      </c>
      <c r="D698" s="183">
        <f>G631</f>
        <v>-675735.92449999996</v>
      </c>
      <c r="E698" s="162"/>
      <c r="F698" s="162"/>
      <c r="G698" s="154">
        <f>D698+E698+F698</f>
        <v>-675735.92449999996</v>
      </c>
      <c r="H698" s="154"/>
      <c r="I698" s="154"/>
      <c r="K698" s="178">
        <f>N631</f>
        <v>461693.97606727394</v>
      </c>
      <c r="L698" s="153">
        <v>35751.913254999992</v>
      </c>
      <c r="M698" s="162"/>
      <c r="N698" s="154">
        <f>K698+L698+M698</f>
        <v>497445.8893222739</v>
      </c>
      <c r="O698" s="155">
        <f>G698+N698</f>
        <v>-178290.03517772607</v>
      </c>
    </row>
    <row r="699" spans="1:19" ht="24.75" x14ac:dyDescent="0.25">
      <c r="A699" s="160"/>
      <c r="B699" s="160"/>
      <c r="C699" s="169" t="s">
        <v>152</v>
      </c>
      <c r="D699" s="183">
        <f>G632</f>
        <v>-1251765.9099999997</v>
      </c>
      <c r="E699" s="162"/>
      <c r="F699" s="162"/>
      <c r="G699" s="154">
        <f>D699+E699+F699</f>
        <v>-1251765.9099999997</v>
      </c>
      <c r="H699" s="154"/>
      <c r="I699" s="154"/>
      <c r="K699" s="178">
        <f>N632</f>
        <v>797520.78930383583</v>
      </c>
      <c r="L699" s="153">
        <f>-L694</f>
        <v>52509.521900000007</v>
      </c>
      <c r="M699" s="162"/>
      <c r="N699" s="154">
        <f>K699+L699+M699</f>
        <v>850030.31120383588</v>
      </c>
      <c r="O699" s="155">
        <f>G699+N699</f>
        <v>-401735.5987961638</v>
      </c>
    </row>
    <row r="700" spans="1:19" ht="15" x14ac:dyDescent="0.25">
      <c r="A700" s="160"/>
      <c r="B700" s="160"/>
      <c r="C700" s="164" t="s">
        <v>153</v>
      </c>
      <c r="D700" s="165">
        <f>SUM(D697:D699)</f>
        <v>988854696.83861828</v>
      </c>
      <c r="E700" s="165">
        <f>SUM(E697:E699)</f>
        <v>137217467.72</v>
      </c>
      <c r="F700" s="165">
        <f>SUM(F697:F699)</f>
        <v>-7068150.6937521379</v>
      </c>
      <c r="G700" s="165">
        <f>SUM(G697:G699)</f>
        <v>1119004013.8648658</v>
      </c>
      <c r="H700" s="165"/>
      <c r="I700" s="154"/>
      <c r="J700" s="167"/>
      <c r="K700" s="165">
        <f>SUM(K697:K699)</f>
        <v>-298181888.85589993</v>
      </c>
      <c r="L700" s="165">
        <f>SUM(L697:L699)</f>
        <v>-33260067.549389288</v>
      </c>
      <c r="M700" s="165">
        <f>SUM(M697:M699)</f>
        <v>4567840.838880267</v>
      </c>
      <c r="N700" s="165">
        <f>SUM(N697:N699)</f>
        <v>-326874115.56640893</v>
      </c>
      <c r="O700" s="165">
        <f>SUM(O697:O699)</f>
        <v>792129898.29845726</v>
      </c>
    </row>
    <row r="701" spans="1:19" ht="15" x14ac:dyDescent="0.25">
      <c r="A701" s="160"/>
      <c r="B701" s="160"/>
      <c r="C701" s="170" t="s">
        <v>154</v>
      </c>
      <c r="D701" s="183">
        <f>G634</f>
        <v>133692973.34721996</v>
      </c>
      <c r="E701" s="153">
        <f>9725576.89000002+2794329.34</f>
        <v>12519906.230000019</v>
      </c>
      <c r="F701" s="153"/>
      <c r="G701" s="154">
        <f t="shared" ref="G701" si="97">D701+E701+F701</f>
        <v>146212879.57721996</v>
      </c>
      <c r="H701" s="154"/>
      <c r="I701" s="154">
        <v>0</v>
      </c>
      <c r="J701" s="158"/>
      <c r="N701" s="154">
        <f t="shared" ref="N701" si="98">K701+L701+M701</f>
        <v>0</v>
      </c>
      <c r="O701" s="155">
        <f t="shared" ref="O701" si="99">G701+N701</f>
        <v>146212879.57721996</v>
      </c>
    </row>
    <row r="702" spans="1:19" x14ac:dyDescent="0.2">
      <c r="A702" s="160"/>
      <c r="B702" s="160"/>
      <c r="C702" s="170" t="s">
        <v>155</v>
      </c>
      <c r="D702" s="165">
        <f>SUM(D700:D701)</f>
        <v>1122547670.1858382</v>
      </c>
      <c r="E702" s="165">
        <f t="shared" ref="E702:G702" si="100">SUM(E700:E701)</f>
        <v>149737373.95000002</v>
      </c>
      <c r="F702" s="165">
        <f t="shared" si="100"/>
        <v>-7068150.6937521379</v>
      </c>
      <c r="G702" s="165">
        <f t="shared" si="100"/>
        <v>1265216893.4420857</v>
      </c>
      <c r="H702" s="165"/>
      <c r="I702" s="165">
        <f t="shared" ref="I702:O702" si="101">SUM(I700:I701)</f>
        <v>0</v>
      </c>
      <c r="J702" s="165">
        <f t="shared" si="101"/>
        <v>0</v>
      </c>
      <c r="K702" s="165">
        <f t="shared" si="101"/>
        <v>-298181888.85589993</v>
      </c>
      <c r="L702" s="165">
        <f t="shared" si="101"/>
        <v>-33260067.549389288</v>
      </c>
      <c r="M702" s="165">
        <f t="shared" si="101"/>
        <v>4567840.838880267</v>
      </c>
      <c r="N702" s="165">
        <f t="shared" si="101"/>
        <v>-326874115.56640893</v>
      </c>
      <c r="O702" s="165">
        <f t="shared" si="101"/>
        <v>938342777.87567723</v>
      </c>
    </row>
    <row r="703" spans="1:19" ht="15" x14ac:dyDescent="0.25">
      <c r="A703" s="160"/>
      <c r="B703" s="160"/>
      <c r="C703" s="359" t="s">
        <v>156</v>
      </c>
      <c r="D703" s="360"/>
      <c r="E703" s="360"/>
      <c r="F703" s="360"/>
      <c r="G703" s="360"/>
      <c r="H703" s="360"/>
      <c r="I703" s="360"/>
      <c r="J703" s="360"/>
      <c r="K703" s="361"/>
      <c r="L703" s="162"/>
      <c r="N703" s="171"/>
      <c r="O703" s="172"/>
    </row>
    <row r="704" spans="1:19" ht="15" x14ac:dyDescent="0.25">
      <c r="A704" s="160"/>
      <c r="B704" s="160"/>
      <c r="C704" s="359" t="s">
        <v>43</v>
      </c>
      <c r="D704" s="360"/>
      <c r="E704" s="360"/>
      <c r="F704" s="360"/>
      <c r="G704" s="360"/>
      <c r="H704" s="360"/>
      <c r="I704" s="360"/>
      <c r="J704" s="360"/>
      <c r="K704" s="361"/>
      <c r="L704" s="165">
        <f>L702+L703</f>
        <v>-33260067.549389288</v>
      </c>
      <c r="N704" s="171"/>
      <c r="O704" s="172"/>
    </row>
    <row r="705" spans="1:19" ht="27.75" customHeight="1" x14ac:dyDescent="0.2">
      <c r="D705" s="355" t="s">
        <v>157</v>
      </c>
      <c r="E705" s="355"/>
      <c r="F705" s="355"/>
      <c r="G705" s="172">
        <f>AVERAGE(D700,G700)</f>
        <v>1053929355.351742</v>
      </c>
      <c r="H705" s="172"/>
      <c r="K705" s="124" t="s">
        <v>158</v>
      </c>
      <c r="N705" s="172">
        <f>AVERAGE(K700,N700)</f>
        <v>-312528002.21115446</v>
      </c>
    </row>
    <row r="706" spans="1:19" x14ac:dyDescent="0.2">
      <c r="D706" s="124"/>
      <c r="G706" s="172"/>
      <c r="H706" s="172"/>
      <c r="K706" s="124" t="s">
        <v>159</v>
      </c>
      <c r="N706" s="172">
        <f>G705+N705</f>
        <v>741401353.14058757</v>
      </c>
    </row>
    <row r="707" spans="1:19" x14ac:dyDescent="0.2">
      <c r="K707" s="123" t="s">
        <v>160</v>
      </c>
    </row>
    <row r="708" spans="1:19" ht="15" x14ac:dyDescent="0.25">
      <c r="A708" s="160">
        <v>10</v>
      </c>
      <c r="B708" s="160"/>
      <c r="C708" s="173" t="s">
        <v>161</v>
      </c>
      <c r="D708" s="174"/>
      <c r="E708" s="174"/>
      <c r="F708" s="174"/>
      <c r="G708" s="174"/>
      <c r="H708" s="174"/>
      <c r="I708" s="174"/>
      <c r="J708" s="174"/>
      <c r="K708" s="174" t="s">
        <v>161</v>
      </c>
      <c r="L708" s="174"/>
      <c r="M708" s="175">
        <f>+L680</f>
        <v>-2163326.9344000909</v>
      </c>
    </row>
    <row r="709" spans="1:19" ht="15" x14ac:dyDescent="0.25">
      <c r="A709" s="160"/>
      <c r="B709" s="160"/>
      <c r="C709" s="174" t="s">
        <v>162</v>
      </c>
      <c r="D709" s="174"/>
      <c r="E709" s="174"/>
      <c r="F709" s="174"/>
      <c r="G709" s="174"/>
      <c r="H709" s="174"/>
      <c r="I709" s="174"/>
      <c r="J709" s="174"/>
      <c r="K709" s="174" t="s">
        <v>162</v>
      </c>
      <c r="L709" s="174"/>
      <c r="M709" s="175">
        <f>-F697-M697+F695+M695</f>
        <v>2568861.3465383248</v>
      </c>
    </row>
    <row r="710" spans="1:19" ht="15" x14ac:dyDescent="0.25">
      <c r="A710" s="160">
        <v>47</v>
      </c>
      <c r="B710" s="160"/>
      <c r="C710" s="173" t="s">
        <v>166</v>
      </c>
      <c r="D710" s="174"/>
      <c r="E710" s="174"/>
      <c r="F710" s="174"/>
      <c r="G710" s="174"/>
      <c r="H710" s="174"/>
      <c r="I710" s="174"/>
      <c r="J710" s="174"/>
      <c r="K710" s="174" t="s">
        <v>166</v>
      </c>
      <c r="L710" s="174"/>
      <c r="M710" s="175">
        <f>-F695-M695</f>
        <v>-68551.491666453643</v>
      </c>
    </row>
    <row r="711" spans="1:19" x14ac:dyDescent="0.2">
      <c r="K711" s="353" t="s">
        <v>164</v>
      </c>
      <c r="L711" s="354"/>
      <c r="M711" s="177">
        <f>L704-M708-M709-M710</f>
        <v>-33597050.469861075</v>
      </c>
    </row>
    <row r="715" spans="1:19" ht="15.75" thickBot="1" x14ac:dyDescent="0.25">
      <c r="E715" s="135" t="s">
        <v>94</v>
      </c>
      <c r="F715" s="136" t="s">
        <v>12</v>
      </c>
    </row>
    <row r="716" spans="1:19" ht="15.75" thickBot="1" x14ac:dyDescent="0.3">
      <c r="E716" s="135" t="s">
        <v>95</v>
      </c>
      <c r="F716" s="137">
        <v>2030</v>
      </c>
      <c r="G716" s="138"/>
      <c r="H716" s="138"/>
      <c r="I716" s="139" t="b">
        <f>IF(F716=2014,4,IF(F716=2015,5,IF(F716=2016,6,IF(F716=2017,7,IF(F716=2018,8,IF(F716=2019,9,IF(F716=2020,10)))))))</f>
        <v>0</v>
      </c>
    </row>
    <row r="718" spans="1:19" x14ac:dyDescent="0.2">
      <c r="D718" s="356" t="s">
        <v>96</v>
      </c>
      <c r="E718" s="357"/>
      <c r="F718" s="357"/>
      <c r="G718" s="357"/>
      <c r="H718" s="357"/>
      <c r="I718" s="358"/>
      <c r="K718" s="140"/>
      <c r="L718" s="141" t="s">
        <v>97</v>
      </c>
      <c r="M718" s="141"/>
      <c r="N718" s="142"/>
    </row>
    <row r="719" spans="1:19" ht="30" customHeight="1" x14ac:dyDescent="0.2">
      <c r="A719" s="143" t="s">
        <v>98</v>
      </c>
      <c r="B719" s="143" t="s">
        <v>99</v>
      </c>
      <c r="C719" s="144" t="s">
        <v>100</v>
      </c>
      <c r="D719" s="143" t="s">
        <v>101</v>
      </c>
      <c r="E719" s="145" t="s">
        <v>102</v>
      </c>
      <c r="F719" s="145" t="s">
        <v>103</v>
      </c>
      <c r="G719" s="143" t="s">
        <v>104</v>
      </c>
      <c r="H719" s="143"/>
      <c r="I719" s="143" t="s">
        <v>105</v>
      </c>
      <c r="J719" s="146"/>
      <c r="K719" s="143" t="s">
        <v>101</v>
      </c>
      <c r="L719" s="147" t="s">
        <v>106</v>
      </c>
      <c r="M719" s="147" t="s">
        <v>103</v>
      </c>
      <c r="N719" s="148" t="s">
        <v>104</v>
      </c>
      <c r="O719" s="143" t="s">
        <v>107</v>
      </c>
    </row>
    <row r="720" spans="1:19" ht="15" x14ac:dyDescent="0.25">
      <c r="A720" s="149">
        <v>14.1</v>
      </c>
      <c r="B720" s="150">
        <v>1609</v>
      </c>
      <c r="C720" s="151" t="s">
        <v>108</v>
      </c>
      <c r="D720" s="181">
        <f t="shared" ref="D720:D763" si="102">G653</f>
        <v>26577511.756089997</v>
      </c>
      <c r="E720" s="153"/>
      <c r="F720" s="153"/>
      <c r="G720" s="154">
        <f>D720+E720+F720</f>
        <v>26577511.756089997</v>
      </c>
      <c r="H720" s="154"/>
      <c r="I720" s="154">
        <v>0</v>
      </c>
      <c r="J720" s="146"/>
      <c r="K720" s="182">
        <f t="shared" ref="K720:K763" si="103">N653</f>
        <v>-6858851.8164071199</v>
      </c>
      <c r="L720" s="153">
        <v>-1376029.3467436</v>
      </c>
      <c r="M720" s="153"/>
      <c r="N720" s="154">
        <f>K720+L720+M720</f>
        <v>-8234881.1631507203</v>
      </c>
      <c r="O720" s="155">
        <f>G720+N720</f>
        <v>18342630.592939276</v>
      </c>
      <c r="S720" s="156" t="s">
        <v>332</v>
      </c>
    </row>
    <row r="721" spans="1:19" ht="15" x14ac:dyDescent="0.25">
      <c r="A721" s="149" t="s">
        <v>109</v>
      </c>
      <c r="B721" s="150">
        <v>1610</v>
      </c>
      <c r="C721" s="151" t="s">
        <v>110</v>
      </c>
      <c r="D721" s="181">
        <f t="shared" si="102"/>
        <v>4560266.58</v>
      </c>
      <c r="E721" s="153"/>
      <c r="F721" s="153"/>
      <c r="G721" s="154">
        <f>D721+E721+F721</f>
        <v>4560266.58</v>
      </c>
      <c r="H721" s="154"/>
      <c r="I721" s="154">
        <v>0</v>
      </c>
      <c r="J721" s="146"/>
      <c r="K721" s="182">
        <f t="shared" si="103"/>
        <v>-4396934.391045481</v>
      </c>
      <c r="L721" s="153">
        <v>-46684.611599999997</v>
      </c>
      <c r="M721" s="153"/>
      <c r="N721" s="154">
        <f>K721+L721+M721</f>
        <v>-4443619.0026454814</v>
      </c>
      <c r="O721" s="155">
        <f>G721+N721</f>
        <v>116647.5773545187</v>
      </c>
      <c r="S721" s="156"/>
    </row>
    <row r="722" spans="1:19" ht="15" x14ac:dyDescent="0.25">
      <c r="A722" s="150">
        <v>12</v>
      </c>
      <c r="B722" s="150">
        <v>1611</v>
      </c>
      <c r="C722" s="157" t="s">
        <v>111</v>
      </c>
      <c r="D722" s="181">
        <f t="shared" si="102"/>
        <v>32772633.390000004</v>
      </c>
      <c r="E722" s="153">
        <v>2839828.44</v>
      </c>
      <c r="F722" s="153"/>
      <c r="G722" s="154">
        <f>D722+E722+F722</f>
        <v>35612461.830000006</v>
      </c>
      <c r="H722" s="154"/>
      <c r="I722" s="154">
        <v>0</v>
      </c>
      <c r="J722" s="158"/>
      <c r="K722" s="182">
        <f t="shared" si="103"/>
        <v>-29969168.815333333</v>
      </c>
      <c r="L722" s="153">
        <v>-2100517.0063333334</v>
      </c>
      <c r="M722" s="153"/>
      <c r="N722" s="154">
        <f>K722+L722+M722</f>
        <v>-32069685.821666665</v>
      </c>
      <c r="O722" s="155">
        <f>G722+N722</f>
        <v>3542776.0083333403</v>
      </c>
      <c r="S722" s="156" t="s">
        <v>333</v>
      </c>
    </row>
    <row r="723" spans="1:19" ht="15" x14ac:dyDescent="0.25">
      <c r="A723" s="150">
        <v>14.1</v>
      </c>
      <c r="B723" s="150">
        <v>1612</v>
      </c>
      <c r="C723" s="151" t="s">
        <v>112</v>
      </c>
      <c r="D723" s="181">
        <f t="shared" si="102"/>
        <v>4302600.6100000003</v>
      </c>
      <c r="E723" s="153"/>
      <c r="F723" s="153"/>
      <c r="G723" s="154">
        <f>D723+E723+F723</f>
        <v>4302600.6100000003</v>
      </c>
      <c r="H723" s="154"/>
      <c r="I723" s="154">
        <v>0</v>
      </c>
      <c r="J723" s="158"/>
      <c r="K723" s="182">
        <f t="shared" si="103"/>
        <v>-190197.37942246575</v>
      </c>
      <c r="L723" s="153">
        <v>-12301.7492</v>
      </c>
      <c r="M723" s="153"/>
      <c r="N723" s="154">
        <f>K723+L723+M723</f>
        <v>-202499.12862246574</v>
      </c>
      <c r="O723" s="155">
        <f>G723+N723</f>
        <v>4100101.4813775346</v>
      </c>
      <c r="S723" s="156" t="s">
        <v>334</v>
      </c>
    </row>
    <row r="724" spans="1:19" ht="15" x14ac:dyDescent="0.25">
      <c r="A724" s="150" t="s">
        <v>109</v>
      </c>
      <c r="B724" s="150">
        <v>1805</v>
      </c>
      <c r="C724" s="151" t="s">
        <v>113</v>
      </c>
      <c r="D724" s="181">
        <f t="shared" si="102"/>
        <v>4190619.8899999997</v>
      </c>
      <c r="E724" s="153"/>
      <c r="F724" s="153"/>
      <c r="G724" s="154">
        <f>D724+E724+F724</f>
        <v>4190619.8899999997</v>
      </c>
      <c r="H724" s="154"/>
      <c r="I724" s="154">
        <v>0</v>
      </c>
      <c r="J724" s="158"/>
      <c r="K724" s="182">
        <f t="shared" si="103"/>
        <v>0</v>
      </c>
      <c r="L724" s="153"/>
      <c r="M724" s="153"/>
      <c r="N724" s="154">
        <f>K724+L724+M724</f>
        <v>0</v>
      </c>
      <c r="O724" s="155">
        <f>G724+N724</f>
        <v>4190619.8899999997</v>
      </c>
      <c r="S724" s="156" t="s">
        <v>335</v>
      </c>
    </row>
    <row r="725" spans="1:19" ht="15" x14ac:dyDescent="0.25">
      <c r="A725" s="150">
        <v>47</v>
      </c>
      <c r="B725" s="150">
        <v>1808</v>
      </c>
      <c r="C725" s="151" t="s">
        <v>114</v>
      </c>
      <c r="D725" s="181">
        <f t="shared" si="102"/>
        <v>1409044.04</v>
      </c>
      <c r="E725" s="153"/>
      <c r="F725" s="153"/>
      <c r="G725" s="154">
        <f t="shared" ref="G725:G763" si="104">D725+E725+F725</f>
        <v>1409044.04</v>
      </c>
      <c r="H725" s="154"/>
      <c r="I725" s="154">
        <v>0</v>
      </c>
      <c r="J725" s="158"/>
      <c r="K725" s="182">
        <f t="shared" si="103"/>
        <v>-1268959.1446191783</v>
      </c>
      <c r="L725" s="153">
        <v>-9573.8109999999997</v>
      </c>
      <c r="M725" s="153"/>
      <c r="N725" s="154">
        <f t="shared" ref="N725:N763" si="105">K725+L725+M725</f>
        <v>-1278532.9556191782</v>
      </c>
      <c r="O725" s="155">
        <f t="shared" ref="O725:O763" si="106">G725+N725</f>
        <v>130511.08438082179</v>
      </c>
      <c r="S725" s="156" t="s">
        <v>336</v>
      </c>
    </row>
    <row r="726" spans="1:19" ht="15" x14ac:dyDescent="0.25">
      <c r="A726" s="150"/>
      <c r="B726" s="150">
        <v>1810</v>
      </c>
      <c r="C726" s="151" t="s">
        <v>115</v>
      </c>
      <c r="D726" s="181">
        <f t="shared" si="102"/>
        <v>0</v>
      </c>
      <c r="E726" s="153"/>
      <c r="F726" s="153"/>
      <c r="G726" s="154">
        <f t="shared" si="104"/>
        <v>0</v>
      </c>
      <c r="H726" s="154"/>
      <c r="I726" s="154">
        <v>0</v>
      </c>
      <c r="J726" s="158"/>
      <c r="K726" s="182">
        <f t="shared" si="103"/>
        <v>0</v>
      </c>
      <c r="L726" s="153"/>
      <c r="M726" s="153"/>
      <c r="N726" s="154">
        <f t="shared" si="105"/>
        <v>0</v>
      </c>
      <c r="O726" s="155">
        <f t="shared" si="106"/>
        <v>0</v>
      </c>
      <c r="S726" s="156" t="s">
        <v>337</v>
      </c>
    </row>
    <row r="727" spans="1:19" ht="15" x14ac:dyDescent="0.25">
      <c r="A727" s="150">
        <v>47</v>
      </c>
      <c r="B727" s="150">
        <v>1815</v>
      </c>
      <c r="C727" s="151" t="s">
        <v>116</v>
      </c>
      <c r="D727" s="181">
        <f t="shared" si="102"/>
        <v>35021645.939999998</v>
      </c>
      <c r="E727" s="153"/>
      <c r="F727" s="153"/>
      <c r="G727" s="154">
        <f t="shared" si="104"/>
        <v>35021645.939999998</v>
      </c>
      <c r="H727" s="154"/>
      <c r="I727" s="154">
        <v>0</v>
      </c>
      <c r="J727" s="158"/>
      <c r="K727" s="182">
        <f t="shared" si="103"/>
        <v>-5604902.0419676714</v>
      </c>
      <c r="L727" s="153">
        <v>-741911.21570000006</v>
      </c>
      <c r="M727" s="153"/>
      <c r="N727" s="154">
        <f t="shared" si="105"/>
        <v>-6346813.2576676719</v>
      </c>
      <c r="O727" s="155">
        <f t="shared" si="106"/>
        <v>28674832.682332326</v>
      </c>
      <c r="S727" s="156" t="s">
        <v>338</v>
      </c>
    </row>
    <row r="728" spans="1:19" ht="15" x14ac:dyDescent="0.25">
      <c r="A728" s="150">
        <v>47</v>
      </c>
      <c r="B728" s="150">
        <v>1820</v>
      </c>
      <c r="C728" s="151" t="s">
        <v>117</v>
      </c>
      <c r="D728" s="181">
        <f t="shared" si="102"/>
        <v>184697954.79241908</v>
      </c>
      <c r="E728" s="153">
        <v>29558691.8266</v>
      </c>
      <c r="F728" s="153">
        <v>-2741512.4399999995</v>
      </c>
      <c r="G728" s="154">
        <f t="shared" si="104"/>
        <v>211515134.17901909</v>
      </c>
      <c r="H728" s="154"/>
      <c r="I728" s="154">
        <v>0</v>
      </c>
      <c r="J728" s="158"/>
      <c r="K728" s="182">
        <f t="shared" si="103"/>
        <v>-28848443.999757167</v>
      </c>
      <c r="L728" s="153">
        <v>-5066924.45107067</v>
      </c>
      <c r="M728" s="153">
        <v>1103213.9456353425</v>
      </c>
      <c r="N728" s="154">
        <f t="shared" si="105"/>
        <v>-32812154.505192496</v>
      </c>
      <c r="O728" s="155">
        <f t="shared" si="106"/>
        <v>178702979.67382661</v>
      </c>
      <c r="S728" s="156" t="s">
        <v>339</v>
      </c>
    </row>
    <row r="729" spans="1:19" ht="15" x14ac:dyDescent="0.25">
      <c r="A729" s="150"/>
      <c r="B729" s="150">
        <v>1825</v>
      </c>
      <c r="C729" s="151" t="s">
        <v>118</v>
      </c>
      <c r="D729" s="181">
        <f t="shared" si="102"/>
        <v>0</v>
      </c>
      <c r="E729" s="153"/>
      <c r="F729" s="153"/>
      <c r="G729" s="154">
        <f t="shared" si="104"/>
        <v>0</v>
      </c>
      <c r="H729" s="154"/>
      <c r="I729" s="154">
        <v>0</v>
      </c>
      <c r="J729" s="158"/>
      <c r="K729" s="182">
        <f t="shared" si="103"/>
        <v>0</v>
      </c>
      <c r="L729" s="153"/>
      <c r="M729" s="153"/>
      <c r="N729" s="154">
        <f t="shared" si="105"/>
        <v>0</v>
      </c>
      <c r="O729" s="155">
        <f t="shared" si="106"/>
        <v>0</v>
      </c>
      <c r="S729" s="156" t="s">
        <v>340</v>
      </c>
    </row>
    <row r="730" spans="1:19" ht="15" x14ac:dyDescent="0.25">
      <c r="A730" s="150">
        <v>47</v>
      </c>
      <c r="B730" s="150">
        <v>1830</v>
      </c>
      <c r="C730" s="151" t="s">
        <v>119</v>
      </c>
      <c r="D730" s="181">
        <f t="shared" si="102"/>
        <v>275925302.8156929</v>
      </c>
      <c r="E730" s="153">
        <v>28785121.173500001</v>
      </c>
      <c r="F730" s="153">
        <v>-327650.25141410058</v>
      </c>
      <c r="G730" s="154">
        <f t="shared" si="104"/>
        <v>304382773.73777878</v>
      </c>
      <c r="H730" s="154"/>
      <c r="I730" s="154">
        <v>0</v>
      </c>
      <c r="J730" s="158"/>
      <c r="K730" s="182">
        <f t="shared" si="103"/>
        <v>-49092437.696235918</v>
      </c>
      <c r="L730" s="153">
        <v>-7360024.0460889805</v>
      </c>
      <c r="M730" s="153">
        <v>129805.86811019208</v>
      </c>
      <c r="N730" s="154">
        <f t="shared" si="105"/>
        <v>-56322655.874214701</v>
      </c>
      <c r="O730" s="155">
        <f t="shared" si="106"/>
        <v>248060117.86356407</v>
      </c>
      <c r="S730" s="156" t="s">
        <v>341</v>
      </c>
    </row>
    <row r="731" spans="1:19" ht="15" x14ac:dyDescent="0.25">
      <c r="A731" s="150">
        <v>47</v>
      </c>
      <c r="B731" s="150">
        <v>1835</v>
      </c>
      <c r="C731" s="151" t="s">
        <v>120</v>
      </c>
      <c r="D731" s="181">
        <f t="shared" si="102"/>
        <v>200194067.53003269</v>
      </c>
      <c r="E731" s="153">
        <v>26535194.294500001</v>
      </c>
      <c r="F731" s="153">
        <v>-472854.77260117931</v>
      </c>
      <c r="G731" s="154">
        <f t="shared" si="104"/>
        <v>226256407.0519315</v>
      </c>
      <c r="H731" s="154"/>
      <c r="I731" s="154">
        <v>0</v>
      </c>
      <c r="J731" s="158"/>
      <c r="K731" s="182">
        <f t="shared" si="103"/>
        <v>-31736325.649533704</v>
      </c>
      <c r="L731" s="153">
        <v>-4587880.5876871571</v>
      </c>
      <c r="M731" s="153">
        <v>362498.94029876479</v>
      </c>
      <c r="N731" s="154">
        <f t="shared" si="105"/>
        <v>-35961707.296922095</v>
      </c>
      <c r="O731" s="155">
        <f t="shared" si="106"/>
        <v>190294699.75500941</v>
      </c>
      <c r="S731" s="156" t="s">
        <v>342</v>
      </c>
    </row>
    <row r="732" spans="1:19" ht="15" x14ac:dyDescent="0.25">
      <c r="A732" s="150">
        <v>47</v>
      </c>
      <c r="B732" s="150">
        <v>1840</v>
      </c>
      <c r="C732" s="151" t="s">
        <v>121</v>
      </c>
      <c r="D732" s="181">
        <f t="shared" si="102"/>
        <v>110998577.59603697</v>
      </c>
      <c r="E732" s="153">
        <v>8893148.320700001</v>
      </c>
      <c r="F732" s="153">
        <v>0</v>
      </c>
      <c r="G732" s="154">
        <f t="shared" si="104"/>
        <v>119891725.91673698</v>
      </c>
      <c r="H732" s="154"/>
      <c r="I732" s="154">
        <v>0</v>
      </c>
      <c r="J732" s="158"/>
      <c r="K732" s="182">
        <f t="shared" si="103"/>
        <v>-16923145.987757668</v>
      </c>
      <c r="L732" s="153">
        <v>-1991155.2826181161</v>
      </c>
      <c r="M732" s="153">
        <v>0</v>
      </c>
      <c r="N732" s="154">
        <f t="shared" si="105"/>
        <v>-18914301.270375784</v>
      </c>
      <c r="O732" s="155">
        <f t="shared" si="106"/>
        <v>100977424.64636119</v>
      </c>
      <c r="S732" s="156" t="s">
        <v>343</v>
      </c>
    </row>
    <row r="733" spans="1:19" ht="15" x14ac:dyDescent="0.25">
      <c r="A733" s="150">
        <v>47</v>
      </c>
      <c r="B733" s="150">
        <v>1845</v>
      </c>
      <c r="C733" s="151" t="s">
        <v>122</v>
      </c>
      <c r="D733" s="181">
        <f t="shared" si="102"/>
        <v>197381041.10722917</v>
      </c>
      <c r="E733" s="153">
        <v>34814730.834299996</v>
      </c>
      <c r="F733" s="153">
        <v>-132257.3902721451</v>
      </c>
      <c r="G733" s="154">
        <f t="shared" si="104"/>
        <v>232063514.55125701</v>
      </c>
      <c r="H733" s="154"/>
      <c r="I733" s="154">
        <v>0</v>
      </c>
      <c r="J733" s="158"/>
      <c r="K733" s="182">
        <f t="shared" si="103"/>
        <v>-39697787.32023152</v>
      </c>
      <c r="L733" s="153">
        <v>-5962925.7080643941</v>
      </c>
      <c r="M733" s="153">
        <v>66088.810597829273</v>
      </c>
      <c r="N733" s="154">
        <f t="shared" si="105"/>
        <v>-45594624.217698082</v>
      </c>
      <c r="O733" s="155">
        <f t="shared" si="106"/>
        <v>186468890.33355892</v>
      </c>
      <c r="S733" s="156" t="s">
        <v>344</v>
      </c>
    </row>
    <row r="734" spans="1:19" ht="15" x14ac:dyDescent="0.25">
      <c r="A734" s="150">
        <v>47</v>
      </c>
      <c r="B734" s="150">
        <v>1850</v>
      </c>
      <c r="C734" s="151" t="s">
        <v>123</v>
      </c>
      <c r="D734" s="181">
        <f t="shared" si="102"/>
        <v>107228036.43393879</v>
      </c>
      <c r="E734" s="153">
        <v>6704475.5590000004</v>
      </c>
      <c r="F734" s="153">
        <v>-1006973.9783003365</v>
      </c>
      <c r="G734" s="154">
        <f t="shared" si="104"/>
        <v>112925538.01463845</v>
      </c>
      <c r="H734" s="154"/>
      <c r="I734" s="154">
        <v>0</v>
      </c>
      <c r="J734" s="158"/>
      <c r="K734" s="182">
        <f t="shared" si="103"/>
        <v>-36265222.736612521</v>
      </c>
      <c r="L734" s="153">
        <v>-3690884.4249525559</v>
      </c>
      <c r="M734" s="153">
        <v>631666.35297868843</v>
      </c>
      <c r="N734" s="154">
        <f t="shared" si="105"/>
        <v>-39324440.808586389</v>
      </c>
      <c r="O734" s="155">
        <f t="shared" si="106"/>
        <v>73601097.206052065</v>
      </c>
      <c r="S734" s="156" t="s">
        <v>345</v>
      </c>
    </row>
    <row r="735" spans="1:19" ht="15" x14ac:dyDescent="0.25">
      <c r="A735" s="150">
        <v>47</v>
      </c>
      <c r="B735" s="150">
        <v>1855</v>
      </c>
      <c r="C735" s="151" t="s">
        <v>124</v>
      </c>
      <c r="D735" s="181">
        <f t="shared" si="102"/>
        <v>81991705.942980021</v>
      </c>
      <c r="E735" s="153">
        <v>6283463.5779999997</v>
      </c>
      <c r="F735" s="153"/>
      <c r="G735" s="154">
        <f t="shared" si="104"/>
        <v>88275169.520980015</v>
      </c>
      <c r="H735" s="154"/>
      <c r="I735" s="154">
        <v>0</v>
      </c>
      <c r="J735" s="158"/>
      <c r="K735" s="182">
        <f t="shared" si="103"/>
        <v>-19737690.840950049</v>
      </c>
      <c r="L735" s="153">
        <v>-2042062.544338421</v>
      </c>
      <c r="M735" s="153"/>
      <c r="N735" s="154">
        <f t="shared" si="105"/>
        <v>-21779753.385288469</v>
      </c>
      <c r="O735" s="155">
        <f t="shared" si="106"/>
        <v>66495416.135691546</v>
      </c>
      <c r="S735" s="156" t="s">
        <v>346</v>
      </c>
    </row>
    <row r="736" spans="1:19" ht="15" x14ac:dyDescent="0.25">
      <c r="A736" s="150">
        <v>47</v>
      </c>
      <c r="B736" s="150">
        <v>1860</v>
      </c>
      <c r="C736" s="151" t="s">
        <v>125</v>
      </c>
      <c r="D736" s="181">
        <f t="shared" si="102"/>
        <v>4429141.2337495759</v>
      </c>
      <c r="E736" s="153">
        <v>633974.20940000005</v>
      </c>
      <c r="F736" s="153">
        <v>-6686.7281006756912</v>
      </c>
      <c r="G736" s="154">
        <f t="shared" si="104"/>
        <v>5056428.7150488999</v>
      </c>
      <c r="H736" s="154"/>
      <c r="I736" s="154">
        <v>0</v>
      </c>
      <c r="J736" s="158"/>
      <c r="K736" s="182">
        <f t="shared" si="103"/>
        <v>-1736744.8275161106</v>
      </c>
      <c r="L736" s="153">
        <v>-191201.94316345401</v>
      </c>
      <c r="M736" s="153">
        <v>4826.5070358632083</v>
      </c>
      <c r="N736" s="154">
        <f t="shared" si="105"/>
        <v>-1923120.2636437016</v>
      </c>
      <c r="O736" s="155">
        <f t="shared" si="106"/>
        <v>3133308.4514051983</v>
      </c>
      <c r="S736" s="156" t="s">
        <v>347</v>
      </c>
    </row>
    <row r="737" spans="1:19" ht="15" x14ac:dyDescent="0.25">
      <c r="A737" s="150">
        <v>47</v>
      </c>
      <c r="B737" s="150">
        <v>1860</v>
      </c>
      <c r="C737" s="151" t="s">
        <v>126</v>
      </c>
      <c r="D737" s="181">
        <f t="shared" si="102"/>
        <v>38020640.943970054</v>
      </c>
      <c r="E737" s="153">
        <v>7788826.0011999998</v>
      </c>
      <c r="F737" s="153">
        <v>-2185542.0562641071</v>
      </c>
      <c r="G737" s="154">
        <f t="shared" si="104"/>
        <v>43623924.888905942</v>
      </c>
      <c r="H737" s="154"/>
      <c r="I737" s="154">
        <v>0</v>
      </c>
      <c r="J737" s="158"/>
      <c r="K737" s="182">
        <f t="shared" si="103"/>
        <v>-21517619.894655868</v>
      </c>
      <c r="L737" s="153">
        <v>-1885251.7230167296</v>
      </c>
      <c r="M737" s="153">
        <v>2185027.1341242795</v>
      </c>
      <c r="N737" s="154">
        <f t="shared" si="105"/>
        <v>-21217844.483548321</v>
      </c>
      <c r="O737" s="155">
        <f t="shared" si="106"/>
        <v>22406080.405357622</v>
      </c>
      <c r="S737" s="156" t="s">
        <v>347</v>
      </c>
    </row>
    <row r="738" spans="1:19" ht="15" x14ac:dyDescent="0.25">
      <c r="A738" s="150">
        <v>47</v>
      </c>
      <c r="B738" s="150">
        <v>1865</v>
      </c>
      <c r="C738" s="151" t="s">
        <v>127</v>
      </c>
      <c r="D738" s="181">
        <f t="shared" si="102"/>
        <v>81548.159999999989</v>
      </c>
      <c r="E738" s="153"/>
      <c r="F738" s="153"/>
      <c r="G738" s="154">
        <f t="shared" si="104"/>
        <v>81548.159999999989</v>
      </c>
      <c r="H738" s="154"/>
      <c r="I738" s="154">
        <v>0</v>
      </c>
      <c r="J738" s="158"/>
      <c r="K738" s="182">
        <f t="shared" si="103"/>
        <v>-81548.160000000003</v>
      </c>
      <c r="L738" s="153"/>
      <c r="M738" s="153"/>
      <c r="N738" s="154">
        <f t="shared" si="105"/>
        <v>-81548.160000000003</v>
      </c>
      <c r="O738" s="155">
        <f t="shared" si="106"/>
        <v>0</v>
      </c>
      <c r="S738" s="156"/>
    </row>
    <row r="739" spans="1:19" ht="15" x14ac:dyDescent="0.25">
      <c r="A739" s="150" t="s">
        <v>109</v>
      </c>
      <c r="B739" s="150">
        <v>1905</v>
      </c>
      <c r="C739" s="151" t="s">
        <v>113</v>
      </c>
      <c r="D739" s="181">
        <f t="shared" si="102"/>
        <v>1195031.2999999998</v>
      </c>
      <c r="E739" s="153"/>
      <c r="F739" s="153"/>
      <c r="G739" s="154">
        <f t="shared" si="104"/>
        <v>1195031.2999999998</v>
      </c>
      <c r="H739" s="154"/>
      <c r="I739" s="154">
        <v>0</v>
      </c>
      <c r="J739" s="158"/>
      <c r="K739" s="182">
        <f t="shared" si="103"/>
        <v>0</v>
      </c>
      <c r="L739" s="153"/>
      <c r="M739" s="153"/>
      <c r="N739" s="154">
        <f t="shared" si="105"/>
        <v>0</v>
      </c>
      <c r="O739" s="155">
        <f t="shared" si="106"/>
        <v>1195031.2999999998</v>
      </c>
      <c r="S739" s="156" t="s">
        <v>348</v>
      </c>
    </row>
    <row r="740" spans="1:19" ht="15" x14ac:dyDescent="0.25">
      <c r="A740" s="150">
        <v>1</v>
      </c>
      <c r="B740" s="150">
        <v>1908</v>
      </c>
      <c r="C740" s="151" t="s">
        <v>128</v>
      </c>
      <c r="D740" s="181">
        <f t="shared" si="102"/>
        <v>41263030.109999999</v>
      </c>
      <c r="E740" s="153">
        <v>1409679.56</v>
      </c>
      <c r="F740" s="153"/>
      <c r="G740" s="154">
        <f t="shared" si="104"/>
        <v>42672709.670000002</v>
      </c>
      <c r="H740" s="154"/>
      <c r="I740" s="154">
        <v>0</v>
      </c>
      <c r="J740" s="158"/>
      <c r="K740" s="182">
        <f t="shared" si="103"/>
        <v>-20047463.370720912</v>
      </c>
      <c r="L740" s="153">
        <v>-1593429.2461800002</v>
      </c>
      <c r="M740" s="153"/>
      <c r="N740" s="154">
        <f t="shared" si="105"/>
        <v>-21640892.616900913</v>
      </c>
      <c r="O740" s="155">
        <f t="shared" si="106"/>
        <v>21031817.053099088</v>
      </c>
      <c r="S740" s="156" t="s">
        <v>349</v>
      </c>
    </row>
    <row r="741" spans="1:19" ht="15" x14ac:dyDescent="0.25">
      <c r="A741" s="150"/>
      <c r="B741" s="150">
        <v>1910</v>
      </c>
      <c r="C741" s="151" t="s">
        <v>115</v>
      </c>
      <c r="D741" s="181">
        <f t="shared" si="102"/>
        <v>0</v>
      </c>
      <c r="E741" s="153"/>
      <c r="F741" s="153"/>
      <c r="G741" s="154">
        <f t="shared" si="104"/>
        <v>0</v>
      </c>
      <c r="H741" s="154"/>
      <c r="I741" s="154">
        <v>0</v>
      </c>
      <c r="J741" s="158"/>
      <c r="K741" s="182">
        <f t="shared" si="103"/>
        <v>0</v>
      </c>
      <c r="L741" s="153"/>
      <c r="M741" s="153"/>
      <c r="N741" s="154">
        <f t="shared" si="105"/>
        <v>0</v>
      </c>
      <c r="O741" s="155">
        <f t="shared" si="106"/>
        <v>0</v>
      </c>
      <c r="S741" s="156" t="s">
        <v>350</v>
      </c>
    </row>
    <row r="742" spans="1:19" ht="15" x14ac:dyDescent="0.25">
      <c r="A742" s="150">
        <v>8</v>
      </c>
      <c r="B742" s="150">
        <v>1915</v>
      </c>
      <c r="C742" s="151" t="s">
        <v>129</v>
      </c>
      <c r="D742" s="181">
        <f t="shared" si="102"/>
        <v>6598472.2799999993</v>
      </c>
      <c r="E742" s="153"/>
      <c r="F742" s="153"/>
      <c r="G742" s="154">
        <f t="shared" si="104"/>
        <v>6598472.2799999993</v>
      </c>
      <c r="H742" s="154"/>
      <c r="I742" s="154">
        <v>0</v>
      </c>
      <c r="J742" s="158"/>
      <c r="K742" s="182">
        <f t="shared" si="103"/>
        <v>-3530248.5604778086</v>
      </c>
      <c r="L742" s="153">
        <v>-440726.13079068495</v>
      </c>
      <c r="M742" s="153"/>
      <c r="N742" s="154">
        <f t="shared" si="105"/>
        <v>-3970974.6912684934</v>
      </c>
      <c r="O742" s="155">
        <f t="shared" si="106"/>
        <v>2627497.5887315059</v>
      </c>
      <c r="S742" s="156" t="s">
        <v>351</v>
      </c>
    </row>
    <row r="743" spans="1:19" ht="15" x14ac:dyDescent="0.25">
      <c r="A743" s="150"/>
      <c r="B743" s="150">
        <v>1915</v>
      </c>
      <c r="C743" s="151" t="s">
        <v>130</v>
      </c>
      <c r="D743" s="181">
        <f t="shared" si="102"/>
        <v>0</v>
      </c>
      <c r="E743" s="153"/>
      <c r="F743" s="153"/>
      <c r="G743" s="154">
        <f t="shared" si="104"/>
        <v>0</v>
      </c>
      <c r="H743" s="154"/>
      <c r="I743" s="154">
        <v>0</v>
      </c>
      <c r="J743" s="158"/>
      <c r="K743" s="182">
        <f t="shared" si="103"/>
        <v>0</v>
      </c>
      <c r="L743" s="153"/>
      <c r="M743" s="153"/>
      <c r="N743" s="154">
        <f t="shared" si="105"/>
        <v>0</v>
      </c>
      <c r="O743" s="155">
        <f t="shared" si="106"/>
        <v>0</v>
      </c>
      <c r="S743" s="156" t="s">
        <v>351</v>
      </c>
    </row>
    <row r="744" spans="1:19" ht="15" x14ac:dyDescent="0.25">
      <c r="A744" s="150">
        <v>50</v>
      </c>
      <c r="B744" s="150">
        <v>1920</v>
      </c>
      <c r="C744" s="151" t="s">
        <v>131</v>
      </c>
      <c r="D744" s="181">
        <f t="shared" si="102"/>
        <v>28527545.850000001</v>
      </c>
      <c r="E744" s="153">
        <v>4478007.3600000003</v>
      </c>
      <c r="F744" s="153"/>
      <c r="G744" s="154">
        <f t="shared" si="104"/>
        <v>33005553.210000001</v>
      </c>
      <c r="H744" s="154"/>
      <c r="I744" s="154">
        <v>0</v>
      </c>
      <c r="J744" s="158"/>
      <c r="K744" s="182">
        <f t="shared" si="103"/>
        <v>-21635706.216799997</v>
      </c>
      <c r="L744" s="153">
        <v>-2884080.0530000003</v>
      </c>
      <c r="M744" s="153"/>
      <c r="N744" s="154">
        <f t="shared" si="105"/>
        <v>-24519786.269799996</v>
      </c>
      <c r="O744" s="155">
        <f t="shared" si="106"/>
        <v>8485766.9402000047</v>
      </c>
      <c r="S744" s="156" t="s">
        <v>352</v>
      </c>
    </row>
    <row r="745" spans="1:19" ht="15" x14ac:dyDescent="0.25">
      <c r="A745" s="150"/>
      <c r="B745" s="150">
        <v>1920</v>
      </c>
      <c r="C745" s="151" t="s">
        <v>132</v>
      </c>
      <c r="D745" s="181">
        <f t="shared" si="102"/>
        <v>0</v>
      </c>
      <c r="E745" s="153"/>
      <c r="F745" s="153"/>
      <c r="G745" s="154">
        <f t="shared" si="104"/>
        <v>0</v>
      </c>
      <c r="H745" s="154"/>
      <c r="I745" s="154">
        <v>0</v>
      </c>
      <c r="J745" s="158"/>
      <c r="K745" s="182">
        <f t="shared" si="103"/>
        <v>0</v>
      </c>
      <c r="L745" s="153"/>
      <c r="M745" s="153"/>
      <c r="N745" s="154">
        <f t="shared" si="105"/>
        <v>0</v>
      </c>
      <c r="O745" s="155">
        <f t="shared" si="106"/>
        <v>0</v>
      </c>
      <c r="S745" s="156" t="s">
        <v>352</v>
      </c>
    </row>
    <row r="746" spans="1:19" ht="15" x14ac:dyDescent="0.25">
      <c r="A746" s="150"/>
      <c r="B746" s="150">
        <v>1920</v>
      </c>
      <c r="C746" s="151" t="s">
        <v>133</v>
      </c>
      <c r="D746" s="181">
        <f t="shared" si="102"/>
        <v>0</v>
      </c>
      <c r="E746" s="153"/>
      <c r="F746" s="153"/>
      <c r="G746" s="154">
        <f t="shared" si="104"/>
        <v>0</v>
      </c>
      <c r="H746" s="154"/>
      <c r="I746" s="154">
        <v>0</v>
      </c>
      <c r="J746" s="158"/>
      <c r="K746" s="182">
        <f t="shared" si="103"/>
        <v>0</v>
      </c>
      <c r="L746" s="153"/>
      <c r="M746" s="153"/>
      <c r="N746" s="154">
        <f t="shared" si="105"/>
        <v>0</v>
      </c>
      <c r="O746" s="155">
        <f t="shared" si="106"/>
        <v>0</v>
      </c>
      <c r="S746" s="156" t="s">
        <v>352</v>
      </c>
    </row>
    <row r="747" spans="1:19" ht="15" x14ac:dyDescent="0.25">
      <c r="A747" s="150">
        <v>10</v>
      </c>
      <c r="B747" s="150">
        <v>1930</v>
      </c>
      <c r="C747" s="151" t="s">
        <v>134</v>
      </c>
      <c r="D747" s="181">
        <f t="shared" si="102"/>
        <v>32106503.670000002</v>
      </c>
      <c r="E747" s="153">
        <v>2960364</v>
      </c>
      <c r="F747" s="153"/>
      <c r="G747" s="154">
        <f t="shared" si="104"/>
        <v>35066867.670000002</v>
      </c>
      <c r="H747" s="154"/>
      <c r="I747" s="154">
        <v>0</v>
      </c>
      <c r="J747" s="158"/>
      <c r="K747" s="182">
        <f t="shared" si="103"/>
        <v>-16411325.098308858</v>
      </c>
      <c r="L747" s="153">
        <v>-2367571.9215019178</v>
      </c>
      <c r="M747" s="153"/>
      <c r="N747" s="154">
        <f t="shared" si="105"/>
        <v>-18778897.019810773</v>
      </c>
      <c r="O747" s="155">
        <f t="shared" si="106"/>
        <v>16287970.650189228</v>
      </c>
      <c r="S747" s="156" t="s">
        <v>353</v>
      </c>
    </row>
    <row r="748" spans="1:19" ht="15" x14ac:dyDescent="0.25">
      <c r="A748" s="150">
        <v>8</v>
      </c>
      <c r="B748" s="150">
        <v>1935</v>
      </c>
      <c r="C748" s="151" t="s">
        <v>135</v>
      </c>
      <c r="D748" s="181">
        <f t="shared" si="102"/>
        <v>108757.92</v>
      </c>
      <c r="E748" s="153"/>
      <c r="F748" s="153"/>
      <c r="G748" s="154">
        <f t="shared" si="104"/>
        <v>108757.92</v>
      </c>
      <c r="H748" s="154"/>
      <c r="I748" s="154">
        <v>0</v>
      </c>
      <c r="J748" s="158"/>
      <c r="K748" s="182">
        <f t="shared" si="103"/>
        <v>-108757.92000000001</v>
      </c>
      <c r="L748" s="153"/>
      <c r="M748" s="153"/>
      <c r="N748" s="154">
        <f t="shared" si="105"/>
        <v>-108757.92000000001</v>
      </c>
      <c r="O748" s="155">
        <f t="shared" si="106"/>
        <v>0</v>
      </c>
      <c r="S748" s="156" t="s">
        <v>354</v>
      </c>
    </row>
    <row r="749" spans="1:19" ht="15" x14ac:dyDescent="0.25">
      <c r="A749" s="150">
        <v>8</v>
      </c>
      <c r="B749" s="150">
        <v>1940</v>
      </c>
      <c r="C749" s="151" t="s">
        <v>136</v>
      </c>
      <c r="D749" s="181">
        <f t="shared" si="102"/>
        <v>8370160.8612300009</v>
      </c>
      <c r="E749" s="153">
        <v>836653.37</v>
      </c>
      <c r="F749" s="153"/>
      <c r="G749" s="154">
        <f t="shared" si="104"/>
        <v>9206814.23123</v>
      </c>
      <c r="H749" s="154"/>
      <c r="I749" s="154">
        <v>0</v>
      </c>
      <c r="J749" s="158"/>
      <c r="K749" s="182">
        <f t="shared" si="103"/>
        <v>-4324288.0847595409</v>
      </c>
      <c r="L749" s="153">
        <v>-622368.82302738342</v>
      </c>
      <c r="M749" s="153"/>
      <c r="N749" s="154">
        <f t="shared" si="105"/>
        <v>-4946656.9077869244</v>
      </c>
      <c r="O749" s="155">
        <f t="shared" si="106"/>
        <v>4260157.3234430756</v>
      </c>
      <c r="S749" s="156" t="s">
        <v>355</v>
      </c>
    </row>
    <row r="750" spans="1:19" ht="15" x14ac:dyDescent="0.25">
      <c r="A750" s="150">
        <v>8</v>
      </c>
      <c r="B750" s="150">
        <v>1945</v>
      </c>
      <c r="C750" s="151" t="s">
        <v>137</v>
      </c>
      <c r="D750" s="181">
        <f t="shared" si="102"/>
        <v>189615.94446999999</v>
      </c>
      <c r="E750" s="153"/>
      <c r="F750" s="153"/>
      <c r="G750" s="154">
        <f t="shared" si="104"/>
        <v>189615.94446999999</v>
      </c>
      <c r="H750" s="154"/>
      <c r="I750" s="154">
        <v>0</v>
      </c>
      <c r="J750" s="158"/>
      <c r="K750" s="182">
        <f t="shared" si="103"/>
        <v>-183554.57508723976</v>
      </c>
      <c r="L750" s="153">
        <v>-2634.1202470000003</v>
      </c>
      <c r="M750" s="153"/>
      <c r="N750" s="154">
        <f t="shared" si="105"/>
        <v>-186188.69533423978</v>
      </c>
      <c r="O750" s="155">
        <f t="shared" si="106"/>
        <v>3427.2491357602121</v>
      </c>
      <c r="S750" s="156" t="s">
        <v>356</v>
      </c>
    </row>
    <row r="751" spans="1:19" ht="15" x14ac:dyDescent="0.25">
      <c r="A751" s="150"/>
      <c r="B751" s="150">
        <v>1950</v>
      </c>
      <c r="C751" s="151" t="s">
        <v>138</v>
      </c>
      <c r="D751" s="181">
        <f t="shared" si="102"/>
        <v>0</v>
      </c>
      <c r="E751" s="153"/>
      <c r="F751" s="153"/>
      <c r="G751" s="154">
        <f t="shared" si="104"/>
        <v>0</v>
      </c>
      <c r="H751" s="154"/>
      <c r="I751" s="154">
        <v>0</v>
      </c>
      <c r="J751" s="158"/>
      <c r="K751" s="182">
        <f t="shared" si="103"/>
        <v>0</v>
      </c>
      <c r="L751" s="153"/>
      <c r="M751" s="153"/>
      <c r="N751" s="154">
        <f t="shared" si="105"/>
        <v>0</v>
      </c>
      <c r="O751" s="155">
        <f t="shared" si="106"/>
        <v>0</v>
      </c>
      <c r="S751" s="156" t="s">
        <v>357</v>
      </c>
    </row>
    <row r="752" spans="1:19" ht="15" x14ac:dyDescent="0.25">
      <c r="A752" s="150">
        <v>8</v>
      </c>
      <c r="B752" s="150">
        <v>1955</v>
      </c>
      <c r="C752" s="151" t="s">
        <v>139</v>
      </c>
      <c r="D752" s="181">
        <f t="shared" si="102"/>
        <v>2325931.7399999993</v>
      </c>
      <c r="E752" s="153"/>
      <c r="F752" s="153"/>
      <c r="G752" s="154">
        <f t="shared" si="104"/>
        <v>2325931.7399999993</v>
      </c>
      <c r="H752" s="154"/>
      <c r="I752" s="154">
        <v>0</v>
      </c>
      <c r="J752" s="158"/>
      <c r="K752" s="182">
        <f t="shared" si="103"/>
        <v>-2234145.0514936983</v>
      </c>
      <c r="L752" s="153">
        <v>-40981.8381750685</v>
      </c>
      <c r="M752" s="153"/>
      <c r="N752" s="154">
        <f t="shared" si="105"/>
        <v>-2275126.8896687669</v>
      </c>
      <c r="O752" s="155">
        <f t="shared" si="106"/>
        <v>50804.850331232417</v>
      </c>
      <c r="S752" s="156" t="s">
        <v>358</v>
      </c>
    </row>
    <row r="753" spans="1:19" ht="15" x14ac:dyDescent="0.25">
      <c r="A753" s="150"/>
      <c r="B753" s="150">
        <v>1955</v>
      </c>
      <c r="C753" s="151" t="s">
        <v>140</v>
      </c>
      <c r="D753" s="181">
        <f t="shared" si="102"/>
        <v>0</v>
      </c>
      <c r="E753" s="153"/>
      <c r="F753" s="153"/>
      <c r="G753" s="154">
        <f t="shared" si="104"/>
        <v>0</v>
      </c>
      <c r="H753" s="154"/>
      <c r="I753" s="154">
        <v>0</v>
      </c>
      <c r="J753" s="158"/>
      <c r="K753" s="182">
        <f t="shared" si="103"/>
        <v>0</v>
      </c>
      <c r="L753" s="153"/>
      <c r="M753" s="153"/>
      <c r="N753" s="154">
        <f t="shared" si="105"/>
        <v>0</v>
      </c>
      <c r="O753" s="155">
        <f t="shared" si="106"/>
        <v>0</v>
      </c>
      <c r="S753" s="156" t="s">
        <v>358</v>
      </c>
    </row>
    <row r="754" spans="1:19" ht="15" x14ac:dyDescent="0.25">
      <c r="A754" s="150">
        <v>8</v>
      </c>
      <c r="B754" s="150">
        <v>1960</v>
      </c>
      <c r="C754" s="151" t="s">
        <v>141</v>
      </c>
      <c r="D754" s="181">
        <f t="shared" si="102"/>
        <v>470214.34999999992</v>
      </c>
      <c r="E754" s="153"/>
      <c r="F754" s="153"/>
      <c r="G754" s="154">
        <f t="shared" si="104"/>
        <v>470214.34999999992</v>
      </c>
      <c r="H754" s="154"/>
      <c r="I754" s="154">
        <v>0</v>
      </c>
      <c r="J754" s="158"/>
      <c r="K754" s="182">
        <f t="shared" si="103"/>
        <v>-458404.85695287667</v>
      </c>
      <c r="L754" s="153">
        <v>-5933.8969876712326</v>
      </c>
      <c r="M754" s="153"/>
      <c r="N754" s="154">
        <f t="shared" si="105"/>
        <v>-464338.75394054787</v>
      </c>
      <c r="O754" s="155">
        <f t="shared" si="106"/>
        <v>5875.5960594520438</v>
      </c>
      <c r="S754" s="156" t="s">
        <v>359</v>
      </c>
    </row>
    <row r="755" spans="1:19" ht="15" x14ac:dyDescent="0.25">
      <c r="A755" s="150"/>
      <c r="B755" s="150">
        <v>1970</v>
      </c>
      <c r="C755" s="151" t="s">
        <v>142</v>
      </c>
      <c r="D755" s="181">
        <f t="shared" si="102"/>
        <v>0</v>
      </c>
      <c r="E755" s="153"/>
      <c r="F755" s="153"/>
      <c r="G755" s="154">
        <f t="shared" si="104"/>
        <v>0</v>
      </c>
      <c r="H755" s="154"/>
      <c r="I755" s="154">
        <v>0</v>
      </c>
      <c r="J755" s="158"/>
      <c r="K755" s="182">
        <f t="shared" si="103"/>
        <v>0</v>
      </c>
      <c r="L755" s="153"/>
      <c r="M755" s="153"/>
      <c r="N755" s="154">
        <f t="shared" si="105"/>
        <v>0</v>
      </c>
      <c r="O755" s="155">
        <f t="shared" si="106"/>
        <v>0</v>
      </c>
      <c r="S755" s="156" t="s">
        <v>360</v>
      </c>
    </row>
    <row r="756" spans="1:19" ht="15" x14ac:dyDescent="0.25">
      <c r="A756" s="150"/>
      <c r="B756" s="150">
        <v>1975</v>
      </c>
      <c r="C756" s="151" t="s">
        <v>143</v>
      </c>
      <c r="D756" s="181">
        <f t="shared" si="102"/>
        <v>0</v>
      </c>
      <c r="E756" s="153"/>
      <c r="F756" s="153"/>
      <c r="G756" s="154">
        <f t="shared" si="104"/>
        <v>0</v>
      </c>
      <c r="H756" s="154"/>
      <c r="I756" s="154">
        <v>0</v>
      </c>
      <c r="J756" s="158"/>
      <c r="K756" s="182">
        <f t="shared" si="103"/>
        <v>0</v>
      </c>
      <c r="L756" s="153"/>
      <c r="M756" s="153"/>
      <c r="N756" s="154">
        <f t="shared" si="105"/>
        <v>0</v>
      </c>
      <c r="O756" s="155">
        <f t="shared" si="106"/>
        <v>0</v>
      </c>
      <c r="S756" s="156" t="s">
        <v>361</v>
      </c>
    </row>
    <row r="757" spans="1:19" ht="15" x14ac:dyDescent="0.25">
      <c r="A757" s="150">
        <v>8</v>
      </c>
      <c r="B757" s="150">
        <v>1980</v>
      </c>
      <c r="C757" s="151" t="s">
        <v>144</v>
      </c>
      <c r="D757" s="181">
        <f t="shared" si="102"/>
        <v>14894400.568335406</v>
      </c>
      <c r="E757" s="153">
        <v>1415984.4627999999</v>
      </c>
      <c r="F757" s="153">
        <v>-64303.75</v>
      </c>
      <c r="G757" s="154">
        <f t="shared" si="104"/>
        <v>16246081.281135406</v>
      </c>
      <c r="H757" s="154"/>
      <c r="I757" s="154">
        <v>0</v>
      </c>
      <c r="J757" s="158"/>
      <c r="K757" s="182">
        <f t="shared" si="103"/>
        <v>-8654001.2593741659</v>
      </c>
      <c r="L757" s="153">
        <v>-784209.76246957527</v>
      </c>
      <c r="M757" s="153">
        <v>36861.201799726026</v>
      </c>
      <c r="N757" s="154">
        <f t="shared" si="105"/>
        <v>-9401349.8200440146</v>
      </c>
      <c r="O757" s="155">
        <f t="shared" si="106"/>
        <v>6844731.4610913917</v>
      </c>
      <c r="S757" s="156" t="s">
        <v>362</v>
      </c>
    </row>
    <row r="758" spans="1:19" ht="15" x14ac:dyDescent="0.25">
      <c r="A758" s="150"/>
      <c r="B758" s="150">
        <v>1985</v>
      </c>
      <c r="C758" s="151" t="s">
        <v>145</v>
      </c>
      <c r="D758" s="181">
        <f t="shared" si="102"/>
        <v>0</v>
      </c>
      <c r="E758" s="153"/>
      <c r="F758" s="153"/>
      <c r="G758" s="154">
        <f t="shared" si="104"/>
        <v>0</v>
      </c>
      <c r="H758" s="154"/>
      <c r="I758" s="154">
        <v>0</v>
      </c>
      <c r="J758" s="158"/>
      <c r="K758" s="182">
        <f t="shared" si="103"/>
        <v>0</v>
      </c>
      <c r="L758" s="153"/>
      <c r="M758" s="153"/>
      <c r="N758" s="154">
        <f t="shared" si="105"/>
        <v>0</v>
      </c>
      <c r="O758" s="155">
        <f t="shared" si="106"/>
        <v>0</v>
      </c>
      <c r="S758" s="156" t="s">
        <v>363</v>
      </c>
    </row>
    <row r="759" spans="1:19" ht="15" x14ac:dyDescent="0.25">
      <c r="A759" s="150"/>
      <c r="B759" s="150">
        <v>1990</v>
      </c>
      <c r="C759" s="159" t="s">
        <v>146</v>
      </c>
      <c r="D759" s="181">
        <f t="shared" si="102"/>
        <v>0</v>
      </c>
      <c r="E759" s="153"/>
      <c r="F759" s="153"/>
      <c r="G759" s="154">
        <f t="shared" si="104"/>
        <v>0</v>
      </c>
      <c r="H759" s="154"/>
      <c r="I759" s="154">
        <v>0</v>
      </c>
      <c r="J759" s="158"/>
      <c r="K759" s="182">
        <f t="shared" si="103"/>
        <v>0</v>
      </c>
      <c r="L759" s="153"/>
      <c r="M759" s="153"/>
      <c r="N759" s="154">
        <f t="shared" si="105"/>
        <v>0</v>
      </c>
      <c r="O759" s="155">
        <f t="shared" si="106"/>
        <v>0</v>
      </c>
      <c r="S759" s="156" t="s">
        <v>364</v>
      </c>
    </row>
    <row r="760" spans="1:19" ht="15" x14ac:dyDescent="0.25">
      <c r="A760" s="150"/>
      <c r="B760" s="150">
        <v>1995</v>
      </c>
      <c r="C760" s="151" t="s">
        <v>147</v>
      </c>
      <c r="D760" s="181">
        <f t="shared" si="102"/>
        <v>0</v>
      </c>
      <c r="E760" s="153"/>
      <c r="F760" s="153"/>
      <c r="G760" s="154">
        <f t="shared" si="104"/>
        <v>0</v>
      </c>
      <c r="H760" s="154"/>
      <c r="I760" s="154">
        <v>0</v>
      </c>
      <c r="J760" s="158"/>
      <c r="K760" s="182">
        <f t="shared" si="103"/>
        <v>0</v>
      </c>
      <c r="L760" s="153"/>
      <c r="M760" s="153"/>
      <c r="N760" s="154">
        <f t="shared" si="105"/>
        <v>0</v>
      </c>
      <c r="O760" s="155">
        <f t="shared" si="106"/>
        <v>0</v>
      </c>
      <c r="S760" s="156" t="s">
        <v>365</v>
      </c>
    </row>
    <row r="761" spans="1:19" ht="15" x14ac:dyDescent="0.25">
      <c r="A761" s="150">
        <v>43.2</v>
      </c>
      <c r="B761" s="150">
        <v>2075</v>
      </c>
      <c r="C761" s="151" t="s">
        <v>148</v>
      </c>
      <c r="D761" s="181">
        <f t="shared" si="102"/>
        <v>1251765.9099999997</v>
      </c>
      <c r="E761" s="153"/>
      <c r="F761" s="153"/>
      <c r="G761" s="154">
        <f t="shared" si="104"/>
        <v>1251765.9099999997</v>
      </c>
      <c r="H761" s="154"/>
      <c r="I761" s="154">
        <v>0</v>
      </c>
      <c r="J761" s="184"/>
      <c r="K761" s="181">
        <f t="shared" si="103"/>
        <v>-850030.31120383588</v>
      </c>
      <c r="L761" s="153">
        <v>-52509.521900000007</v>
      </c>
      <c r="M761" s="153"/>
      <c r="N761" s="154">
        <f t="shared" si="105"/>
        <v>-902539.83310383593</v>
      </c>
      <c r="O761" s="155">
        <f t="shared" si="106"/>
        <v>349226.07689616375</v>
      </c>
      <c r="S761" s="156"/>
    </row>
    <row r="762" spans="1:19" ht="15" x14ac:dyDescent="0.25">
      <c r="A762" s="150">
        <v>47</v>
      </c>
      <c r="B762" s="150">
        <v>2440</v>
      </c>
      <c r="C762" s="151" t="s">
        <v>149</v>
      </c>
      <c r="D762" s="181">
        <f t="shared" si="102"/>
        <v>-328102118.35680848</v>
      </c>
      <c r="E762" s="153">
        <v>-36032585.510000005</v>
      </c>
      <c r="F762" s="153">
        <v>96599.463522532227</v>
      </c>
      <c r="G762" s="154">
        <f t="shared" si="104"/>
        <v>-364038104.40328592</v>
      </c>
      <c r="H762" s="154"/>
      <c r="I762" s="154">
        <v>0</v>
      </c>
      <c r="K762" s="181">
        <f t="shared" si="103"/>
        <v>46092179.030289836</v>
      </c>
      <c r="L762" s="153">
        <v>8307214.3451970555</v>
      </c>
      <c r="M762" s="153">
        <v>-26138.460476326611</v>
      </c>
      <c r="N762" s="154">
        <f t="shared" si="105"/>
        <v>54373254.915010571</v>
      </c>
      <c r="O762" s="155">
        <f t="shared" si="106"/>
        <v>-309664849.48827535</v>
      </c>
      <c r="S762" s="156" t="s">
        <v>366</v>
      </c>
    </row>
    <row r="763" spans="1:19" ht="15" x14ac:dyDescent="0.25">
      <c r="A763" s="160" t="s">
        <v>109</v>
      </c>
      <c r="B763" s="160">
        <v>2005</v>
      </c>
      <c r="C763" s="161" t="s">
        <v>150</v>
      </c>
      <c r="D763" s="181">
        <f t="shared" si="102"/>
        <v>1949864.7900000003</v>
      </c>
      <c r="E763" s="162">
        <v>0</v>
      </c>
      <c r="F763" s="162"/>
      <c r="G763" s="154">
        <f t="shared" si="104"/>
        <v>1949864.7900000003</v>
      </c>
      <c r="H763" s="154"/>
      <c r="I763" s="154">
        <v>0</v>
      </c>
      <c r="K763" s="181">
        <f t="shared" si="103"/>
        <v>-1949864.7899999998</v>
      </c>
      <c r="L763" s="162"/>
      <c r="M763" s="162"/>
      <c r="N763" s="154">
        <f t="shared" si="105"/>
        <v>-1949864.7899999998</v>
      </c>
      <c r="O763" s="155">
        <f t="shared" si="106"/>
        <v>0</v>
      </c>
      <c r="S763" s="156" t="s">
        <v>367</v>
      </c>
    </row>
    <row r="764" spans="1:19" x14ac:dyDescent="0.2">
      <c r="A764" s="160"/>
      <c r="B764" s="160"/>
      <c r="C764" s="164" t="s">
        <v>20</v>
      </c>
      <c r="D764" s="165">
        <f>SUM(D720:D763)</f>
        <v>1120931515.6993659</v>
      </c>
      <c r="E764" s="165">
        <f>SUM(E720:E763)</f>
        <v>127905557.48</v>
      </c>
      <c r="F764" s="165">
        <f>SUM(F720:F763)</f>
        <v>-6841181.9034300121</v>
      </c>
      <c r="G764" s="165">
        <f>SUM(G720:G763)</f>
        <v>1241995891.2759361</v>
      </c>
      <c r="H764" s="165"/>
      <c r="I764" s="165">
        <f>SUM(I720:I763)</f>
        <v>0</v>
      </c>
      <c r="J764" s="167"/>
      <c r="K764" s="165">
        <f>SUM(K720:K763)</f>
        <v>-328221591.76693505</v>
      </c>
      <c r="L764" s="165">
        <f>SUM(L720:L763)</f>
        <v>-37552559.420659661</v>
      </c>
      <c r="M764" s="165">
        <f>SUM(M720:M763)</f>
        <v>4493850.3001043592</v>
      </c>
      <c r="N764" s="165">
        <f>SUM(N720:N763)</f>
        <v>-361280300.88749027</v>
      </c>
      <c r="O764" s="165">
        <f>SUM(O720:O763)</f>
        <v>880715590.38844657</v>
      </c>
    </row>
    <row r="765" spans="1:19" ht="25.5" x14ac:dyDescent="0.25">
      <c r="A765" s="160"/>
      <c r="B765" s="160"/>
      <c r="C765" s="168" t="s">
        <v>151</v>
      </c>
      <c r="D765" s="183">
        <f>G698</f>
        <v>-675735.92449999996</v>
      </c>
      <c r="E765" s="153"/>
      <c r="F765" s="153"/>
      <c r="G765" s="154">
        <f>D765+E765+F765</f>
        <v>-675735.92449999996</v>
      </c>
      <c r="H765" s="154"/>
      <c r="I765" s="154"/>
      <c r="K765" s="178">
        <f>N698</f>
        <v>497445.8893222739</v>
      </c>
      <c r="L765" s="153">
        <v>34408.389014361645</v>
      </c>
      <c r="M765" s="153"/>
      <c r="N765" s="154">
        <f>K765+L765+M765</f>
        <v>531854.27833663556</v>
      </c>
      <c r="O765" s="155">
        <f>G765+N765</f>
        <v>-143881.64616336441</v>
      </c>
    </row>
    <row r="766" spans="1:19" ht="24.75" x14ac:dyDescent="0.25">
      <c r="A766" s="160"/>
      <c r="B766" s="160"/>
      <c r="C766" s="169" t="s">
        <v>152</v>
      </c>
      <c r="D766" s="183">
        <f>G699</f>
        <v>-1251765.9099999997</v>
      </c>
      <c r="E766" s="153">
        <f>-E761</f>
        <v>0</v>
      </c>
      <c r="F766" s="153">
        <f>-F761</f>
        <v>0</v>
      </c>
      <c r="G766" s="154">
        <f>D766+E766+F766</f>
        <v>-1251765.9099999997</v>
      </c>
      <c r="H766" s="154"/>
      <c r="I766" s="154"/>
      <c r="K766" s="178">
        <f>N699</f>
        <v>850030.31120383588</v>
      </c>
      <c r="L766" s="153">
        <f>-L761</f>
        <v>52509.521900000007</v>
      </c>
      <c r="M766" s="153">
        <f>-M761</f>
        <v>0</v>
      </c>
      <c r="N766" s="154">
        <f>K766+L766+M766</f>
        <v>902539.83310383593</v>
      </c>
      <c r="O766" s="155">
        <f>G766+N766</f>
        <v>-349226.07689616375</v>
      </c>
    </row>
    <row r="767" spans="1:19" ht="15" x14ac:dyDescent="0.25">
      <c r="A767" s="160"/>
      <c r="B767" s="160"/>
      <c r="C767" s="164" t="s">
        <v>153</v>
      </c>
      <c r="D767" s="165">
        <f>SUM(D764:D766)</f>
        <v>1119004013.8648658</v>
      </c>
      <c r="E767" s="165">
        <f>SUM(E764:E766)</f>
        <v>127905557.48</v>
      </c>
      <c r="F767" s="165">
        <f>SUM(F764:F766)</f>
        <v>-6841181.9034300121</v>
      </c>
      <c r="G767" s="165">
        <f>SUM(G764:G766)</f>
        <v>1240068389.4414361</v>
      </c>
      <c r="H767" s="165"/>
      <c r="I767" s="154"/>
      <c r="J767" s="167"/>
      <c r="K767" s="165">
        <f>SUM(K764:K766)</f>
        <v>-326874115.56640893</v>
      </c>
      <c r="L767" s="165">
        <f>SUM(L764:L766)</f>
        <v>-37465641.5097453</v>
      </c>
      <c r="M767" s="165">
        <f>SUM(M764:M766)</f>
        <v>4493850.3001043592</v>
      </c>
      <c r="N767" s="165">
        <f>SUM(N764:N766)</f>
        <v>-359845906.77604979</v>
      </c>
      <c r="O767" s="165">
        <f>SUM(O764:O766)</f>
        <v>880222482.66538703</v>
      </c>
    </row>
    <row r="768" spans="1:19" ht="15" x14ac:dyDescent="0.25">
      <c r="A768" s="160"/>
      <c r="B768" s="160"/>
      <c r="C768" s="170" t="s">
        <v>154</v>
      </c>
      <c r="D768" s="183">
        <f>G701</f>
        <v>146212879.57721996</v>
      </c>
      <c r="E768" s="153">
        <f>22940427.6599999-1832420.38</f>
        <v>21108007.279999901</v>
      </c>
      <c r="F768" s="153"/>
      <c r="G768" s="154">
        <f t="shared" ref="G768" si="107">D768+E768+F768</f>
        <v>167320886.85721987</v>
      </c>
      <c r="H768" s="154"/>
      <c r="I768" s="154">
        <v>0</v>
      </c>
      <c r="J768" s="158"/>
      <c r="N768" s="154">
        <f t="shared" ref="N768" si="108">K768+L768+M768</f>
        <v>0</v>
      </c>
      <c r="O768" s="155">
        <f t="shared" ref="O768" si="109">G768+N768</f>
        <v>167320886.85721987</v>
      </c>
    </row>
    <row r="769" spans="1:15" x14ac:dyDescent="0.2">
      <c r="A769" s="160"/>
      <c r="B769" s="160"/>
      <c r="C769" s="170" t="s">
        <v>155</v>
      </c>
      <c r="D769" s="165">
        <f>SUM(D767:D768)</f>
        <v>1265216893.4420857</v>
      </c>
      <c r="E769" s="165">
        <f t="shared" ref="E769:G769" si="110">SUM(E767:E768)</f>
        <v>149013564.7599999</v>
      </c>
      <c r="F769" s="165">
        <f t="shared" si="110"/>
        <v>-6841181.9034300121</v>
      </c>
      <c r="G769" s="165">
        <f t="shared" si="110"/>
        <v>1407389276.298656</v>
      </c>
      <c r="H769" s="165"/>
      <c r="I769" s="165">
        <f t="shared" ref="I769:O769" si="111">SUM(I767:I768)</f>
        <v>0</v>
      </c>
      <c r="J769" s="165">
        <f t="shared" si="111"/>
        <v>0</v>
      </c>
      <c r="K769" s="165">
        <f t="shared" si="111"/>
        <v>-326874115.56640893</v>
      </c>
      <c r="L769" s="165">
        <f t="shared" si="111"/>
        <v>-37465641.5097453</v>
      </c>
      <c r="M769" s="165">
        <f t="shared" si="111"/>
        <v>4493850.3001043592</v>
      </c>
      <c r="N769" s="165">
        <f t="shared" si="111"/>
        <v>-359845906.77604979</v>
      </c>
      <c r="O769" s="165">
        <f t="shared" si="111"/>
        <v>1047543369.5226068</v>
      </c>
    </row>
    <row r="770" spans="1:15" ht="15" x14ac:dyDescent="0.25">
      <c r="A770" s="160"/>
      <c r="B770" s="160"/>
      <c r="C770" s="359" t="s">
        <v>156</v>
      </c>
      <c r="D770" s="360"/>
      <c r="E770" s="360"/>
      <c r="F770" s="360"/>
      <c r="G770" s="360"/>
      <c r="H770" s="360"/>
      <c r="I770" s="360"/>
      <c r="J770" s="360"/>
      <c r="K770" s="361"/>
      <c r="L770" s="162"/>
      <c r="N770" s="171"/>
      <c r="O770" s="172"/>
    </row>
    <row r="771" spans="1:15" ht="15" x14ac:dyDescent="0.25">
      <c r="A771" s="160"/>
      <c r="B771" s="160"/>
      <c r="C771" s="359" t="s">
        <v>43</v>
      </c>
      <c r="D771" s="360"/>
      <c r="E771" s="360"/>
      <c r="F771" s="360"/>
      <c r="G771" s="360"/>
      <c r="H771" s="360"/>
      <c r="I771" s="360"/>
      <c r="J771" s="360"/>
      <c r="K771" s="361"/>
      <c r="L771" s="165">
        <f>L769+L770</f>
        <v>-37465641.5097453</v>
      </c>
      <c r="N771" s="171"/>
      <c r="O771" s="172"/>
    </row>
    <row r="772" spans="1:15" ht="24.75" customHeight="1" x14ac:dyDescent="0.2">
      <c r="D772" s="355" t="s">
        <v>157</v>
      </c>
      <c r="E772" s="355"/>
      <c r="F772" s="355"/>
      <c r="G772" s="172">
        <f>AVERAGE(D767,G767)</f>
        <v>1179536201.653151</v>
      </c>
      <c r="H772" s="172"/>
      <c r="K772" s="124" t="s">
        <v>158</v>
      </c>
      <c r="N772" s="172">
        <f>AVERAGE(K767,N767)</f>
        <v>-343360011.17122936</v>
      </c>
    </row>
    <row r="773" spans="1:15" x14ac:dyDescent="0.2">
      <c r="D773" s="124"/>
      <c r="G773" s="172"/>
      <c r="H773" s="172"/>
      <c r="K773" s="124" t="s">
        <v>159</v>
      </c>
      <c r="N773" s="172">
        <f>G772+N772</f>
        <v>836176190.48192167</v>
      </c>
    </row>
    <row r="774" spans="1:15" x14ac:dyDescent="0.2">
      <c r="K774" s="123" t="s">
        <v>160</v>
      </c>
    </row>
    <row r="775" spans="1:15" ht="15" x14ac:dyDescent="0.25">
      <c r="A775" s="160">
        <v>10</v>
      </c>
      <c r="B775" s="160"/>
      <c r="C775" s="173" t="s">
        <v>161</v>
      </c>
      <c r="D775" s="174"/>
      <c r="E775" s="174"/>
      <c r="F775" s="174"/>
      <c r="G775" s="174"/>
      <c r="H775" s="174"/>
      <c r="I775" s="174"/>
      <c r="J775" s="174"/>
      <c r="K775" s="174" t="s">
        <v>161</v>
      </c>
      <c r="L775" s="174"/>
      <c r="M775" s="175">
        <f>+L747</f>
        <v>-2367571.9215019178</v>
      </c>
    </row>
    <row r="776" spans="1:15" ht="15" x14ac:dyDescent="0.25">
      <c r="A776" s="160"/>
      <c r="B776" s="160"/>
      <c r="C776" s="174" t="s">
        <v>162</v>
      </c>
      <c r="D776" s="174"/>
      <c r="E776" s="174"/>
      <c r="F776" s="174"/>
      <c r="G776" s="174"/>
      <c r="H776" s="174"/>
      <c r="I776" s="174"/>
      <c r="J776" s="174"/>
      <c r="K776" s="174" t="s">
        <v>162</v>
      </c>
      <c r="L776" s="174"/>
      <c r="M776" s="175">
        <f>-F764-M764+F762+M762</f>
        <v>2417792.6063718582</v>
      </c>
    </row>
    <row r="777" spans="1:15" ht="15" x14ac:dyDescent="0.25">
      <c r="A777" s="160">
        <v>47</v>
      </c>
      <c r="B777" s="160"/>
      <c r="C777" s="173" t="s">
        <v>166</v>
      </c>
      <c r="D777" s="174"/>
      <c r="E777" s="174"/>
      <c r="F777" s="174"/>
      <c r="G777" s="174"/>
      <c r="H777" s="174"/>
      <c r="I777" s="174"/>
      <c r="J777" s="174"/>
      <c r="K777" s="174" t="s">
        <v>166</v>
      </c>
      <c r="L777" s="174"/>
      <c r="M777" s="175">
        <f>-F762-M762</f>
        <v>-70461.003046205617</v>
      </c>
    </row>
    <row r="778" spans="1:15" x14ac:dyDescent="0.2">
      <c r="K778" s="353" t="s">
        <v>164</v>
      </c>
      <c r="L778" s="354"/>
      <c r="M778" s="177">
        <f>L771-M775-M776-M777</f>
        <v>-37445401.19156903</v>
      </c>
    </row>
    <row r="782" spans="1:15" ht="15.75" thickBot="1" x14ac:dyDescent="0.25">
      <c r="E782" s="135" t="s">
        <v>94</v>
      </c>
      <c r="F782" s="136" t="s">
        <v>12</v>
      </c>
    </row>
    <row r="783" spans="1:15" ht="15.75" thickBot="1" x14ac:dyDescent="0.3">
      <c r="E783" s="135" t="s">
        <v>95</v>
      </c>
      <c r="F783" s="137">
        <v>2031</v>
      </c>
      <c r="G783" s="138"/>
      <c r="H783" s="138"/>
      <c r="I783" s="139" t="b">
        <f>IF(F783=2014,4,IF(F783=2015,5,IF(F783=2016,6,IF(F783=2017,7,IF(F783=2018,8,IF(F783=2019,9,IF(F783=2020,10)))))))</f>
        <v>0</v>
      </c>
    </row>
    <row r="785" spans="1:19" x14ac:dyDescent="0.2">
      <c r="D785" s="356" t="s">
        <v>96</v>
      </c>
      <c r="E785" s="357"/>
      <c r="F785" s="357"/>
      <c r="G785" s="357"/>
      <c r="H785" s="357"/>
      <c r="I785" s="358"/>
      <c r="K785" s="140"/>
      <c r="L785" s="141" t="s">
        <v>97</v>
      </c>
      <c r="M785" s="141"/>
      <c r="N785" s="142"/>
    </row>
    <row r="786" spans="1:19" ht="30" customHeight="1" x14ac:dyDescent="0.2">
      <c r="A786" s="143" t="s">
        <v>98</v>
      </c>
      <c r="B786" s="143" t="s">
        <v>99</v>
      </c>
      <c r="C786" s="144" t="s">
        <v>100</v>
      </c>
      <c r="D786" s="143" t="s">
        <v>101</v>
      </c>
      <c r="E786" s="145" t="s">
        <v>102</v>
      </c>
      <c r="F786" s="145" t="s">
        <v>103</v>
      </c>
      <c r="G786" s="143" t="s">
        <v>104</v>
      </c>
      <c r="H786" s="143"/>
      <c r="I786" s="143" t="s">
        <v>105</v>
      </c>
      <c r="J786" s="146"/>
      <c r="K786" s="143" t="s">
        <v>101</v>
      </c>
      <c r="L786" s="147" t="s">
        <v>106</v>
      </c>
      <c r="M786" s="147" t="s">
        <v>103</v>
      </c>
      <c r="N786" s="148" t="s">
        <v>104</v>
      </c>
      <c r="O786" s="143" t="s">
        <v>107</v>
      </c>
    </row>
    <row r="787" spans="1:19" ht="15" x14ac:dyDescent="0.25">
      <c r="A787" s="149">
        <v>14.1</v>
      </c>
      <c r="B787" s="150">
        <v>1609</v>
      </c>
      <c r="C787" s="151" t="s">
        <v>108</v>
      </c>
      <c r="D787" s="181">
        <f t="shared" ref="D787:D830" si="112">G720</f>
        <v>26577511.756089997</v>
      </c>
      <c r="E787" s="153">
        <v>22113830.140000001</v>
      </c>
      <c r="F787" s="153"/>
      <c r="G787" s="154">
        <f>D787+E787+F787</f>
        <v>48691341.896090001</v>
      </c>
      <c r="H787" s="154"/>
      <c r="I787" s="154">
        <v>0</v>
      </c>
      <c r="J787" s="146"/>
      <c r="K787" s="182">
        <f t="shared" ref="K787:K830" si="113">N720</f>
        <v>-8234881.1631507203</v>
      </c>
      <c r="L787" s="153">
        <v>-1818305.9495436</v>
      </c>
      <c r="M787" s="153"/>
      <c r="N787" s="154">
        <f>K787+L787+M787</f>
        <v>-10053187.112694319</v>
      </c>
      <c r="O787" s="155">
        <f>G787+N787</f>
        <v>38638154.783395678</v>
      </c>
      <c r="S787" s="156" t="s">
        <v>332</v>
      </c>
    </row>
    <row r="788" spans="1:19" ht="15" x14ac:dyDescent="0.25">
      <c r="A788" s="149" t="s">
        <v>109</v>
      </c>
      <c r="B788" s="150">
        <v>1610</v>
      </c>
      <c r="C788" s="151" t="s">
        <v>110</v>
      </c>
      <c r="D788" s="181">
        <f t="shared" si="112"/>
        <v>4560266.58</v>
      </c>
      <c r="E788" s="153"/>
      <c r="F788" s="153"/>
      <c r="G788" s="154">
        <f>D788+E788+F788</f>
        <v>4560266.58</v>
      </c>
      <c r="H788" s="154"/>
      <c r="I788" s="154">
        <v>0</v>
      </c>
      <c r="J788" s="146"/>
      <c r="K788" s="182">
        <f t="shared" si="113"/>
        <v>-4443619.0026454814</v>
      </c>
      <c r="L788" s="153">
        <v>-46684.611599999997</v>
      </c>
      <c r="M788" s="153"/>
      <c r="N788" s="154">
        <f>K788+L788+M788</f>
        <v>-4490303.6142454818</v>
      </c>
      <c r="O788" s="155">
        <f>G788+N788</f>
        <v>69962.965754518285</v>
      </c>
      <c r="S788" s="156"/>
    </row>
    <row r="789" spans="1:19" ht="15" x14ac:dyDescent="0.25">
      <c r="A789" s="150">
        <v>12</v>
      </c>
      <c r="B789" s="150">
        <v>1611</v>
      </c>
      <c r="C789" s="157" t="s">
        <v>111</v>
      </c>
      <c r="D789" s="181">
        <f t="shared" si="112"/>
        <v>35612461.830000006</v>
      </c>
      <c r="E789" s="153">
        <v>3346470.835</v>
      </c>
      <c r="F789" s="153"/>
      <c r="G789" s="154">
        <f>D789+E789+F789</f>
        <v>38958932.665000007</v>
      </c>
      <c r="H789" s="154"/>
      <c r="I789" s="154">
        <v>0</v>
      </c>
      <c r="J789" s="158"/>
      <c r="K789" s="182">
        <f t="shared" si="113"/>
        <v>-32069685.821666665</v>
      </c>
      <c r="L789" s="153">
        <v>-2357986.4008333334</v>
      </c>
      <c r="M789" s="153"/>
      <c r="N789" s="154">
        <f>K789+L789+M789</f>
        <v>-34427672.222499996</v>
      </c>
      <c r="O789" s="155">
        <f>G789+N789</f>
        <v>4531260.4425000101</v>
      </c>
      <c r="S789" s="156" t="s">
        <v>333</v>
      </c>
    </row>
    <row r="790" spans="1:19" ht="15" x14ac:dyDescent="0.25">
      <c r="A790" s="150">
        <v>14.1</v>
      </c>
      <c r="B790" s="150">
        <v>1612</v>
      </c>
      <c r="C790" s="151" t="s">
        <v>112</v>
      </c>
      <c r="D790" s="181">
        <f t="shared" si="112"/>
        <v>4302600.6100000003</v>
      </c>
      <c r="E790" s="153">
        <v>0</v>
      </c>
      <c r="F790" s="153"/>
      <c r="G790" s="154">
        <f>D790+E790+F790</f>
        <v>4302600.6100000003</v>
      </c>
      <c r="H790" s="154"/>
      <c r="I790" s="154">
        <v>0</v>
      </c>
      <c r="J790" s="158"/>
      <c r="K790" s="182">
        <f t="shared" si="113"/>
        <v>-202499.12862246574</v>
      </c>
      <c r="L790" s="153">
        <v>-12301.7492</v>
      </c>
      <c r="M790" s="153"/>
      <c r="N790" s="154">
        <f>K790+L790+M790</f>
        <v>-214800.87782246573</v>
      </c>
      <c r="O790" s="155">
        <f>G790+N790</f>
        <v>4087799.7321775346</v>
      </c>
      <c r="S790" s="156" t="s">
        <v>334</v>
      </c>
    </row>
    <row r="791" spans="1:19" ht="15" x14ac:dyDescent="0.25">
      <c r="A791" s="150" t="s">
        <v>109</v>
      </c>
      <c r="B791" s="150">
        <v>1805</v>
      </c>
      <c r="C791" s="151" t="s">
        <v>113</v>
      </c>
      <c r="D791" s="181">
        <f t="shared" si="112"/>
        <v>4190619.8899999997</v>
      </c>
      <c r="E791" s="153">
        <v>7500000</v>
      </c>
      <c r="F791" s="153"/>
      <c r="G791" s="154">
        <f>D791+E791+F791</f>
        <v>11690619.890000001</v>
      </c>
      <c r="H791" s="154"/>
      <c r="I791" s="154">
        <v>0</v>
      </c>
      <c r="J791" s="158"/>
      <c r="K791" s="182">
        <f t="shared" si="113"/>
        <v>0</v>
      </c>
      <c r="L791" s="153"/>
      <c r="M791" s="153"/>
      <c r="N791" s="154">
        <f>K791+L791+M791</f>
        <v>0</v>
      </c>
      <c r="O791" s="155">
        <f>G791+N791</f>
        <v>11690619.890000001</v>
      </c>
      <c r="S791" s="156" t="s">
        <v>335</v>
      </c>
    </row>
    <row r="792" spans="1:19" ht="15" x14ac:dyDescent="0.25">
      <c r="A792" s="150">
        <v>47</v>
      </c>
      <c r="B792" s="150">
        <v>1808</v>
      </c>
      <c r="C792" s="151" t="s">
        <v>114</v>
      </c>
      <c r="D792" s="181">
        <f t="shared" si="112"/>
        <v>1409044.04</v>
      </c>
      <c r="E792" s="153"/>
      <c r="F792" s="153"/>
      <c r="G792" s="154">
        <f t="shared" ref="G792:G830" si="114">D792+E792+F792</f>
        <v>1409044.04</v>
      </c>
      <c r="H792" s="154"/>
      <c r="I792" s="154">
        <v>0</v>
      </c>
      <c r="J792" s="158"/>
      <c r="K792" s="182">
        <f t="shared" si="113"/>
        <v>-1278532.9556191782</v>
      </c>
      <c r="L792" s="153">
        <v>-9573.8109999999997</v>
      </c>
      <c r="M792" s="153"/>
      <c r="N792" s="154">
        <f t="shared" ref="N792:N830" si="115">K792+L792+M792</f>
        <v>-1288106.7666191782</v>
      </c>
      <c r="O792" s="155">
        <f t="shared" ref="O792:O830" si="116">G792+N792</f>
        <v>120937.2733808218</v>
      </c>
      <c r="S792" s="156" t="s">
        <v>336</v>
      </c>
    </row>
    <row r="793" spans="1:19" ht="15" x14ac:dyDescent="0.25">
      <c r="A793" s="150"/>
      <c r="B793" s="150">
        <v>1810</v>
      </c>
      <c r="C793" s="151" t="s">
        <v>115</v>
      </c>
      <c r="D793" s="181">
        <f t="shared" si="112"/>
        <v>0</v>
      </c>
      <c r="E793" s="153"/>
      <c r="F793" s="153"/>
      <c r="G793" s="154">
        <f t="shared" si="114"/>
        <v>0</v>
      </c>
      <c r="H793" s="154"/>
      <c r="I793" s="154">
        <v>0</v>
      </c>
      <c r="J793" s="158"/>
      <c r="K793" s="182">
        <f t="shared" si="113"/>
        <v>0</v>
      </c>
      <c r="L793" s="153"/>
      <c r="M793" s="153"/>
      <c r="N793" s="154">
        <f t="shared" si="115"/>
        <v>0</v>
      </c>
      <c r="O793" s="155">
        <f t="shared" si="116"/>
        <v>0</v>
      </c>
      <c r="S793" s="156" t="s">
        <v>337</v>
      </c>
    </row>
    <row r="794" spans="1:19" ht="15" x14ac:dyDescent="0.25">
      <c r="A794" s="150">
        <v>47</v>
      </c>
      <c r="B794" s="150">
        <v>1815</v>
      </c>
      <c r="C794" s="151" t="s">
        <v>116</v>
      </c>
      <c r="D794" s="181">
        <f t="shared" si="112"/>
        <v>35021645.939999998</v>
      </c>
      <c r="E794" s="153">
        <v>73606503.617983267</v>
      </c>
      <c r="F794" s="153"/>
      <c r="G794" s="154">
        <f t="shared" si="114"/>
        <v>108628149.55798326</v>
      </c>
      <c r="H794" s="154"/>
      <c r="I794" s="154">
        <v>0</v>
      </c>
      <c r="J794" s="158"/>
      <c r="K794" s="182">
        <f t="shared" si="113"/>
        <v>-6346813.2576676719</v>
      </c>
      <c r="L794" s="153">
        <v>-1600653.7579098046</v>
      </c>
      <c r="M794" s="153"/>
      <c r="N794" s="154">
        <f t="shared" si="115"/>
        <v>-7947467.0155774765</v>
      </c>
      <c r="O794" s="155">
        <f t="shared" si="116"/>
        <v>100680682.54240578</v>
      </c>
      <c r="S794" s="156" t="s">
        <v>338</v>
      </c>
    </row>
    <row r="795" spans="1:19" ht="15" x14ac:dyDescent="0.25">
      <c r="A795" s="150">
        <v>47</v>
      </c>
      <c r="B795" s="150">
        <v>1820</v>
      </c>
      <c r="C795" s="151" t="s">
        <v>117</v>
      </c>
      <c r="D795" s="181">
        <f t="shared" si="112"/>
        <v>211515134.17901909</v>
      </c>
      <c r="E795" s="153">
        <v>32651881.840200003</v>
      </c>
      <c r="F795" s="153">
        <v>-2150201.81</v>
      </c>
      <c r="G795" s="154">
        <f t="shared" si="114"/>
        <v>242016814.2092191</v>
      </c>
      <c r="H795" s="154"/>
      <c r="I795" s="154">
        <v>0</v>
      </c>
      <c r="J795" s="158"/>
      <c r="K795" s="182">
        <f t="shared" si="113"/>
        <v>-32812154.505192496</v>
      </c>
      <c r="L795" s="153">
        <v>-5651955.5924679851</v>
      </c>
      <c r="M795" s="153">
        <v>857249.08243068471</v>
      </c>
      <c r="N795" s="154">
        <f t="shared" si="115"/>
        <v>-37606861.015229799</v>
      </c>
      <c r="O795" s="155">
        <f t="shared" si="116"/>
        <v>204409953.19398931</v>
      </c>
      <c r="S795" s="156" t="s">
        <v>339</v>
      </c>
    </row>
    <row r="796" spans="1:19" ht="15" x14ac:dyDescent="0.25">
      <c r="A796" s="150"/>
      <c r="B796" s="150">
        <v>1825</v>
      </c>
      <c r="C796" s="151" t="s">
        <v>118</v>
      </c>
      <c r="D796" s="181">
        <f t="shared" si="112"/>
        <v>0</v>
      </c>
      <c r="E796" s="153"/>
      <c r="F796" s="153"/>
      <c r="G796" s="154">
        <f t="shared" si="114"/>
        <v>0</v>
      </c>
      <c r="H796" s="154"/>
      <c r="I796" s="154">
        <v>0</v>
      </c>
      <c r="J796" s="158"/>
      <c r="K796" s="182">
        <f t="shared" si="113"/>
        <v>0</v>
      </c>
      <c r="L796" s="153"/>
      <c r="M796" s="153"/>
      <c r="N796" s="154">
        <f t="shared" si="115"/>
        <v>0</v>
      </c>
      <c r="O796" s="155">
        <f t="shared" si="116"/>
        <v>0</v>
      </c>
      <c r="S796" s="156" t="s">
        <v>340</v>
      </c>
    </row>
    <row r="797" spans="1:19" ht="15" x14ac:dyDescent="0.25">
      <c r="A797" s="150">
        <v>47</v>
      </c>
      <c r="B797" s="150">
        <v>1830</v>
      </c>
      <c r="C797" s="151" t="s">
        <v>119</v>
      </c>
      <c r="D797" s="181">
        <f t="shared" si="112"/>
        <v>304382773.73777878</v>
      </c>
      <c r="E797" s="153">
        <v>34426510.3345</v>
      </c>
      <c r="F797" s="153">
        <v>-437846.7212179302</v>
      </c>
      <c r="G797" s="154">
        <f t="shared" si="114"/>
        <v>338371437.35106087</v>
      </c>
      <c r="H797" s="154"/>
      <c r="I797" s="154">
        <v>0</v>
      </c>
      <c r="J797" s="158"/>
      <c r="K797" s="182">
        <f t="shared" si="113"/>
        <v>-56322655.874214701</v>
      </c>
      <c r="L797" s="153">
        <v>-8120639.9324963791</v>
      </c>
      <c r="M797" s="153">
        <v>152116.97435156687</v>
      </c>
      <c r="N797" s="154">
        <f t="shared" si="115"/>
        <v>-64291178.832359508</v>
      </c>
      <c r="O797" s="155">
        <f t="shared" si="116"/>
        <v>274080258.51870137</v>
      </c>
      <c r="S797" s="156" t="s">
        <v>341</v>
      </c>
    </row>
    <row r="798" spans="1:19" ht="15" x14ac:dyDescent="0.25">
      <c r="A798" s="150">
        <v>47</v>
      </c>
      <c r="B798" s="150">
        <v>1835</v>
      </c>
      <c r="C798" s="151" t="s">
        <v>120</v>
      </c>
      <c r="D798" s="181">
        <f t="shared" si="112"/>
        <v>226256407.0519315</v>
      </c>
      <c r="E798" s="153">
        <v>37096872.089899994</v>
      </c>
      <c r="F798" s="153">
        <v>-678408.646159322</v>
      </c>
      <c r="G798" s="154">
        <f t="shared" si="114"/>
        <v>262674870.49567217</v>
      </c>
      <c r="H798" s="154"/>
      <c r="I798" s="154">
        <v>0</v>
      </c>
      <c r="J798" s="158"/>
      <c r="K798" s="182">
        <f t="shared" si="113"/>
        <v>-35961707.296922095</v>
      </c>
      <c r="L798" s="153">
        <v>-5300047.269466674</v>
      </c>
      <c r="M798" s="153">
        <v>487779.78573887807</v>
      </c>
      <c r="N798" s="154">
        <f t="shared" si="115"/>
        <v>-40773974.780649893</v>
      </c>
      <c r="O798" s="155">
        <f t="shared" si="116"/>
        <v>221900895.71502227</v>
      </c>
      <c r="S798" s="156" t="s">
        <v>342</v>
      </c>
    </row>
    <row r="799" spans="1:19" ht="15" x14ac:dyDescent="0.25">
      <c r="A799" s="150">
        <v>47</v>
      </c>
      <c r="B799" s="150">
        <v>1840</v>
      </c>
      <c r="C799" s="151" t="s">
        <v>121</v>
      </c>
      <c r="D799" s="181">
        <f t="shared" si="112"/>
        <v>119891725.91673698</v>
      </c>
      <c r="E799" s="153">
        <v>8920837.3247999996</v>
      </c>
      <c r="F799" s="153">
        <v>-183044.5</v>
      </c>
      <c r="G799" s="154">
        <f t="shared" si="114"/>
        <v>128629518.74153697</v>
      </c>
      <c r="H799" s="154"/>
      <c r="I799" s="154">
        <v>0</v>
      </c>
      <c r="J799" s="158"/>
      <c r="K799" s="182">
        <f t="shared" si="113"/>
        <v>-18914301.270375784</v>
      </c>
      <c r="L799" s="153">
        <v>-2139605.162997283</v>
      </c>
      <c r="M799" s="153">
        <v>32040.096975342465</v>
      </c>
      <c r="N799" s="154">
        <f t="shared" si="115"/>
        <v>-21021866.336397726</v>
      </c>
      <c r="O799" s="155">
        <f t="shared" si="116"/>
        <v>107607652.40513925</v>
      </c>
      <c r="S799" s="156" t="s">
        <v>343</v>
      </c>
    </row>
    <row r="800" spans="1:19" ht="15" x14ac:dyDescent="0.25">
      <c r="A800" s="150">
        <v>47</v>
      </c>
      <c r="B800" s="150">
        <v>1845</v>
      </c>
      <c r="C800" s="151" t="s">
        <v>122</v>
      </c>
      <c r="D800" s="181">
        <f t="shared" si="112"/>
        <v>232063514.55125701</v>
      </c>
      <c r="E800" s="153">
        <v>42805343.3785</v>
      </c>
      <c r="F800" s="153">
        <v>-277057.3693719788</v>
      </c>
      <c r="G800" s="154">
        <f t="shared" si="114"/>
        <v>274591800.56038505</v>
      </c>
      <c r="H800" s="154"/>
      <c r="I800" s="154">
        <v>0</v>
      </c>
      <c r="J800" s="158"/>
      <c r="K800" s="182">
        <f t="shared" si="113"/>
        <v>-45594624.217698082</v>
      </c>
      <c r="L800" s="153">
        <v>-7010382.5538914604</v>
      </c>
      <c r="M800" s="153">
        <v>110133.39368132962</v>
      </c>
      <c r="N800" s="154">
        <f t="shared" si="115"/>
        <v>-52494873.377908207</v>
      </c>
      <c r="O800" s="155">
        <f t="shared" si="116"/>
        <v>222096927.18247685</v>
      </c>
      <c r="S800" s="156" t="s">
        <v>344</v>
      </c>
    </row>
    <row r="801" spans="1:19" ht="15" x14ac:dyDescent="0.25">
      <c r="A801" s="150">
        <v>47</v>
      </c>
      <c r="B801" s="150">
        <v>1850</v>
      </c>
      <c r="C801" s="151" t="s">
        <v>123</v>
      </c>
      <c r="D801" s="181">
        <f t="shared" si="112"/>
        <v>112925538.01463845</v>
      </c>
      <c r="E801" s="153">
        <v>6679100.1423000004</v>
      </c>
      <c r="F801" s="153">
        <v>-1205791.7650614409</v>
      </c>
      <c r="G801" s="154">
        <f t="shared" si="114"/>
        <v>118398846.39187701</v>
      </c>
      <c r="H801" s="154"/>
      <c r="I801" s="154">
        <v>0</v>
      </c>
      <c r="J801" s="158"/>
      <c r="K801" s="182">
        <f t="shared" si="113"/>
        <v>-39324440.808586389</v>
      </c>
      <c r="L801" s="153">
        <v>-3866844.0615058504</v>
      </c>
      <c r="M801" s="153">
        <v>786047.67560123175</v>
      </c>
      <c r="N801" s="154">
        <f t="shared" si="115"/>
        <v>-42405237.194491014</v>
      </c>
      <c r="O801" s="155">
        <f t="shared" si="116"/>
        <v>75993609.197385997</v>
      </c>
      <c r="S801" s="156" t="s">
        <v>345</v>
      </c>
    </row>
    <row r="802" spans="1:19" ht="15" x14ac:dyDescent="0.25">
      <c r="A802" s="150">
        <v>47</v>
      </c>
      <c r="B802" s="150">
        <v>1855</v>
      </c>
      <c r="C802" s="151" t="s">
        <v>124</v>
      </c>
      <c r="D802" s="181">
        <f t="shared" si="112"/>
        <v>88275169.520980015</v>
      </c>
      <c r="E802" s="153">
        <v>6448993.25</v>
      </c>
      <c r="F802" s="153"/>
      <c r="G802" s="154">
        <f t="shared" si="114"/>
        <v>94724162.770980015</v>
      </c>
      <c r="H802" s="154"/>
      <c r="I802" s="154">
        <v>0</v>
      </c>
      <c r="J802" s="158"/>
      <c r="K802" s="182">
        <f t="shared" si="113"/>
        <v>-21779753.385288469</v>
      </c>
      <c r="L802" s="153">
        <v>-2183437.2170390375</v>
      </c>
      <c r="M802" s="153"/>
      <c r="N802" s="154">
        <f t="shared" si="115"/>
        <v>-23963190.602327507</v>
      </c>
      <c r="O802" s="155">
        <f t="shared" si="116"/>
        <v>70760972.168652505</v>
      </c>
      <c r="S802" s="156" t="s">
        <v>346</v>
      </c>
    </row>
    <row r="803" spans="1:19" ht="15" x14ac:dyDescent="0.25">
      <c r="A803" s="150">
        <v>47</v>
      </c>
      <c r="B803" s="150">
        <v>1860</v>
      </c>
      <c r="C803" s="151" t="s">
        <v>125</v>
      </c>
      <c r="D803" s="181">
        <f t="shared" si="112"/>
        <v>5056428.7150488999</v>
      </c>
      <c r="E803" s="153">
        <v>627949.62300000002</v>
      </c>
      <c r="F803" s="153">
        <v>-6602.535246842217</v>
      </c>
      <c r="G803" s="154">
        <f t="shared" si="114"/>
        <v>5677775.802802057</v>
      </c>
      <c r="H803" s="154"/>
      <c r="I803" s="154">
        <v>0</v>
      </c>
      <c r="J803" s="158"/>
      <c r="K803" s="182">
        <f t="shared" si="113"/>
        <v>-1923120.2636437016</v>
      </c>
      <c r="L803" s="153">
        <v>-212871.04152539276</v>
      </c>
      <c r="M803" s="153">
        <v>5026.1003332723576</v>
      </c>
      <c r="N803" s="154">
        <f t="shared" si="115"/>
        <v>-2130965.2048358219</v>
      </c>
      <c r="O803" s="155">
        <f t="shared" si="116"/>
        <v>3546810.5979662351</v>
      </c>
      <c r="S803" s="156" t="s">
        <v>347</v>
      </c>
    </row>
    <row r="804" spans="1:19" ht="15" x14ac:dyDescent="0.25">
      <c r="A804" s="150">
        <v>47</v>
      </c>
      <c r="B804" s="150">
        <v>1860</v>
      </c>
      <c r="C804" s="151" t="s">
        <v>126</v>
      </c>
      <c r="D804" s="181">
        <f t="shared" si="112"/>
        <v>43623924.888905942</v>
      </c>
      <c r="E804" s="153">
        <v>7714809.6539999992</v>
      </c>
      <c r="F804" s="153">
        <v>-2183575.8465333898</v>
      </c>
      <c r="G804" s="154">
        <f t="shared" si="114"/>
        <v>49155158.696372554</v>
      </c>
      <c r="H804" s="154"/>
      <c r="I804" s="154">
        <v>0</v>
      </c>
      <c r="J804" s="158"/>
      <c r="K804" s="182">
        <f t="shared" si="113"/>
        <v>-21217844.483548321</v>
      </c>
      <c r="L804" s="153">
        <v>-2346900.6419501575</v>
      </c>
      <c r="M804" s="153">
        <v>2183575.8465987621</v>
      </c>
      <c r="N804" s="154">
        <f t="shared" si="115"/>
        <v>-21381169.278899714</v>
      </c>
      <c r="O804" s="155">
        <f t="shared" si="116"/>
        <v>27773989.417472839</v>
      </c>
      <c r="S804" s="156" t="s">
        <v>347</v>
      </c>
    </row>
    <row r="805" spans="1:19" ht="15" x14ac:dyDescent="0.25">
      <c r="A805" s="150">
        <v>47</v>
      </c>
      <c r="B805" s="150">
        <v>1865</v>
      </c>
      <c r="C805" s="151" t="s">
        <v>127</v>
      </c>
      <c r="D805" s="181">
        <f t="shared" si="112"/>
        <v>81548.159999999989</v>
      </c>
      <c r="E805" s="153"/>
      <c r="F805" s="153"/>
      <c r="G805" s="154">
        <f t="shared" si="114"/>
        <v>81548.159999999989</v>
      </c>
      <c r="H805" s="154"/>
      <c r="I805" s="154">
        <v>0</v>
      </c>
      <c r="J805" s="158"/>
      <c r="K805" s="182">
        <f t="shared" si="113"/>
        <v>-81548.160000000003</v>
      </c>
      <c r="L805" s="153"/>
      <c r="M805" s="153"/>
      <c r="N805" s="154">
        <f t="shared" si="115"/>
        <v>-81548.160000000003</v>
      </c>
      <c r="O805" s="155">
        <f t="shared" si="116"/>
        <v>0</v>
      </c>
      <c r="S805" s="156"/>
    </row>
    <row r="806" spans="1:19" ht="15" x14ac:dyDescent="0.25">
      <c r="A806" s="150" t="s">
        <v>109</v>
      </c>
      <c r="B806" s="150">
        <v>1905</v>
      </c>
      <c r="C806" s="151" t="s">
        <v>113</v>
      </c>
      <c r="D806" s="181">
        <f t="shared" si="112"/>
        <v>1195031.2999999998</v>
      </c>
      <c r="E806" s="153"/>
      <c r="F806" s="153"/>
      <c r="G806" s="154">
        <f t="shared" si="114"/>
        <v>1195031.2999999998</v>
      </c>
      <c r="H806" s="154"/>
      <c r="I806" s="154">
        <v>0</v>
      </c>
      <c r="J806" s="158"/>
      <c r="K806" s="182">
        <f t="shared" si="113"/>
        <v>0</v>
      </c>
      <c r="L806" s="153"/>
      <c r="M806" s="153"/>
      <c r="N806" s="154">
        <f t="shared" si="115"/>
        <v>0</v>
      </c>
      <c r="O806" s="155">
        <f t="shared" si="116"/>
        <v>1195031.2999999998</v>
      </c>
      <c r="S806" s="156" t="s">
        <v>348</v>
      </c>
    </row>
    <row r="807" spans="1:19" ht="15" x14ac:dyDescent="0.25">
      <c r="A807" s="150">
        <v>1</v>
      </c>
      <c r="B807" s="150">
        <v>1908</v>
      </c>
      <c r="C807" s="151" t="s">
        <v>128</v>
      </c>
      <c r="D807" s="181">
        <f t="shared" si="112"/>
        <v>42672709.670000002</v>
      </c>
      <c r="E807" s="153">
        <v>793866.02</v>
      </c>
      <c r="F807" s="153"/>
      <c r="G807" s="154">
        <f t="shared" si="114"/>
        <v>43466575.690000005</v>
      </c>
      <c r="H807" s="154"/>
      <c r="I807" s="154">
        <v>0</v>
      </c>
      <c r="J807" s="158"/>
      <c r="K807" s="182">
        <f t="shared" si="113"/>
        <v>-21640892.616900913</v>
      </c>
      <c r="L807" s="153">
        <v>-1648626.2443593605</v>
      </c>
      <c r="M807" s="153"/>
      <c r="N807" s="154">
        <f t="shared" si="115"/>
        <v>-23289518.861260273</v>
      </c>
      <c r="O807" s="155">
        <f t="shared" si="116"/>
        <v>20177056.828739733</v>
      </c>
      <c r="S807" s="156" t="s">
        <v>349</v>
      </c>
    </row>
    <row r="808" spans="1:19" ht="15" x14ac:dyDescent="0.25">
      <c r="A808" s="150"/>
      <c r="B808" s="150">
        <v>1910</v>
      </c>
      <c r="C808" s="151" t="s">
        <v>115</v>
      </c>
      <c r="D808" s="181">
        <f t="shared" si="112"/>
        <v>0</v>
      </c>
      <c r="E808" s="153"/>
      <c r="F808" s="153"/>
      <c r="G808" s="154">
        <f t="shared" si="114"/>
        <v>0</v>
      </c>
      <c r="H808" s="154"/>
      <c r="I808" s="154">
        <v>0</v>
      </c>
      <c r="J808" s="158"/>
      <c r="K808" s="182">
        <f t="shared" si="113"/>
        <v>0</v>
      </c>
      <c r="L808" s="153"/>
      <c r="M808" s="153"/>
      <c r="N808" s="154">
        <f t="shared" si="115"/>
        <v>0</v>
      </c>
      <c r="O808" s="155">
        <f t="shared" si="116"/>
        <v>0</v>
      </c>
      <c r="S808" s="156" t="s">
        <v>350</v>
      </c>
    </row>
    <row r="809" spans="1:19" ht="15" x14ac:dyDescent="0.25">
      <c r="A809" s="150">
        <v>8</v>
      </c>
      <c r="B809" s="150">
        <v>1915</v>
      </c>
      <c r="C809" s="151" t="s">
        <v>129</v>
      </c>
      <c r="D809" s="181">
        <f t="shared" si="112"/>
        <v>6598472.2799999993</v>
      </c>
      <c r="E809" s="153"/>
      <c r="F809" s="153"/>
      <c r="G809" s="154">
        <f t="shared" si="114"/>
        <v>6598472.2799999993</v>
      </c>
      <c r="H809" s="154"/>
      <c r="I809" s="154">
        <v>0</v>
      </c>
      <c r="J809" s="158"/>
      <c r="K809" s="182">
        <f t="shared" si="113"/>
        <v>-3970974.6912684934</v>
      </c>
      <c r="L809" s="153">
        <v>-430702.44885972608</v>
      </c>
      <c r="M809" s="153"/>
      <c r="N809" s="154">
        <f t="shared" si="115"/>
        <v>-4401677.1401282195</v>
      </c>
      <c r="O809" s="155">
        <f t="shared" si="116"/>
        <v>2196795.1398717798</v>
      </c>
      <c r="S809" s="156" t="s">
        <v>351</v>
      </c>
    </row>
    <row r="810" spans="1:19" ht="15" x14ac:dyDescent="0.25">
      <c r="A810" s="150"/>
      <c r="B810" s="150">
        <v>1915</v>
      </c>
      <c r="C810" s="151" t="s">
        <v>130</v>
      </c>
      <c r="D810" s="181">
        <f t="shared" si="112"/>
        <v>0</v>
      </c>
      <c r="E810" s="153"/>
      <c r="F810" s="153"/>
      <c r="G810" s="154">
        <f t="shared" si="114"/>
        <v>0</v>
      </c>
      <c r="H810" s="154"/>
      <c r="I810" s="154">
        <v>0</v>
      </c>
      <c r="J810" s="158"/>
      <c r="K810" s="182">
        <f t="shared" si="113"/>
        <v>0</v>
      </c>
      <c r="L810" s="153"/>
      <c r="M810" s="153"/>
      <c r="N810" s="154">
        <f t="shared" si="115"/>
        <v>0</v>
      </c>
      <c r="O810" s="155">
        <f t="shared" si="116"/>
        <v>0</v>
      </c>
      <c r="S810" s="156" t="s">
        <v>351</v>
      </c>
    </row>
    <row r="811" spans="1:19" ht="15" x14ac:dyDescent="0.25">
      <c r="A811" s="150">
        <v>50</v>
      </c>
      <c r="B811" s="150">
        <v>1920</v>
      </c>
      <c r="C811" s="151" t="s">
        <v>131</v>
      </c>
      <c r="D811" s="181">
        <f t="shared" si="112"/>
        <v>33005553.210000001</v>
      </c>
      <c r="E811" s="153">
        <v>4427773.2850000001</v>
      </c>
      <c r="F811" s="153"/>
      <c r="G811" s="154">
        <f t="shared" si="114"/>
        <v>37433326.495000005</v>
      </c>
      <c r="H811" s="154"/>
      <c r="I811" s="154">
        <v>0</v>
      </c>
      <c r="J811" s="158"/>
      <c r="K811" s="182">
        <f t="shared" si="113"/>
        <v>-24519786.269799996</v>
      </c>
      <c r="L811" s="153">
        <v>-3629992.8491666671</v>
      </c>
      <c r="M811" s="153"/>
      <c r="N811" s="154">
        <f t="shared" si="115"/>
        <v>-28149779.118966661</v>
      </c>
      <c r="O811" s="155">
        <f t="shared" si="116"/>
        <v>9283547.3760333434</v>
      </c>
      <c r="S811" s="156" t="s">
        <v>352</v>
      </c>
    </row>
    <row r="812" spans="1:19" ht="15" x14ac:dyDescent="0.25">
      <c r="A812" s="150"/>
      <c r="B812" s="150">
        <v>1920</v>
      </c>
      <c r="C812" s="151" t="s">
        <v>132</v>
      </c>
      <c r="D812" s="181">
        <f t="shared" si="112"/>
        <v>0</v>
      </c>
      <c r="E812" s="153"/>
      <c r="F812" s="153"/>
      <c r="G812" s="154">
        <f t="shared" si="114"/>
        <v>0</v>
      </c>
      <c r="H812" s="154"/>
      <c r="I812" s="154">
        <v>0</v>
      </c>
      <c r="J812" s="158"/>
      <c r="K812" s="182">
        <f t="shared" si="113"/>
        <v>0</v>
      </c>
      <c r="L812" s="153"/>
      <c r="M812" s="153"/>
      <c r="N812" s="154">
        <f t="shared" si="115"/>
        <v>0</v>
      </c>
      <c r="O812" s="155">
        <f t="shared" si="116"/>
        <v>0</v>
      </c>
      <c r="S812" s="156" t="s">
        <v>352</v>
      </c>
    </row>
    <row r="813" spans="1:19" ht="15" x14ac:dyDescent="0.25">
      <c r="A813" s="150"/>
      <c r="B813" s="150">
        <v>1920</v>
      </c>
      <c r="C813" s="151" t="s">
        <v>133</v>
      </c>
      <c r="D813" s="181">
        <f t="shared" si="112"/>
        <v>0</v>
      </c>
      <c r="E813" s="153"/>
      <c r="F813" s="153"/>
      <c r="G813" s="154">
        <f t="shared" si="114"/>
        <v>0</v>
      </c>
      <c r="H813" s="154"/>
      <c r="I813" s="154">
        <v>0</v>
      </c>
      <c r="J813" s="158"/>
      <c r="K813" s="182">
        <f t="shared" si="113"/>
        <v>0</v>
      </c>
      <c r="L813" s="153"/>
      <c r="M813" s="153"/>
      <c r="N813" s="154">
        <f t="shared" si="115"/>
        <v>0</v>
      </c>
      <c r="O813" s="155">
        <f t="shared" si="116"/>
        <v>0</v>
      </c>
      <c r="S813" s="156" t="s">
        <v>352</v>
      </c>
    </row>
    <row r="814" spans="1:19" ht="15" x14ac:dyDescent="0.25">
      <c r="A814" s="150">
        <v>10</v>
      </c>
      <c r="B814" s="150">
        <v>1930</v>
      </c>
      <c r="C814" s="151" t="s">
        <v>134</v>
      </c>
      <c r="D814" s="181">
        <f t="shared" si="112"/>
        <v>35066867.670000002</v>
      </c>
      <c r="E814" s="153">
        <v>2909303.5</v>
      </c>
      <c r="F814" s="153"/>
      <c r="G814" s="154">
        <f t="shared" si="114"/>
        <v>37976171.170000002</v>
      </c>
      <c r="H814" s="154"/>
      <c r="I814" s="154">
        <v>0</v>
      </c>
      <c r="J814" s="158"/>
      <c r="K814" s="182">
        <f t="shared" si="113"/>
        <v>-18778897.019810773</v>
      </c>
      <c r="L814" s="153">
        <v>-2492660.1503554336</v>
      </c>
      <c r="M814" s="153"/>
      <c r="N814" s="154">
        <f t="shared" si="115"/>
        <v>-21271557.170166206</v>
      </c>
      <c r="O814" s="155">
        <f t="shared" si="116"/>
        <v>16704613.999833796</v>
      </c>
      <c r="S814" s="156" t="s">
        <v>353</v>
      </c>
    </row>
    <row r="815" spans="1:19" ht="15" x14ac:dyDescent="0.25">
      <c r="A815" s="150">
        <v>8</v>
      </c>
      <c r="B815" s="150">
        <v>1935</v>
      </c>
      <c r="C815" s="151" t="s">
        <v>135</v>
      </c>
      <c r="D815" s="181">
        <f t="shared" si="112"/>
        <v>108757.92</v>
      </c>
      <c r="E815" s="153"/>
      <c r="F815" s="153"/>
      <c r="G815" s="154">
        <f t="shared" si="114"/>
        <v>108757.92</v>
      </c>
      <c r="H815" s="154"/>
      <c r="I815" s="154">
        <v>0</v>
      </c>
      <c r="J815" s="158"/>
      <c r="K815" s="182">
        <f t="shared" si="113"/>
        <v>-108757.92000000001</v>
      </c>
      <c r="L815" s="153"/>
      <c r="M815" s="153"/>
      <c r="N815" s="154">
        <f t="shared" si="115"/>
        <v>-108757.92000000001</v>
      </c>
      <c r="O815" s="155">
        <f t="shared" si="116"/>
        <v>0</v>
      </c>
      <c r="S815" s="156" t="s">
        <v>354</v>
      </c>
    </row>
    <row r="816" spans="1:19" ht="15" x14ac:dyDescent="0.25">
      <c r="A816" s="150">
        <v>8</v>
      </c>
      <c r="B816" s="150">
        <v>1940</v>
      </c>
      <c r="C816" s="151" t="s">
        <v>136</v>
      </c>
      <c r="D816" s="181">
        <f t="shared" si="112"/>
        <v>9206814.23123</v>
      </c>
      <c r="E816" s="153">
        <v>834193.67999999993</v>
      </c>
      <c r="F816" s="153"/>
      <c r="G816" s="154">
        <f t="shared" si="114"/>
        <v>10041007.91123</v>
      </c>
      <c r="H816" s="154"/>
      <c r="I816" s="154">
        <v>0</v>
      </c>
      <c r="J816" s="158"/>
      <c r="K816" s="182">
        <f t="shared" si="113"/>
        <v>-4946656.9077869244</v>
      </c>
      <c r="L816" s="153">
        <v>-691008.92656628776</v>
      </c>
      <c r="M816" s="153"/>
      <c r="N816" s="154">
        <f t="shared" si="115"/>
        <v>-5637665.8343532123</v>
      </c>
      <c r="O816" s="155">
        <f t="shared" si="116"/>
        <v>4403342.0768767875</v>
      </c>
      <c r="S816" s="156" t="s">
        <v>355</v>
      </c>
    </row>
    <row r="817" spans="1:19" ht="15" x14ac:dyDescent="0.25">
      <c r="A817" s="150">
        <v>8</v>
      </c>
      <c r="B817" s="150">
        <v>1945</v>
      </c>
      <c r="C817" s="151" t="s">
        <v>137</v>
      </c>
      <c r="D817" s="181">
        <f t="shared" si="112"/>
        <v>189615.94446999999</v>
      </c>
      <c r="E817" s="153"/>
      <c r="F817" s="153"/>
      <c r="G817" s="154">
        <f t="shared" si="114"/>
        <v>189615.94446999999</v>
      </c>
      <c r="H817" s="154"/>
      <c r="I817" s="154">
        <v>0</v>
      </c>
      <c r="J817" s="158"/>
      <c r="K817" s="182">
        <f t="shared" si="113"/>
        <v>-186188.69533423978</v>
      </c>
      <c r="L817" s="153">
        <v>-1519.9041242602691</v>
      </c>
      <c r="M817" s="153"/>
      <c r="N817" s="154">
        <f t="shared" si="115"/>
        <v>-187708.59945850004</v>
      </c>
      <c r="O817" s="155">
        <f t="shared" si="116"/>
        <v>1907.3450114999432</v>
      </c>
      <c r="S817" s="156" t="s">
        <v>356</v>
      </c>
    </row>
    <row r="818" spans="1:19" ht="15" x14ac:dyDescent="0.25">
      <c r="A818" s="150"/>
      <c r="B818" s="150">
        <v>1950</v>
      </c>
      <c r="C818" s="151" t="s">
        <v>138</v>
      </c>
      <c r="D818" s="181">
        <f t="shared" si="112"/>
        <v>0</v>
      </c>
      <c r="E818" s="153"/>
      <c r="F818" s="153"/>
      <c r="G818" s="154">
        <f t="shared" si="114"/>
        <v>0</v>
      </c>
      <c r="H818" s="154"/>
      <c r="I818" s="154">
        <v>0</v>
      </c>
      <c r="J818" s="158"/>
      <c r="K818" s="182">
        <f t="shared" si="113"/>
        <v>0</v>
      </c>
      <c r="L818" s="153"/>
      <c r="M818" s="153"/>
      <c r="N818" s="154">
        <f t="shared" si="115"/>
        <v>0</v>
      </c>
      <c r="O818" s="155">
        <f t="shared" si="116"/>
        <v>0</v>
      </c>
      <c r="S818" s="156" t="s">
        <v>357</v>
      </c>
    </row>
    <row r="819" spans="1:19" ht="15" x14ac:dyDescent="0.25">
      <c r="A819" s="150">
        <v>8</v>
      </c>
      <c r="B819" s="150">
        <v>1955</v>
      </c>
      <c r="C819" s="151" t="s">
        <v>139</v>
      </c>
      <c r="D819" s="181">
        <f t="shared" si="112"/>
        <v>2325931.7399999993</v>
      </c>
      <c r="E819" s="153"/>
      <c r="F819" s="153"/>
      <c r="G819" s="154">
        <f t="shared" si="114"/>
        <v>2325931.7399999993</v>
      </c>
      <c r="H819" s="154"/>
      <c r="I819" s="154">
        <v>0</v>
      </c>
      <c r="J819" s="158"/>
      <c r="K819" s="182">
        <f t="shared" si="113"/>
        <v>-2275126.8896687669</v>
      </c>
      <c r="L819" s="153">
        <v>-33900.860099999998</v>
      </c>
      <c r="M819" s="153"/>
      <c r="N819" s="154">
        <f t="shared" si="115"/>
        <v>-2309027.749768767</v>
      </c>
      <c r="O819" s="155">
        <f t="shared" si="116"/>
        <v>16903.990231232252</v>
      </c>
      <c r="S819" s="156" t="s">
        <v>358</v>
      </c>
    </row>
    <row r="820" spans="1:19" ht="15" x14ac:dyDescent="0.25">
      <c r="A820" s="150"/>
      <c r="B820" s="150">
        <v>1955</v>
      </c>
      <c r="C820" s="151" t="s">
        <v>140</v>
      </c>
      <c r="D820" s="181">
        <f t="shared" si="112"/>
        <v>0</v>
      </c>
      <c r="E820" s="153"/>
      <c r="F820" s="153"/>
      <c r="G820" s="154">
        <f t="shared" si="114"/>
        <v>0</v>
      </c>
      <c r="H820" s="154"/>
      <c r="I820" s="154">
        <v>0</v>
      </c>
      <c r="J820" s="158"/>
      <c r="K820" s="182">
        <f t="shared" si="113"/>
        <v>0</v>
      </c>
      <c r="L820" s="153"/>
      <c r="M820" s="153"/>
      <c r="N820" s="154">
        <f t="shared" si="115"/>
        <v>0</v>
      </c>
      <c r="O820" s="155">
        <f t="shared" si="116"/>
        <v>0</v>
      </c>
      <c r="S820" s="156" t="s">
        <v>358</v>
      </c>
    </row>
    <row r="821" spans="1:19" ht="15" x14ac:dyDescent="0.25">
      <c r="A821" s="150">
        <v>8</v>
      </c>
      <c r="B821" s="150">
        <v>1960</v>
      </c>
      <c r="C821" s="151" t="s">
        <v>141</v>
      </c>
      <c r="D821" s="181">
        <f t="shared" si="112"/>
        <v>470214.34999999992</v>
      </c>
      <c r="E821" s="153"/>
      <c r="F821" s="153"/>
      <c r="G821" s="154">
        <f t="shared" si="114"/>
        <v>470214.34999999992</v>
      </c>
      <c r="H821" s="154"/>
      <c r="I821" s="154">
        <v>0</v>
      </c>
      <c r="J821" s="158"/>
      <c r="K821" s="182">
        <f t="shared" si="113"/>
        <v>-464338.75394054787</v>
      </c>
      <c r="L821" s="153">
        <v>-3940.5584419178076</v>
      </c>
      <c r="M821" s="153"/>
      <c r="N821" s="154">
        <f t="shared" si="115"/>
        <v>-468279.31238246569</v>
      </c>
      <c r="O821" s="155">
        <f t="shared" si="116"/>
        <v>1935.0376175342244</v>
      </c>
      <c r="S821" s="156" t="s">
        <v>359</v>
      </c>
    </row>
    <row r="822" spans="1:19" ht="15" x14ac:dyDescent="0.25">
      <c r="A822" s="150"/>
      <c r="B822" s="150">
        <v>1970</v>
      </c>
      <c r="C822" s="151" t="s">
        <v>142</v>
      </c>
      <c r="D822" s="181">
        <f t="shared" si="112"/>
        <v>0</v>
      </c>
      <c r="E822" s="153"/>
      <c r="F822" s="153"/>
      <c r="G822" s="154">
        <f t="shared" si="114"/>
        <v>0</v>
      </c>
      <c r="H822" s="154"/>
      <c r="I822" s="154">
        <v>0</v>
      </c>
      <c r="J822" s="158"/>
      <c r="K822" s="182">
        <f t="shared" si="113"/>
        <v>0</v>
      </c>
      <c r="L822" s="153"/>
      <c r="M822" s="153"/>
      <c r="N822" s="154">
        <f t="shared" si="115"/>
        <v>0</v>
      </c>
      <c r="O822" s="155">
        <f t="shared" si="116"/>
        <v>0</v>
      </c>
      <c r="S822" s="156" t="s">
        <v>360</v>
      </c>
    </row>
    <row r="823" spans="1:19" ht="15" x14ac:dyDescent="0.25">
      <c r="A823" s="150"/>
      <c r="B823" s="150">
        <v>1975</v>
      </c>
      <c r="C823" s="151" t="s">
        <v>143</v>
      </c>
      <c r="D823" s="181">
        <f t="shared" si="112"/>
        <v>0</v>
      </c>
      <c r="E823" s="153"/>
      <c r="F823" s="153"/>
      <c r="G823" s="154">
        <f t="shared" si="114"/>
        <v>0</v>
      </c>
      <c r="H823" s="154"/>
      <c r="I823" s="154">
        <v>0</v>
      </c>
      <c r="J823" s="158"/>
      <c r="K823" s="182">
        <f t="shared" si="113"/>
        <v>0</v>
      </c>
      <c r="L823" s="153"/>
      <c r="M823" s="153"/>
      <c r="N823" s="154">
        <f t="shared" si="115"/>
        <v>0</v>
      </c>
      <c r="O823" s="155">
        <f t="shared" si="116"/>
        <v>0</v>
      </c>
      <c r="S823" s="156" t="s">
        <v>361</v>
      </c>
    </row>
    <row r="824" spans="1:19" ht="15" x14ac:dyDescent="0.25">
      <c r="A824" s="150">
        <v>8</v>
      </c>
      <c r="B824" s="150">
        <v>1980</v>
      </c>
      <c r="C824" s="151" t="s">
        <v>144</v>
      </c>
      <c r="D824" s="181">
        <f t="shared" si="112"/>
        <v>16246081.281135406</v>
      </c>
      <c r="E824" s="153">
        <v>1315806.9328000001</v>
      </c>
      <c r="F824" s="153">
        <v>-14729.22</v>
      </c>
      <c r="G824" s="154">
        <f t="shared" si="114"/>
        <v>17547158.993935406</v>
      </c>
      <c r="H824" s="154"/>
      <c r="I824" s="154">
        <v>0</v>
      </c>
      <c r="J824" s="158"/>
      <c r="K824" s="182">
        <f t="shared" si="113"/>
        <v>-9401349.8200440146</v>
      </c>
      <c r="L824" s="153">
        <v>-826385.23592446104</v>
      </c>
      <c r="M824" s="153">
        <v>11988.93810520548</v>
      </c>
      <c r="N824" s="154">
        <f t="shared" si="115"/>
        <v>-10215746.117863271</v>
      </c>
      <c r="O824" s="155">
        <f t="shared" si="116"/>
        <v>7331412.8760721348</v>
      </c>
      <c r="S824" s="156" t="s">
        <v>362</v>
      </c>
    </row>
    <row r="825" spans="1:19" ht="15" x14ac:dyDescent="0.25">
      <c r="A825" s="150"/>
      <c r="B825" s="150">
        <v>1985</v>
      </c>
      <c r="C825" s="151" t="s">
        <v>145</v>
      </c>
      <c r="D825" s="181">
        <f t="shared" si="112"/>
        <v>0</v>
      </c>
      <c r="E825" s="153"/>
      <c r="F825" s="153"/>
      <c r="G825" s="154">
        <f t="shared" si="114"/>
        <v>0</v>
      </c>
      <c r="H825" s="154"/>
      <c r="I825" s="154">
        <v>0</v>
      </c>
      <c r="J825" s="158"/>
      <c r="K825" s="182">
        <f t="shared" si="113"/>
        <v>0</v>
      </c>
      <c r="L825" s="153"/>
      <c r="M825" s="153"/>
      <c r="N825" s="154">
        <f t="shared" si="115"/>
        <v>0</v>
      </c>
      <c r="O825" s="155">
        <f t="shared" si="116"/>
        <v>0</v>
      </c>
      <c r="S825" s="156" t="s">
        <v>363</v>
      </c>
    </row>
    <row r="826" spans="1:19" ht="15" x14ac:dyDescent="0.25">
      <c r="A826" s="150"/>
      <c r="B826" s="150">
        <v>1990</v>
      </c>
      <c r="C826" s="159" t="s">
        <v>146</v>
      </c>
      <c r="D826" s="181">
        <f t="shared" si="112"/>
        <v>0</v>
      </c>
      <c r="E826" s="153"/>
      <c r="F826" s="153"/>
      <c r="G826" s="154">
        <f t="shared" si="114"/>
        <v>0</v>
      </c>
      <c r="H826" s="154"/>
      <c r="I826" s="154">
        <v>0</v>
      </c>
      <c r="J826" s="158"/>
      <c r="K826" s="182">
        <f t="shared" si="113"/>
        <v>0</v>
      </c>
      <c r="L826" s="153"/>
      <c r="M826" s="153"/>
      <c r="N826" s="154">
        <f t="shared" si="115"/>
        <v>0</v>
      </c>
      <c r="O826" s="155">
        <f t="shared" si="116"/>
        <v>0</v>
      </c>
      <c r="S826" s="156" t="s">
        <v>364</v>
      </c>
    </row>
    <row r="827" spans="1:19" ht="15" x14ac:dyDescent="0.25">
      <c r="A827" s="150"/>
      <c r="B827" s="150">
        <v>1995</v>
      </c>
      <c r="C827" s="151" t="s">
        <v>147</v>
      </c>
      <c r="D827" s="181">
        <f t="shared" si="112"/>
        <v>0</v>
      </c>
      <c r="E827" s="153"/>
      <c r="F827" s="153"/>
      <c r="G827" s="154">
        <f t="shared" si="114"/>
        <v>0</v>
      </c>
      <c r="H827" s="154"/>
      <c r="I827" s="154">
        <v>0</v>
      </c>
      <c r="J827" s="158"/>
      <c r="K827" s="182">
        <f t="shared" si="113"/>
        <v>0</v>
      </c>
      <c r="L827" s="153"/>
      <c r="M827" s="153"/>
      <c r="N827" s="154">
        <f t="shared" si="115"/>
        <v>0</v>
      </c>
      <c r="O827" s="155">
        <f t="shared" si="116"/>
        <v>0</v>
      </c>
      <c r="S827" s="156" t="s">
        <v>365</v>
      </c>
    </row>
    <row r="828" spans="1:19" ht="15" x14ac:dyDescent="0.25">
      <c r="A828" s="150">
        <v>43.2</v>
      </c>
      <c r="B828" s="150">
        <v>2075</v>
      </c>
      <c r="C828" s="151" t="s">
        <v>148</v>
      </c>
      <c r="D828" s="181">
        <f t="shared" si="112"/>
        <v>1251765.9099999997</v>
      </c>
      <c r="E828" s="153"/>
      <c r="F828" s="153"/>
      <c r="G828" s="154">
        <f t="shared" si="114"/>
        <v>1251765.9099999997</v>
      </c>
      <c r="H828" s="154"/>
      <c r="I828" s="154">
        <v>0</v>
      </c>
      <c r="J828" s="158"/>
      <c r="K828" s="182">
        <f t="shared" si="113"/>
        <v>-902539.83310383593</v>
      </c>
      <c r="L828" s="153">
        <v>-52509.521900000007</v>
      </c>
      <c r="M828" s="153"/>
      <c r="N828" s="154">
        <f t="shared" si="115"/>
        <v>-955049.35500383598</v>
      </c>
      <c r="O828" s="155">
        <f t="shared" si="116"/>
        <v>296716.5549961637</v>
      </c>
      <c r="S828" s="156"/>
    </row>
    <row r="829" spans="1:19" ht="15" x14ac:dyDescent="0.25">
      <c r="A829" s="150">
        <v>47</v>
      </c>
      <c r="B829" s="150">
        <v>2440</v>
      </c>
      <c r="C829" s="151" t="s">
        <v>149</v>
      </c>
      <c r="D829" s="181">
        <f t="shared" si="112"/>
        <v>-364038104.40328592</v>
      </c>
      <c r="E829" s="153">
        <v>-39835121.549999997</v>
      </c>
      <c r="F829" s="153">
        <v>98929.332077085055</v>
      </c>
      <c r="G829" s="154">
        <f t="shared" si="114"/>
        <v>-403774296.62120885</v>
      </c>
      <c r="H829" s="154"/>
      <c r="I829" s="154">
        <v>0</v>
      </c>
      <c r="K829" s="181">
        <f t="shared" si="113"/>
        <v>54373254.915010571</v>
      </c>
      <c r="L829" s="153">
        <v>9105348.9306705203</v>
      </c>
      <c r="M829" s="153">
        <v>-21323.374200797392</v>
      </c>
      <c r="N829" s="154">
        <f t="shared" si="115"/>
        <v>63457280.471480295</v>
      </c>
      <c r="O829" s="155">
        <f t="shared" si="116"/>
        <v>-340317016.14972854</v>
      </c>
      <c r="S829" s="156" t="s">
        <v>366</v>
      </c>
    </row>
    <row r="830" spans="1:19" ht="15" x14ac:dyDescent="0.25">
      <c r="A830" s="160" t="s">
        <v>109</v>
      </c>
      <c r="B830" s="160">
        <v>2005</v>
      </c>
      <c r="C830" s="161" t="s">
        <v>150</v>
      </c>
      <c r="D830" s="181">
        <f t="shared" si="112"/>
        <v>1949864.7900000003</v>
      </c>
      <c r="E830" s="162"/>
      <c r="F830" s="162"/>
      <c r="G830" s="154">
        <f t="shared" si="114"/>
        <v>1949864.7900000003</v>
      </c>
      <c r="H830" s="154"/>
      <c r="I830" s="154">
        <v>0</v>
      </c>
      <c r="K830" s="181">
        <f t="shared" si="113"/>
        <v>-1949864.7899999998</v>
      </c>
      <c r="L830" s="162"/>
      <c r="M830" s="162"/>
      <c r="N830" s="154">
        <f t="shared" si="115"/>
        <v>-1949864.7899999998</v>
      </c>
      <c r="O830" s="155">
        <f t="shared" si="116"/>
        <v>0</v>
      </c>
      <c r="S830" s="156" t="s">
        <v>367</v>
      </c>
    </row>
    <row r="831" spans="1:19" x14ac:dyDescent="0.2">
      <c r="A831" s="160"/>
      <c r="B831" s="160"/>
      <c r="C831" s="164" t="s">
        <v>20</v>
      </c>
      <c r="D831" s="165">
        <f>SUM(D787:D830)</f>
        <v>1241995891.2759361</v>
      </c>
      <c r="E831" s="165">
        <f>SUM(E787:E830)</f>
        <v>254384924.09798324</v>
      </c>
      <c r="F831" s="165">
        <f>SUM(F787:F830)</f>
        <v>-7038329.0815138193</v>
      </c>
      <c r="G831" s="165">
        <f>SUM(G787:G830)</f>
        <v>1489342486.2924056</v>
      </c>
      <c r="H831" s="165"/>
      <c r="I831" s="165">
        <f>SUM(I787:I830)</f>
        <v>0</v>
      </c>
      <c r="J831" s="167"/>
      <c r="K831" s="165">
        <f>SUM(K787:K830)</f>
        <v>-361280300.88749027</v>
      </c>
      <c r="L831" s="165">
        <f>SUM(L787:L830)</f>
        <v>-43384087.522554547</v>
      </c>
      <c r="M831" s="165">
        <f>SUM(M787:M830)</f>
        <v>4604634.519615476</v>
      </c>
      <c r="N831" s="165">
        <f>SUM(N787:N830)</f>
        <v>-400059753.89042938</v>
      </c>
      <c r="O831" s="165">
        <f>SUM(O787:O830)</f>
        <v>1089282732.4019763</v>
      </c>
    </row>
    <row r="832" spans="1:19" ht="25.5" x14ac:dyDescent="0.25">
      <c r="A832" s="160"/>
      <c r="B832" s="160"/>
      <c r="C832" s="168" t="s">
        <v>151</v>
      </c>
      <c r="D832" s="183">
        <f>G765</f>
        <v>-675735.92449999996</v>
      </c>
      <c r="E832" s="162"/>
      <c r="F832" s="162"/>
      <c r="G832" s="154">
        <f>D832+E832+F832</f>
        <v>-675735.92449999996</v>
      </c>
      <c r="H832" s="154"/>
      <c r="I832" s="154"/>
      <c r="K832" s="178">
        <f>N765</f>
        <v>531854.27833663556</v>
      </c>
      <c r="L832" s="153">
        <v>19534.569522005488</v>
      </c>
      <c r="M832" s="153"/>
      <c r="N832" s="154">
        <f>K832+L832+M832</f>
        <v>551388.84785864106</v>
      </c>
      <c r="O832" s="155">
        <f>G832+N832</f>
        <v>-124347.0766413589</v>
      </c>
    </row>
    <row r="833" spans="1:15" ht="24.75" x14ac:dyDescent="0.25">
      <c r="A833" s="160"/>
      <c r="B833" s="160"/>
      <c r="C833" s="169" t="s">
        <v>152</v>
      </c>
      <c r="D833" s="183">
        <f>G766</f>
        <v>-1251765.9099999997</v>
      </c>
      <c r="E833" s="153">
        <f t="shared" ref="E833:F833" si="117">-E828</f>
        <v>0</v>
      </c>
      <c r="F833" s="153">
        <f t="shared" si="117"/>
        <v>0</v>
      </c>
      <c r="G833" s="154">
        <f>D833+E833+F833</f>
        <v>-1251765.9099999997</v>
      </c>
      <c r="H833" s="154"/>
      <c r="I833" s="154"/>
      <c r="K833" s="178">
        <f>N766</f>
        <v>902539.83310383593</v>
      </c>
      <c r="L833" s="153">
        <f>-L828</f>
        <v>52509.521900000007</v>
      </c>
      <c r="M833" s="153">
        <f>-M828</f>
        <v>0</v>
      </c>
      <c r="N833" s="154">
        <f>K833+L833+M833</f>
        <v>955049.35500383598</v>
      </c>
      <c r="O833" s="155">
        <f>G833+N833</f>
        <v>-296716.5549961637</v>
      </c>
    </row>
    <row r="834" spans="1:15" ht="15" x14ac:dyDescent="0.25">
      <c r="A834" s="160"/>
      <c r="B834" s="160"/>
      <c r="C834" s="164" t="s">
        <v>153</v>
      </c>
      <c r="D834" s="165">
        <f>SUM(D831:D833)</f>
        <v>1240068389.4414361</v>
      </c>
      <c r="E834" s="165">
        <f>SUM(E831:E833)</f>
        <v>254384924.09798324</v>
      </c>
      <c r="F834" s="165">
        <f>SUM(F831:F833)</f>
        <v>-7038329.0815138193</v>
      </c>
      <c r="G834" s="165">
        <f>SUM(G831:G833)</f>
        <v>1487414984.4579055</v>
      </c>
      <c r="H834" s="165"/>
      <c r="I834" s="154"/>
      <c r="J834" s="167"/>
      <c r="K834" s="165">
        <f>SUM(K831:K833)</f>
        <v>-359845906.77604979</v>
      </c>
      <c r="L834" s="165">
        <f>SUM(L831:L833)</f>
        <v>-43312043.43113254</v>
      </c>
      <c r="M834" s="165">
        <f>SUM(M831:M833)</f>
        <v>4604634.519615476</v>
      </c>
      <c r="N834" s="165">
        <f>SUM(N831:N833)</f>
        <v>-398553315.68756688</v>
      </c>
      <c r="O834" s="165">
        <f>SUM(O831:O833)</f>
        <v>1088861668.7703388</v>
      </c>
    </row>
    <row r="835" spans="1:15" ht="15" x14ac:dyDescent="0.25">
      <c r="A835" s="160"/>
      <c r="B835" s="160"/>
      <c r="C835" s="170" t="s">
        <v>154</v>
      </c>
      <c r="D835" s="183">
        <f>G768</f>
        <v>167320886.85721987</v>
      </c>
      <c r="E835" s="153">
        <f>-64930067.29-1313410.44</f>
        <v>-66243477.729999997</v>
      </c>
      <c r="F835" s="153"/>
      <c r="G835" s="154">
        <f t="shared" ref="G835" si="118">D835+E835+F835</f>
        <v>101077409.12721989</v>
      </c>
      <c r="H835" s="154"/>
      <c r="I835" s="154">
        <v>0</v>
      </c>
      <c r="J835" s="158"/>
      <c r="N835" s="154">
        <f t="shared" ref="N835" si="119">K835+L835+M835</f>
        <v>0</v>
      </c>
      <c r="O835" s="155">
        <f t="shared" ref="O835" si="120">G835+N835</f>
        <v>101077409.12721989</v>
      </c>
    </row>
    <row r="836" spans="1:15" x14ac:dyDescent="0.2">
      <c r="A836" s="160"/>
      <c r="B836" s="160"/>
      <c r="C836" s="170" t="s">
        <v>155</v>
      </c>
      <c r="D836" s="165">
        <f>SUM(D834:D835)</f>
        <v>1407389276.298656</v>
      </c>
      <c r="E836" s="165">
        <f t="shared" ref="E836:G836" si="121">SUM(E834:E835)</f>
        <v>188141446.36798325</v>
      </c>
      <c r="F836" s="165">
        <f t="shared" si="121"/>
        <v>-7038329.0815138193</v>
      </c>
      <c r="G836" s="165">
        <f t="shared" si="121"/>
        <v>1588492393.5851254</v>
      </c>
      <c r="H836" s="165"/>
      <c r="I836" s="165">
        <f t="shared" ref="I836:O836" si="122">SUM(I834:I835)</f>
        <v>0</v>
      </c>
      <c r="J836" s="165">
        <f t="shared" si="122"/>
        <v>0</v>
      </c>
      <c r="K836" s="165">
        <f t="shared" si="122"/>
        <v>-359845906.77604979</v>
      </c>
      <c r="L836" s="165">
        <f t="shared" si="122"/>
        <v>-43312043.43113254</v>
      </c>
      <c r="M836" s="165">
        <f t="shared" si="122"/>
        <v>4604634.519615476</v>
      </c>
      <c r="N836" s="165">
        <f t="shared" si="122"/>
        <v>-398553315.68756688</v>
      </c>
      <c r="O836" s="165">
        <f t="shared" si="122"/>
        <v>1189939077.8975587</v>
      </c>
    </row>
    <row r="837" spans="1:15" ht="15" x14ac:dyDescent="0.25">
      <c r="A837" s="160"/>
      <c r="B837" s="160"/>
      <c r="C837" s="359" t="s">
        <v>156</v>
      </c>
      <c r="D837" s="360"/>
      <c r="E837" s="360"/>
      <c r="F837" s="360"/>
      <c r="G837" s="360"/>
      <c r="H837" s="360"/>
      <c r="I837" s="360"/>
      <c r="J837" s="360"/>
      <c r="K837" s="361"/>
      <c r="L837" s="162"/>
      <c r="N837" s="171"/>
      <c r="O837" s="172"/>
    </row>
    <row r="838" spans="1:15" ht="15" x14ac:dyDescent="0.25">
      <c r="A838" s="160"/>
      <c r="B838" s="160"/>
      <c r="C838" s="359" t="s">
        <v>43</v>
      </c>
      <c r="D838" s="360"/>
      <c r="E838" s="360"/>
      <c r="F838" s="360"/>
      <c r="G838" s="360"/>
      <c r="H838" s="360"/>
      <c r="I838" s="360"/>
      <c r="J838" s="360"/>
      <c r="K838" s="361"/>
      <c r="L838" s="165">
        <f>L836+L837</f>
        <v>-43312043.43113254</v>
      </c>
      <c r="N838" s="171"/>
      <c r="O838" s="172"/>
    </row>
    <row r="839" spans="1:15" ht="24.75" customHeight="1" x14ac:dyDescent="0.2">
      <c r="D839" s="355" t="s">
        <v>157</v>
      </c>
      <c r="E839" s="355"/>
      <c r="F839" s="355"/>
      <c r="G839" s="172">
        <f>AVERAGE(D834,G834)</f>
        <v>1363741686.9496708</v>
      </c>
      <c r="H839" s="172"/>
      <c r="K839" s="124" t="s">
        <v>158</v>
      </c>
      <c r="N839" s="172">
        <f>AVERAGE(K834,N834)</f>
        <v>-379199611.2318083</v>
      </c>
    </row>
    <row r="840" spans="1:15" x14ac:dyDescent="0.2">
      <c r="D840" s="124"/>
      <c r="G840" s="172"/>
      <c r="H840" s="172"/>
      <c r="K840" s="124" t="s">
        <v>159</v>
      </c>
      <c r="N840" s="172">
        <f>G839+N839</f>
        <v>984542075.71786249</v>
      </c>
    </row>
    <row r="841" spans="1:15" x14ac:dyDescent="0.2">
      <c r="K841" s="123" t="s">
        <v>160</v>
      </c>
    </row>
    <row r="842" spans="1:15" ht="15" x14ac:dyDescent="0.25">
      <c r="A842" s="160">
        <v>10</v>
      </c>
      <c r="B842" s="160"/>
      <c r="C842" s="173" t="s">
        <v>161</v>
      </c>
      <c r="D842" s="174"/>
      <c r="E842" s="174"/>
      <c r="F842" s="174"/>
      <c r="G842" s="174"/>
      <c r="H842" s="174"/>
      <c r="I842" s="174"/>
      <c r="J842" s="174"/>
      <c r="K842" s="174" t="s">
        <v>161</v>
      </c>
      <c r="L842" s="174"/>
      <c r="M842" s="175">
        <f>+L814</f>
        <v>-2492660.1503554336</v>
      </c>
    </row>
    <row r="843" spans="1:15" ht="15" x14ac:dyDescent="0.25">
      <c r="A843" s="160"/>
      <c r="B843" s="160"/>
      <c r="C843" s="174" t="s">
        <v>162</v>
      </c>
      <c r="D843" s="174"/>
      <c r="E843" s="174"/>
      <c r="F843" s="174"/>
      <c r="G843" s="174"/>
      <c r="H843" s="174"/>
      <c r="I843" s="174"/>
      <c r="J843" s="174"/>
      <c r="K843" s="174" t="s">
        <v>162</v>
      </c>
      <c r="L843" s="174"/>
      <c r="M843" s="175">
        <f>-F831-M831+F829+M829</f>
        <v>2511300.5197746311</v>
      </c>
    </row>
    <row r="844" spans="1:15" ht="15" x14ac:dyDescent="0.25">
      <c r="A844" s="160">
        <v>47</v>
      </c>
      <c r="B844" s="160"/>
      <c r="C844" s="173" t="s">
        <v>166</v>
      </c>
      <c r="D844" s="174"/>
      <c r="E844" s="174"/>
      <c r="F844" s="174"/>
      <c r="G844" s="174"/>
      <c r="H844" s="174"/>
      <c r="I844" s="174"/>
      <c r="J844" s="174"/>
      <c r="K844" s="174" t="s">
        <v>166</v>
      </c>
      <c r="L844" s="174"/>
      <c r="M844" s="175">
        <f>-F829-M829</f>
        <v>-77605.957876287663</v>
      </c>
    </row>
    <row r="845" spans="1:15" x14ac:dyDescent="0.2">
      <c r="K845" s="353" t="s">
        <v>164</v>
      </c>
      <c r="L845" s="354"/>
      <c r="M845" s="177">
        <f>L838-M842-M843-M844</f>
        <v>-43253077.842675447</v>
      </c>
    </row>
  </sheetData>
  <mergeCells count="67">
    <mergeCell ref="K100:L100"/>
    <mergeCell ref="A9:O9"/>
    <mergeCell ref="A10:O10"/>
    <mergeCell ref="B14:O15"/>
    <mergeCell ref="B17:O18"/>
    <mergeCell ref="B20:O20"/>
    <mergeCell ref="B24:O24"/>
    <mergeCell ref="B26:O28"/>
    <mergeCell ref="D40:I40"/>
    <mergeCell ref="C92:K92"/>
    <mergeCell ref="C93:K93"/>
    <mergeCell ref="D94:F94"/>
    <mergeCell ref="C297:K297"/>
    <mergeCell ref="D107:I107"/>
    <mergeCell ref="C159:K159"/>
    <mergeCell ref="C160:K160"/>
    <mergeCell ref="D161:F161"/>
    <mergeCell ref="K168:L168"/>
    <mergeCell ref="D175:I175"/>
    <mergeCell ref="C227:K227"/>
    <mergeCell ref="C228:K228"/>
    <mergeCell ref="D229:F229"/>
    <mergeCell ref="K238:L238"/>
    <mergeCell ref="D245:I245"/>
    <mergeCell ref="D437:F437"/>
    <mergeCell ref="C298:K298"/>
    <mergeCell ref="D299:F299"/>
    <mergeCell ref="K307:L307"/>
    <mergeCell ref="D314:I314"/>
    <mergeCell ref="C366:K366"/>
    <mergeCell ref="C367:K367"/>
    <mergeCell ref="D368:F368"/>
    <mergeCell ref="K376:L376"/>
    <mergeCell ref="D383:I383"/>
    <mergeCell ref="C435:K435"/>
    <mergeCell ref="C436:K436"/>
    <mergeCell ref="D584:I584"/>
    <mergeCell ref="K443:L443"/>
    <mergeCell ref="D450:I450"/>
    <mergeCell ref="C502:K502"/>
    <mergeCell ref="C503:K503"/>
    <mergeCell ref="D504:F504"/>
    <mergeCell ref="K510:L510"/>
    <mergeCell ref="D517:I517"/>
    <mergeCell ref="C569:K569"/>
    <mergeCell ref="C570:K570"/>
    <mergeCell ref="D571:F571"/>
    <mergeCell ref="K577:L577"/>
    <mergeCell ref="C771:K771"/>
    <mergeCell ref="C636:K636"/>
    <mergeCell ref="C637:K637"/>
    <mergeCell ref="D638:F638"/>
    <mergeCell ref="K644:L644"/>
    <mergeCell ref="D651:I651"/>
    <mergeCell ref="C703:K703"/>
    <mergeCell ref="C704:K704"/>
    <mergeCell ref="D705:F705"/>
    <mergeCell ref="K711:L711"/>
    <mergeCell ref="D718:I718"/>
    <mergeCell ref="C770:K770"/>
    <mergeCell ref="K845:L845"/>
    <mergeCell ref="D772:F772"/>
    <mergeCell ref="K778:L778"/>
    <mergeCell ref="D785:I785"/>
    <mergeCell ref="C837:K837"/>
    <mergeCell ref="C838:K838"/>
    <mergeCell ref="D839:F839"/>
  </mergeCells>
  <dataValidations count="1">
    <dataValidation type="list" allowBlank="1" showErrorMessage="1" error="Use the following date format when inserting a date:_x000a__x000a_Eg:  &quot;January 1, 2013&quot;" prompt="Use the following format eg: January 1, 2013" sqref="F380 F447 F514 F581 F648 F715 F782 F311 F242 F172 F104 F37" xr:uid="{7C717947-A3DA-4EA0-BC89-7C5E80626ED3}">
      <formula1>"CGAAP, MIFRS,USGAAP,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7DE02-294A-4F79-ADAE-EABAD1082CE3}">
  <dimension ref="A1:P309"/>
  <sheetViews>
    <sheetView workbookViewId="0">
      <selection activeCell="K60" sqref="K60"/>
    </sheetView>
  </sheetViews>
  <sheetFormatPr defaultColWidth="9.28515625" defaultRowHeight="15" x14ac:dyDescent="0.25"/>
  <cols>
    <col min="1" max="1" width="7.28515625" style="185" customWidth="1"/>
    <col min="2" max="2" width="9.28515625" style="185"/>
    <col min="3" max="3" width="47.7109375" style="185" customWidth="1"/>
    <col min="4" max="8" width="14" style="185" customWidth="1"/>
    <col min="9" max="9" width="14" style="185" hidden="1" customWidth="1"/>
    <col min="10" max="10" width="4.28515625" style="185" customWidth="1"/>
    <col min="11" max="16" width="15.42578125" style="185" customWidth="1"/>
    <col min="17" max="16384" width="9.28515625" style="185"/>
  </cols>
  <sheetData>
    <row r="1" spans="1:16" s="1" customFormat="1" x14ac:dyDescent="0.25">
      <c r="N1" s="2" t="s">
        <v>0</v>
      </c>
      <c r="O1" s="3" t="s">
        <v>1</v>
      </c>
    </row>
    <row r="2" spans="1:16" s="1" customFormat="1" x14ac:dyDescent="0.25">
      <c r="N2" s="2" t="s">
        <v>2</v>
      </c>
      <c r="O2" s="4" t="s">
        <v>3</v>
      </c>
    </row>
    <row r="3" spans="1:16" s="1" customFormat="1" x14ac:dyDescent="0.25">
      <c r="N3" s="2" t="s">
        <v>4</v>
      </c>
      <c r="O3" s="4">
        <v>1</v>
      </c>
    </row>
    <row r="4" spans="1:16" s="1" customFormat="1" x14ac:dyDescent="0.25">
      <c r="N4" s="2" t="s">
        <v>5</v>
      </c>
      <c r="O4" s="4">
        <v>1</v>
      </c>
    </row>
    <row r="5" spans="1:16" s="1" customFormat="1" x14ac:dyDescent="0.25">
      <c r="N5" s="2" t="s">
        <v>6</v>
      </c>
      <c r="O5" s="5"/>
    </row>
    <row r="6" spans="1:16" s="1" customFormat="1" x14ac:dyDescent="0.25">
      <c r="N6" s="2"/>
      <c r="O6" s="6"/>
    </row>
    <row r="7" spans="1:16" s="1" customFormat="1" x14ac:dyDescent="0.25">
      <c r="N7" s="2" t="s">
        <v>7</v>
      </c>
      <c r="O7" s="5">
        <v>46010</v>
      </c>
    </row>
    <row r="8" spans="1:16" ht="18" x14ac:dyDescent="0.25">
      <c r="A8" s="363" t="s">
        <v>84</v>
      </c>
      <c r="B8" s="363"/>
      <c r="C8" s="363"/>
      <c r="D8" s="363"/>
      <c r="E8" s="363"/>
      <c r="F8" s="363"/>
      <c r="G8" s="363"/>
      <c r="H8" s="363"/>
      <c r="I8" s="363"/>
      <c r="J8" s="363"/>
      <c r="K8" s="363"/>
      <c r="L8" s="363"/>
      <c r="M8" s="363"/>
      <c r="N8" s="363"/>
      <c r="O8" s="363"/>
      <c r="P8" s="123"/>
    </row>
    <row r="9" spans="1:16" ht="18" x14ac:dyDescent="0.25">
      <c r="A9" s="363" t="s">
        <v>171</v>
      </c>
      <c r="B9" s="363"/>
      <c r="C9" s="363"/>
      <c r="D9" s="363"/>
      <c r="E9" s="363"/>
      <c r="F9" s="363"/>
      <c r="G9" s="363"/>
      <c r="H9" s="363"/>
      <c r="I9" s="363"/>
      <c r="J9" s="363"/>
      <c r="K9" s="363"/>
      <c r="L9" s="363"/>
      <c r="M9" s="363"/>
      <c r="N9" s="363"/>
      <c r="O9" s="363"/>
      <c r="P9" s="123"/>
    </row>
    <row r="10" spans="1:16" x14ac:dyDescent="0.25">
      <c r="A10" s="122"/>
      <c r="B10" s="122"/>
      <c r="C10" s="123"/>
      <c r="D10" s="123"/>
      <c r="E10" s="123"/>
      <c r="F10" s="123"/>
      <c r="G10" s="123"/>
      <c r="H10" s="123"/>
      <c r="I10" s="186"/>
      <c r="J10" s="123"/>
      <c r="K10" s="123"/>
      <c r="L10" s="123"/>
      <c r="M10" s="123"/>
      <c r="N10" s="123"/>
      <c r="O10" s="123"/>
      <c r="P10" s="123"/>
    </row>
    <row r="11" spans="1:16" ht="15.75" thickBot="1" x14ac:dyDescent="0.3">
      <c r="A11" s="122"/>
      <c r="B11" s="122"/>
      <c r="C11" s="123"/>
      <c r="D11" s="123"/>
      <c r="E11" s="135" t="s">
        <v>94</v>
      </c>
      <c r="F11" s="187" t="s">
        <v>12</v>
      </c>
      <c r="G11" s="123"/>
      <c r="H11" s="123"/>
      <c r="I11" s="186"/>
      <c r="J11" s="123"/>
      <c r="K11" s="123"/>
      <c r="L11" s="123"/>
      <c r="M11" s="123"/>
      <c r="N11" s="123"/>
      <c r="O11" s="123"/>
      <c r="P11" s="123"/>
    </row>
    <row r="12" spans="1:16" ht="15.75" thickBot="1" x14ac:dyDescent="0.3">
      <c r="A12" s="122"/>
      <c r="B12" s="122"/>
      <c r="C12" s="123"/>
      <c r="D12" s="123"/>
      <c r="E12" s="135" t="s">
        <v>95</v>
      </c>
      <c r="F12" s="137">
        <v>2022</v>
      </c>
      <c r="G12" s="138"/>
      <c r="H12" s="123"/>
      <c r="I12" s="188" t="b">
        <f>IF(F12=2014,4,IF(F12=2015,5,IF(F12=2016,6,IF(F12=2017,7,IF(F12=2018,8,IF(F12=2019,9,IF(F12=2020,10)))))))</f>
        <v>0</v>
      </c>
      <c r="J12" s="123"/>
      <c r="K12" s="123"/>
      <c r="L12" s="123"/>
      <c r="M12" s="123"/>
      <c r="N12" s="123"/>
      <c r="O12" s="123"/>
      <c r="P12" s="123"/>
    </row>
    <row r="13" spans="1:16" x14ac:dyDescent="0.25">
      <c r="A13" s="122"/>
      <c r="B13" s="122"/>
      <c r="C13" s="123"/>
      <c r="D13" s="123"/>
      <c r="E13" s="123"/>
      <c r="F13" s="123"/>
      <c r="G13" s="123"/>
      <c r="H13" s="123"/>
      <c r="I13" s="186"/>
      <c r="J13" s="123"/>
      <c r="K13" s="123"/>
      <c r="L13" s="123"/>
      <c r="M13" s="123"/>
      <c r="N13" s="123"/>
      <c r="O13" s="123"/>
      <c r="P13" s="123"/>
    </row>
    <row r="14" spans="1:16" x14ac:dyDescent="0.25">
      <c r="A14" s="122"/>
      <c r="B14" s="122"/>
      <c r="C14" s="123"/>
      <c r="D14" s="356" t="s">
        <v>96</v>
      </c>
      <c r="E14" s="357"/>
      <c r="F14" s="357"/>
      <c r="G14" s="357"/>
      <c r="H14" s="357"/>
      <c r="I14" s="358"/>
      <c r="J14" s="123"/>
      <c r="K14" s="140"/>
      <c r="L14" s="141" t="s">
        <v>97</v>
      </c>
      <c r="M14" s="141"/>
      <c r="N14" s="142"/>
      <c r="O14" s="123"/>
      <c r="P14" s="123"/>
    </row>
    <row r="15" spans="1:16" ht="40.5" x14ac:dyDescent="0.25">
      <c r="A15" s="143" t="s">
        <v>98</v>
      </c>
      <c r="B15" s="143" t="s">
        <v>99</v>
      </c>
      <c r="C15" s="144" t="s">
        <v>100</v>
      </c>
      <c r="D15" s="143" t="s">
        <v>101</v>
      </c>
      <c r="E15" s="145" t="s">
        <v>102</v>
      </c>
      <c r="F15" s="145" t="s">
        <v>103</v>
      </c>
      <c r="G15" s="143" t="s">
        <v>104</v>
      </c>
      <c r="H15" s="143"/>
      <c r="I15" s="189" t="s">
        <v>105</v>
      </c>
      <c r="J15" s="146"/>
      <c r="K15" s="143" t="s">
        <v>101</v>
      </c>
      <c r="L15" s="147" t="s">
        <v>106</v>
      </c>
      <c r="M15" s="147" t="s">
        <v>103</v>
      </c>
      <c r="N15" s="148" t="s">
        <v>104</v>
      </c>
      <c r="O15" s="143" t="s">
        <v>107</v>
      </c>
      <c r="P15" s="190"/>
    </row>
    <row r="16" spans="1:16" x14ac:dyDescent="0.25">
      <c r="A16" s="149">
        <v>14.1</v>
      </c>
      <c r="B16" s="150">
        <v>1609</v>
      </c>
      <c r="C16" s="151" t="s">
        <v>108</v>
      </c>
      <c r="D16" s="191">
        <v>0</v>
      </c>
      <c r="E16" s="192"/>
      <c r="F16" s="192"/>
      <c r="G16" s="193">
        <f>D16+E16+F16</f>
        <v>0</v>
      </c>
      <c r="H16" s="193"/>
      <c r="I16" s="194"/>
      <c r="J16" s="146"/>
      <c r="K16" s="195">
        <v>0</v>
      </c>
      <c r="L16" s="192"/>
      <c r="M16" s="192"/>
      <c r="N16" s="193">
        <f>K16+L16+M16</f>
        <v>0</v>
      </c>
      <c r="O16" s="155">
        <f>G16+N16</f>
        <v>0</v>
      </c>
      <c r="P16" s="123"/>
    </row>
    <row r="17" spans="1:16" hidden="1" x14ac:dyDescent="0.25">
      <c r="A17" s="150"/>
      <c r="B17" s="150">
        <v>1610</v>
      </c>
      <c r="C17" s="151" t="s">
        <v>110</v>
      </c>
      <c r="D17" s="191"/>
      <c r="E17" s="192"/>
      <c r="F17" s="192"/>
      <c r="G17" s="193">
        <f>D17+E17+F17</f>
        <v>0</v>
      </c>
      <c r="H17" s="193"/>
      <c r="I17" s="194"/>
      <c r="J17" s="146"/>
      <c r="K17" s="195"/>
      <c r="L17" s="192"/>
      <c r="M17" s="192"/>
      <c r="N17" s="193">
        <f>K17+L17+M17</f>
        <v>0</v>
      </c>
      <c r="O17" s="155">
        <f>G17+N17</f>
        <v>0</v>
      </c>
      <c r="P17" s="123"/>
    </row>
    <row r="18" spans="1:16" x14ac:dyDescent="0.25">
      <c r="A18" s="150">
        <v>12</v>
      </c>
      <c r="B18" s="150">
        <v>1611</v>
      </c>
      <c r="C18" s="151" t="s">
        <v>111</v>
      </c>
      <c r="D18" s="191">
        <v>0</v>
      </c>
      <c r="E18" s="192"/>
      <c r="F18" s="192"/>
      <c r="G18" s="193">
        <f>D18+E18+F18</f>
        <v>0</v>
      </c>
      <c r="H18" s="193"/>
      <c r="I18" s="194"/>
      <c r="J18" s="158"/>
      <c r="K18" s="195">
        <v>0</v>
      </c>
      <c r="L18" s="192"/>
      <c r="M18" s="192"/>
      <c r="N18" s="193">
        <f>K18+L18+M18</f>
        <v>0</v>
      </c>
      <c r="O18" s="155">
        <f>G18+N18</f>
        <v>0</v>
      </c>
      <c r="P18" s="123"/>
    </row>
    <row r="19" spans="1:16" x14ac:dyDescent="0.25">
      <c r="A19" s="150">
        <v>14.1</v>
      </c>
      <c r="B19" s="150">
        <v>1612</v>
      </c>
      <c r="C19" s="151" t="s">
        <v>112</v>
      </c>
      <c r="D19" s="191">
        <v>0</v>
      </c>
      <c r="E19" s="192">
        <v>3841402</v>
      </c>
      <c r="F19" s="192"/>
      <c r="G19" s="193">
        <f>D19+E19+F19</f>
        <v>3841402</v>
      </c>
      <c r="H19" s="193"/>
      <c r="I19" s="194"/>
      <c r="J19" s="158"/>
      <c r="K19" s="195">
        <v>0</v>
      </c>
      <c r="L19" s="192"/>
      <c r="M19" s="192"/>
      <c r="N19" s="193">
        <f>K19+L19+M19</f>
        <v>0</v>
      </c>
      <c r="O19" s="155">
        <f>G19+N19</f>
        <v>3841402</v>
      </c>
      <c r="P19" s="123"/>
    </row>
    <row r="20" spans="1:16" hidden="1" x14ac:dyDescent="0.25">
      <c r="A20" s="150"/>
      <c r="B20" s="150">
        <v>1805</v>
      </c>
      <c r="C20" s="151" t="s">
        <v>113</v>
      </c>
      <c r="D20" s="191"/>
      <c r="E20" s="192"/>
      <c r="F20" s="192"/>
      <c r="G20" s="193">
        <f>D20+E20+F20</f>
        <v>0</v>
      </c>
      <c r="H20" s="193"/>
      <c r="I20" s="194"/>
      <c r="J20" s="158"/>
      <c r="K20" s="195"/>
      <c r="L20" s="192"/>
      <c r="M20" s="192"/>
      <c r="N20" s="193">
        <f>K20+L20+M20</f>
        <v>0</v>
      </c>
      <c r="O20" s="155">
        <f>G20+N20</f>
        <v>0</v>
      </c>
      <c r="P20" s="123"/>
    </row>
    <row r="21" spans="1:16" hidden="1" x14ac:dyDescent="0.25">
      <c r="A21" s="150"/>
      <c r="B21" s="150">
        <v>1808</v>
      </c>
      <c r="C21" s="151" t="s">
        <v>114</v>
      </c>
      <c r="D21" s="191"/>
      <c r="E21" s="192"/>
      <c r="F21" s="192"/>
      <c r="G21" s="193">
        <f t="shared" ref="G21:G59" si="0">D21+E21+F21</f>
        <v>0</v>
      </c>
      <c r="H21" s="193"/>
      <c r="I21" s="194"/>
      <c r="J21" s="158"/>
      <c r="K21" s="195"/>
      <c r="L21" s="192"/>
      <c r="M21" s="192"/>
      <c r="N21" s="193">
        <f t="shared" ref="N21:N59" si="1">K21+L21+M21</f>
        <v>0</v>
      </c>
      <c r="O21" s="155">
        <f t="shared" ref="O21:O59" si="2">G21+N21</f>
        <v>0</v>
      </c>
      <c r="P21" s="123"/>
    </row>
    <row r="22" spans="1:16" hidden="1" x14ac:dyDescent="0.25">
      <c r="A22" s="150"/>
      <c r="B22" s="150">
        <v>1810</v>
      </c>
      <c r="C22" s="151" t="s">
        <v>115</v>
      </c>
      <c r="D22" s="191"/>
      <c r="E22" s="192"/>
      <c r="F22" s="192"/>
      <c r="G22" s="193">
        <f t="shared" si="0"/>
        <v>0</v>
      </c>
      <c r="H22" s="193"/>
      <c r="I22" s="194"/>
      <c r="J22" s="158"/>
      <c r="K22" s="195"/>
      <c r="L22" s="192"/>
      <c r="M22" s="192"/>
      <c r="N22" s="193">
        <f t="shared" si="1"/>
        <v>0</v>
      </c>
      <c r="O22" s="155">
        <f t="shared" si="2"/>
        <v>0</v>
      </c>
      <c r="P22" s="123"/>
    </row>
    <row r="23" spans="1:16" x14ac:dyDescent="0.25">
      <c r="A23" s="150">
        <v>47</v>
      </c>
      <c r="B23" s="150">
        <v>1815</v>
      </c>
      <c r="C23" s="151" t="s">
        <v>116</v>
      </c>
      <c r="D23" s="191">
        <v>0</v>
      </c>
      <c r="E23" s="192">
        <f>16008403.68+2217871.9+5001651.95+11229156.71</f>
        <v>34457084.239999995</v>
      </c>
      <c r="F23" s="192"/>
      <c r="G23" s="193">
        <f t="shared" si="0"/>
        <v>34457084.239999995</v>
      </c>
      <c r="H23" s="193"/>
      <c r="I23" s="194"/>
      <c r="J23" s="158"/>
      <c r="K23" s="195">
        <v>0</v>
      </c>
      <c r="L23" s="192">
        <f>-151791.37-27932.13-62991.36-125709.71</f>
        <v>-368424.57</v>
      </c>
      <c r="M23" s="192"/>
      <c r="N23" s="193">
        <f t="shared" si="1"/>
        <v>-368424.57</v>
      </c>
      <c r="O23" s="155">
        <f t="shared" si="2"/>
        <v>34088659.669999994</v>
      </c>
      <c r="P23" s="123"/>
    </row>
    <row r="24" spans="1:16" x14ac:dyDescent="0.25">
      <c r="A24" s="150">
        <v>47</v>
      </c>
      <c r="B24" s="150">
        <v>1820</v>
      </c>
      <c r="C24" s="151" t="s">
        <v>117</v>
      </c>
      <c r="D24" s="191">
        <v>0</v>
      </c>
      <c r="E24" s="192"/>
      <c r="F24" s="192"/>
      <c r="G24" s="193">
        <f t="shared" si="0"/>
        <v>0</v>
      </c>
      <c r="H24" s="193"/>
      <c r="I24" s="194"/>
      <c r="J24" s="158"/>
      <c r="K24" s="195">
        <v>0</v>
      </c>
      <c r="L24" s="192"/>
      <c r="M24" s="192"/>
      <c r="N24" s="193">
        <f t="shared" si="1"/>
        <v>0</v>
      </c>
      <c r="O24" s="155">
        <f t="shared" si="2"/>
        <v>0</v>
      </c>
      <c r="P24" s="123"/>
    </row>
    <row r="25" spans="1:16" hidden="1" x14ac:dyDescent="0.25">
      <c r="A25" s="150"/>
      <c r="B25" s="150">
        <v>1825</v>
      </c>
      <c r="C25" s="151" t="s">
        <v>118</v>
      </c>
      <c r="D25" s="191"/>
      <c r="E25" s="192"/>
      <c r="F25" s="192"/>
      <c r="G25" s="193">
        <f t="shared" si="0"/>
        <v>0</v>
      </c>
      <c r="H25" s="193"/>
      <c r="I25" s="194"/>
      <c r="J25" s="158"/>
      <c r="K25" s="195"/>
      <c r="L25" s="192"/>
      <c r="M25" s="192"/>
      <c r="N25" s="193">
        <f t="shared" si="1"/>
        <v>0</v>
      </c>
      <c r="O25" s="155">
        <f t="shared" si="2"/>
        <v>0</v>
      </c>
      <c r="P25" s="123"/>
    </row>
    <row r="26" spans="1:16" x14ac:dyDescent="0.25">
      <c r="A26" s="150">
        <v>47</v>
      </c>
      <c r="B26" s="150">
        <v>1830</v>
      </c>
      <c r="C26" s="151" t="s">
        <v>119</v>
      </c>
      <c r="D26" s="191">
        <v>0</v>
      </c>
      <c r="E26" s="192">
        <f>(1004.25+9287.99+6637.68+25260.78+13624.88+67633.45+47590.98+115330.74+2230.82)+(1679.87+43769.5+7557.07+8040.08+5437.09+73690.69+176935.99+13273.19+14893.06+184403.78+119035.27+20399.32+50472.68+2532.82+149093.54+213733.64)</f>
        <v>1373549.16</v>
      </c>
      <c r="F26" s="192"/>
      <c r="G26" s="193">
        <f t="shared" si="0"/>
        <v>1373549.16</v>
      </c>
      <c r="H26" s="193"/>
      <c r="I26" s="194"/>
      <c r="J26" s="158"/>
      <c r="K26" s="195">
        <v>0</v>
      </c>
      <c r="L26" s="192">
        <f>(-12.65-116.97-83.59-318.14-171.59-851.78-599.37-1452.49-28.09)+(-21.16-551.24-95.17-101.26-68.48-928.07-2228.35-167.16-187.56-2322.4-1499.14-256.91-635.66-31.9-1877.7-2691.79)</f>
        <v>-17298.620000000003</v>
      </c>
      <c r="M26" s="192"/>
      <c r="N26" s="193">
        <f t="shared" si="1"/>
        <v>-17298.620000000003</v>
      </c>
      <c r="O26" s="155">
        <f t="shared" si="2"/>
        <v>1356250.5399999998</v>
      </c>
      <c r="P26" s="123"/>
    </row>
    <row r="27" spans="1:16" x14ac:dyDescent="0.25">
      <c r="A27" s="150">
        <v>47</v>
      </c>
      <c r="B27" s="150">
        <v>1835</v>
      </c>
      <c r="C27" s="151" t="s">
        <v>120</v>
      </c>
      <c r="D27" s="191">
        <v>0</v>
      </c>
      <c r="E27" s="192">
        <f>(133892.89+3503.83+30715.09)+(5637.65+191019.84+58752.8+23473.81+73793.22+55805.28+6866.94)</f>
        <v>583461.35</v>
      </c>
      <c r="F27" s="192"/>
      <c r="G27" s="193">
        <f t="shared" si="0"/>
        <v>583461.35</v>
      </c>
      <c r="H27" s="193"/>
      <c r="I27" s="194"/>
      <c r="J27" s="158"/>
      <c r="K27" s="195">
        <v>0</v>
      </c>
      <c r="L27" s="192">
        <f>(-1124.18-88.26-386.83)+(-47.33-1603.82-493.29-197.09-1858.72-1405.64-86.48)</f>
        <v>-7291.6399999999994</v>
      </c>
      <c r="M27" s="192"/>
      <c r="N27" s="193">
        <f t="shared" si="1"/>
        <v>-7291.6399999999994</v>
      </c>
      <c r="O27" s="155">
        <f t="shared" si="2"/>
        <v>576169.71</v>
      </c>
      <c r="P27" s="123"/>
    </row>
    <row r="28" spans="1:16" x14ac:dyDescent="0.25">
      <c r="A28" s="150">
        <v>47</v>
      </c>
      <c r="B28" s="150">
        <v>1840</v>
      </c>
      <c r="C28" s="151" t="s">
        <v>121</v>
      </c>
      <c r="D28" s="191">
        <v>0</v>
      </c>
      <c r="E28" s="192">
        <v>1218817.8500000001</v>
      </c>
      <c r="F28" s="192"/>
      <c r="G28" s="193">
        <f t="shared" si="0"/>
        <v>1218817.8500000001</v>
      </c>
      <c r="H28" s="193"/>
      <c r="I28" s="194"/>
      <c r="J28" s="158"/>
      <c r="K28" s="195">
        <v>0</v>
      </c>
      <c r="L28" s="192">
        <v>-10233.290000000001</v>
      </c>
      <c r="M28" s="192"/>
      <c r="N28" s="193">
        <f t="shared" si="1"/>
        <v>-10233.290000000001</v>
      </c>
      <c r="O28" s="155">
        <f t="shared" si="2"/>
        <v>1208584.56</v>
      </c>
      <c r="P28" s="123"/>
    </row>
    <row r="29" spans="1:16" x14ac:dyDescent="0.25">
      <c r="A29" s="150">
        <v>47</v>
      </c>
      <c r="B29" s="150">
        <v>1845</v>
      </c>
      <c r="C29" s="151" t="s">
        <v>122</v>
      </c>
      <c r="D29" s="191">
        <v>0</v>
      </c>
      <c r="E29" s="192">
        <f>(96824.54+236038.49+1737855.56+128573.3+144264.99)+(22142.37+4368.97)</f>
        <v>2370068.2199999997</v>
      </c>
      <c r="F29" s="192"/>
      <c r="G29" s="193">
        <f t="shared" si="0"/>
        <v>2370068.2199999997</v>
      </c>
      <c r="H29" s="193"/>
      <c r="I29" s="194"/>
      <c r="J29" s="158"/>
      <c r="K29" s="195">
        <v>0</v>
      </c>
      <c r="L29" s="192">
        <f>(-1219.42-2972.69-21886.75-1619.27-2907.1)+(-278.86-55.02)</f>
        <v>-30939.11</v>
      </c>
      <c r="M29" s="192"/>
      <c r="N29" s="193">
        <f t="shared" si="1"/>
        <v>-30939.11</v>
      </c>
      <c r="O29" s="155">
        <f t="shared" si="2"/>
        <v>2339129.11</v>
      </c>
      <c r="P29" s="123"/>
    </row>
    <row r="30" spans="1:16" x14ac:dyDescent="0.25">
      <c r="A30" s="150">
        <v>47</v>
      </c>
      <c r="B30" s="150">
        <v>1850</v>
      </c>
      <c r="C30" s="151" t="s">
        <v>123</v>
      </c>
      <c r="D30" s="191">
        <v>0</v>
      </c>
      <c r="E30" s="192">
        <f>41323.89+20217.07+(60627.6+3201.2+8346.18)</f>
        <v>133715.94</v>
      </c>
      <c r="F30" s="192"/>
      <c r="G30" s="193">
        <f t="shared" si="0"/>
        <v>133715.94</v>
      </c>
      <c r="H30" s="193"/>
      <c r="I30" s="194"/>
      <c r="J30" s="158"/>
      <c r="K30" s="195">
        <v>0</v>
      </c>
      <c r="L30" s="192">
        <f>(-693.89-254.62)+(-1018.02-40.32-105.11)</f>
        <v>-2111.96</v>
      </c>
      <c r="M30" s="192"/>
      <c r="N30" s="193">
        <f t="shared" si="1"/>
        <v>-2111.96</v>
      </c>
      <c r="O30" s="155">
        <f t="shared" si="2"/>
        <v>131603.98000000001</v>
      </c>
      <c r="P30" s="123"/>
    </row>
    <row r="31" spans="1:16" x14ac:dyDescent="0.25">
      <c r="A31" s="150">
        <v>47</v>
      </c>
      <c r="B31" s="150">
        <v>1855</v>
      </c>
      <c r="C31" s="151" t="s">
        <v>124</v>
      </c>
      <c r="D31" s="191">
        <v>0</v>
      </c>
      <c r="E31" s="192"/>
      <c r="F31" s="192"/>
      <c r="G31" s="193">
        <f t="shared" si="0"/>
        <v>0</v>
      </c>
      <c r="H31" s="193"/>
      <c r="I31" s="194"/>
      <c r="J31" s="158"/>
      <c r="K31" s="195">
        <v>0</v>
      </c>
      <c r="L31" s="192"/>
      <c r="M31" s="192"/>
      <c r="N31" s="193">
        <f t="shared" si="1"/>
        <v>0</v>
      </c>
      <c r="O31" s="155">
        <f t="shared" si="2"/>
        <v>0</v>
      </c>
      <c r="P31" s="123"/>
    </row>
    <row r="32" spans="1:16" hidden="1" x14ac:dyDescent="0.25">
      <c r="A32" s="150"/>
      <c r="B32" s="150">
        <v>1860</v>
      </c>
      <c r="C32" s="151" t="s">
        <v>125</v>
      </c>
      <c r="D32" s="191"/>
      <c r="E32" s="192"/>
      <c r="F32" s="192"/>
      <c r="G32" s="193">
        <f t="shared" si="0"/>
        <v>0</v>
      </c>
      <c r="H32" s="193"/>
      <c r="I32" s="194"/>
      <c r="J32" s="158"/>
      <c r="K32" s="195"/>
      <c r="L32" s="192"/>
      <c r="M32" s="192"/>
      <c r="N32" s="193">
        <f t="shared" si="1"/>
        <v>0</v>
      </c>
      <c r="O32" s="155">
        <f t="shared" si="2"/>
        <v>0</v>
      </c>
      <c r="P32" s="123"/>
    </row>
    <row r="33" spans="1:16" hidden="1" x14ac:dyDescent="0.25">
      <c r="A33" s="150"/>
      <c r="B33" s="150">
        <v>1860</v>
      </c>
      <c r="C33" s="151" t="s">
        <v>126</v>
      </c>
      <c r="D33" s="191"/>
      <c r="E33" s="192"/>
      <c r="F33" s="192"/>
      <c r="G33" s="193">
        <f t="shared" si="0"/>
        <v>0</v>
      </c>
      <c r="H33" s="193"/>
      <c r="I33" s="194"/>
      <c r="J33" s="158"/>
      <c r="K33" s="195"/>
      <c r="L33" s="192"/>
      <c r="M33" s="192"/>
      <c r="N33" s="193">
        <f t="shared" si="1"/>
        <v>0</v>
      </c>
      <c r="O33" s="155">
        <f t="shared" si="2"/>
        <v>0</v>
      </c>
      <c r="P33" s="123"/>
    </row>
    <row r="34" spans="1:16" hidden="1" x14ac:dyDescent="0.25">
      <c r="A34" s="150"/>
      <c r="B34" s="150">
        <v>1865</v>
      </c>
      <c r="C34" s="151" t="s">
        <v>127</v>
      </c>
      <c r="D34" s="191"/>
      <c r="E34" s="192"/>
      <c r="F34" s="192"/>
      <c r="G34" s="193">
        <f t="shared" si="0"/>
        <v>0</v>
      </c>
      <c r="H34" s="193"/>
      <c r="I34" s="194"/>
      <c r="J34" s="158"/>
      <c r="K34" s="195"/>
      <c r="L34" s="192"/>
      <c r="M34" s="192"/>
      <c r="N34" s="193">
        <f t="shared" si="1"/>
        <v>0</v>
      </c>
      <c r="O34" s="155">
        <f t="shared" si="2"/>
        <v>0</v>
      </c>
      <c r="P34" s="123"/>
    </row>
    <row r="35" spans="1:16" hidden="1" x14ac:dyDescent="0.25">
      <c r="A35" s="150"/>
      <c r="B35" s="150">
        <v>1905</v>
      </c>
      <c r="C35" s="151" t="s">
        <v>113</v>
      </c>
      <c r="D35" s="191"/>
      <c r="E35" s="192"/>
      <c r="F35" s="192"/>
      <c r="G35" s="193">
        <f t="shared" si="0"/>
        <v>0</v>
      </c>
      <c r="H35" s="193"/>
      <c r="I35" s="194"/>
      <c r="J35" s="158"/>
      <c r="K35" s="195"/>
      <c r="L35" s="192"/>
      <c r="M35" s="192"/>
      <c r="N35" s="193">
        <f t="shared" si="1"/>
        <v>0</v>
      </c>
      <c r="O35" s="155">
        <f t="shared" si="2"/>
        <v>0</v>
      </c>
      <c r="P35" s="123"/>
    </row>
    <row r="36" spans="1:16" hidden="1" x14ac:dyDescent="0.25">
      <c r="A36" s="150"/>
      <c r="B36" s="150">
        <v>1908</v>
      </c>
      <c r="C36" s="151" t="s">
        <v>128</v>
      </c>
      <c r="D36" s="191"/>
      <c r="E36" s="192"/>
      <c r="F36" s="192"/>
      <c r="G36" s="193">
        <f t="shared" si="0"/>
        <v>0</v>
      </c>
      <c r="H36" s="193"/>
      <c r="I36" s="194"/>
      <c r="J36" s="158"/>
      <c r="K36" s="195"/>
      <c r="L36" s="192"/>
      <c r="M36" s="192"/>
      <c r="N36" s="193">
        <f t="shared" si="1"/>
        <v>0</v>
      </c>
      <c r="O36" s="155">
        <f t="shared" si="2"/>
        <v>0</v>
      </c>
      <c r="P36" s="123"/>
    </row>
    <row r="37" spans="1:16" hidden="1" x14ac:dyDescent="0.25">
      <c r="A37" s="150"/>
      <c r="B37" s="150">
        <v>1910</v>
      </c>
      <c r="C37" s="151" t="s">
        <v>115</v>
      </c>
      <c r="D37" s="191"/>
      <c r="E37" s="192"/>
      <c r="F37" s="192"/>
      <c r="G37" s="193">
        <f t="shared" si="0"/>
        <v>0</v>
      </c>
      <c r="H37" s="193"/>
      <c r="I37" s="194"/>
      <c r="J37" s="158"/>
      <c r="K37" s="195"/>
      <c r="L37" s="192"/>
      <c r="M37" s="192"/>
      <c r="N37" s="193">
        <f t="shared" si="1"/>
        <v>0</v>
      </c>
      <c r="O37" s="155">
        <f t="shared" si="2"/>
        <v>0</v>
      </c>
      <c r="P37" s="123"/>
    </row>
    <row r="38" spans="1:16" hidden="1" x14ac:dyDescent="0.25">
      <c r="A38" s="150"/>
      <c r="B38" s="150">
        <v>1915</v>
      </c>
      <c r="C38" s="151" t="s">
        <v>129</v>
      </c>
      <c r="D38" s="191"/>
      <c r="E38" s="192"/>
      <c r="F38" s="192"/>
      <c r="G38" s="193">
        <f t="shared" si="0"/>
        <v>0</v>
      </c>
      <c r="H38" s="193"/>
      <c r="I38" s="194"/>
      <c r="J38" s="158"/>
      <c r="K38" s="195"/>
      <c r="L38" s="192"/>
      <c r="M38" s="192"/>
      <c r="N38" s="193">
        <f t="shared" si="1"/>
        <v>0</v>
      </c>
      <c r="O38" s="155">
        <f t="shared" si="2"/>
        <v>0</v>
      </c>
      <c r="P38" s="123"/>
    </row>
    <row r="39" spans="1:16" hidden="1" x14ac:dyDescent="0.25">
      <c r="A39" s="150"/>
      <c r="B39" s="150">
        <v>1915</v>
      </c>
      <c r="C39" s="151" t="s">
        <v>130</v>
      </c>
      <c r="D39" s="191"/>
      <c r="E39" s="192"/>
      <c r="F39" s="192"/>
      <c r="G39" s="193">
        <f t="shared" si="0"/>
        <v>0</v>
      </c>
      <c r="H39" s="193"/>
      <c r="I39" s="194"/>
      <c r="J39" s="158"/>
      <c r="K39" s="195"/>
      <c r="L39" s="192"/>
      <c r="M39" s="192"/>
      <c r="N39" s="193">
        <f t="shared" si="1"/>
        <v>0</v>
      </c>
      <c r="O39" s="155">
        <f t="shared" si="2"/>
        <v>0</v>
      </c>
      <c r="P39" s="123"/>
    </row>
    <row r="40" spans="1:16" x14ac:dyDescent="0.25">
      <c r="A40" s="150">
        <v>50</v>
      </c>
      <c r="B40" s="150">
        <v>1920</v>
      </c>
      <c r="C40" s="151" t="s">
        <v>131</v>
      </c>
      <c r="D40" s="191">
        <v>0</v>
      </c>
      <c r="E40" s="192"/>
      <c r="F40" s="192"/>
      <c r="G40" s="193">
        <f t="shared" si="0"/>
        <v>0</v>
      </c>
      <c r="H40" s="193"/>
      <c r="I40" s="194"/>
      <c r="J40" s="158"/>
      <c r="K40" s="195">
        <v>0</v>
      </c>
      <c r="L40" s="192"/>
      <c r="M40" s="192"/>
      <c r="N40" s="193">
        <f t="shared" si="1"/>
        <v>0</v>
      </c>
      <c r="O40" s="155">
        <f t="shared" si="2"/>
        <v>0</v>
      </c>
      <c r="P40" s="123"/>
    </row>
    <row r="41" spans="1:16" hidden="1" x14ac:dyDescent="0.25">
      <c r="A41" s="150"/>
      <c r="B41" s="150">
        <v>1920</v>
      </c>
      <c r="C41" s="151" t="s">
        <v>132</v>
      </c>
      <c r="D41" s="191"/>
      <c r="E41" s="192"/>
      <c r="F41" s="192"/>
      <c r="G41" s="193">
        <f t="shared" si="0"/>
        <v>0</v>
      </c>
      <c r="H41" s="193"/>
      <c r="I41" s="194"/>
      <c r="J41" s="158"/>
      <c r="K41" s="195"/>
      <c r="L41" s="192"/>
      <c r="M41" s="192"/>
      <c r="N41" s="193">
        <f t="shared" si="1"/>
        <v>0</v>
      </c>
      <c r="O41" s="155">
        <f t="shared" si="2"/>
        <v>0</v>
      </c>
      <c r="P41" s="123"/>
    </row>
    <row r="42" spans="1:16" hidden="1" x14ac:dyDescent="0.25">
      <c r="A42" s="150"/>
      <c r="B42" s="150">
        <v>1920</v>
      </c>
      <c r="C42" s="151" t="s">
        <v>133</v>
      </c>
      <c r="D42" s="191"/>
      <c r="E42" s="192"/>
      <c r="F42" s="192"/>
      <c r="G42" s="193">
        <f t="shared" si="0"/>
        <v>0</v>
      </c>
      <c r="H42" s="193"/>
      <c r="I42" s="194"/>
      <c r="J42" s="158"/>
      <c r="K42" s="195"/>
      <c r="L42" s="192"/>
      <c r="M42" s="192"/>
      <c r="N42" s="193">
        <f t="shared" si="1"/>
        <v>0</v>
      </c>
      <c r="O42" s="155">
        <f t="shared" si="2"/>
        <v>0</v>
      </c>
      <c r="P42" s="123"/>
    </row>
    <row r="43" spans="1:16" hidden="1" x14ac:dyDescent="0.25">
      <c r="A43" s="150"/>
      <c r="B43" s="150">
        <v>1930</v>
      </c>
      <c r="C43" s="151" t="s">
        <v>134</v>
      </c>
      <c r="D43" s="191"/>
      <c r="E43" s="192"/>
      <c r="F43" s="192"/>
      <c r="G43" s="193">
        <f t="shared" si="0"/>
        <v>0</v>
      </c>
      <c r="H43" s="193"/>
      <c r="I43" s="194"/>
      <c r="J43" s="158"/>
      <c r="K43" s="195"/>
      <c r="L43" s="192"/>
      <c r="M43" s="192"/>
      <c r="N43" s="193">
        <f t="shared" si="1"/>
        <v>0</v>
      </c>
      <c r="O43" s="155">
        <f t="shared" si="2"/>
        <v>0</v>
      </c>
      <c r="P43" s="123"/>
    </row>
    <row r="44" spans="1:16" hidden="1" x14ac:dyDescent="0.25">
      <c r="A44" s="150"/>
      <c r="B44" s="150">
        <v>1935</v>
      </c>
      <c r="C44" s="151" t="s">
        <v>135</v>
      </c>
      <c r="D44" s="191"/>
      <c r="E44" s="192"/>
      <c r="F44" s="192"/>
      <c r="G44" s="193">
        <f t="shared" si="0"/>
        <v>0</v>
      </c>
      <c r="H44" s="193"/>
      <c r="I44" s="194"/>
      <c r="J44" s="158"/>
      <c r="K44" s="195"/>
      <c r="L44" s="192"/>
      <c r="M44" s="192"/>
      <c r="N44" s="193">
        <f t="shared" si="1"/>
        <v>0</v>
      </c>
      <c r="O44" s="155">
        <f t="shared" si="2"/>
        <v>0</v>
      </c>
      <c r="P44" s="123"/>
    </row>
    <row r="45" spans="1:16" hidden="1" x14ac:dyDescent="0.25">
      <c r="A45" s="150"/>
      <c r="B45" s="150">
        <v>1940</v>
      </c>
      <c r="C45" s="151" t="s">
        <v>136</v>
      </c>
      <c r="D45" s="191"/>
      <c r="E45" s="192"/>
      <c r="F45" s="192"/>
      <c r="G45" s="193">
        <f t="shared" si="0"/>
        <v>0</v>
      </c>
      <c r="H45" s="193"/>
      <c r="I45" s="194"/>
      <c r="J45" s="158"/>
      <c r="K45" s="195"/>
      <c r="L45" s="192"/>
      <c r="M45" s="192"/>
      <c r="N45" s="193">
        <f t="shared" si="1"/>
        <v>0</v>
      </c>
      <c r="O45" s="155">
        <f t="shared" si="2"/>
        <v>0</v>
      </c>
      <c r="P45" s="123"/>
    </row>
    <row r="46" spans="1:16" hidden="1" x14ac:dyDescent="0.25">
      <c r="A46" s="150"/>
      <c r="B46" s="150">
        <v>1945</v>
      </c>
      <c r="C46" s="151" t="s">
        <v>137</v>
      </c>
      <c r="D46" s="191"/>
      <c r="E46" s="192"/>
      <c r="F46" s="192"/>
      <c r="G46" s="193">
        <f t="shared" si="0"/>
        <v>0</v>
      </c>
      <c r="H46" s="193"/>
      <c r="I46" s="194"/>
      <c r="J46" s="158"/>
      <c r="K46" s="195"/>
      <c r="L46" s="192"/>
      <c r="M46" s="192"/>
      <c r="N46" s="193">
        <f t="shared" si="1"/>
        <v>0</v>
      </c>
      <c r="O46" s="155">
        <f t="shared" si="2"/>
        <v>0</v>
      </c>
      <c r="P46" s="123"/>
    </row>
    <row r="47" spans="1:16" hidden="1" x14ac:dyDescent="0.25">
      <c r="A47" s="150"/>
      <c r="B47" s="150">
        <v>1950</v>
      </c>
      <c r="C47" s="151" t="s">
        <v>138</v>
      </c>
      <c r="D47" s="191"/>
      <c r="E47" s="192"/>
      <c r="F47" s="192"/>
      <c r="G47" s="193">
        <f t="shared" si="0"/>
        <v>0</v>
      </c>
      <c r="H47" s="193"/>
      <c r="I47" s="194"/>
      <c r="J47" s="158"/>
      <c r="K47" s="195"/>
      <c r="L47" s="192"/>
      <c r="M47" s="192"/>
      <c r="N47" s="193">
        <f t="shared" si="1"/>
        <v>0</v>
      </c>
      <c r="O47" s="155">
        <f t="shared" si="2"/>
        <v>0</v>
      </c>
      <c r="P47" s="123"/>
    </row>
    <row r="48" spans="1:16" hidden="1" x14ac:dyDescent="0.25">
      <c r="A48" s="150"/>
      <c r="B48" s="150">
        <v>1955</v>
      </c>
      <c r="C48" s="151" t="s">
        <v>139</v>
      </c>
      <c r="D48" s="191"/>
      <c r="E48" s="192"/>
      <c r="F48" s="192"/>
      <c r="G48" s="193">
        <f t="shared" si="0"/>
        <v>0</v>
      </c>
      <c r="H48" s="193"/>
      <c r="I48" s="194"/>
      <c r="J48" s="158"/>
      <c r="K48" s="195"/>
      <c r="L48" s="192"/>
      <c r="M48" s="192"/>
      <c r="N48" s="193">
        <f t="shared" si="1"/>
        <v>0</v>
      </c>
      <c r="O48" s="155">
        <f t="shared" si="2"/>
        <v>0</v>
      </c>
      <c r="P48" s="123"/>
    </row>
    <row r="49" spans="1:16" hidden="1" x14ac:dyDescent="0.25">
      <c r="A49" s="150"/>
      <c r="B49" s="150">
        <v>1955</v>
      </c>
      <c r="C49" s="151" t="s">
        <v>140</v>
      </c>
      <c r="D49" s="191"/>
      <c r="E49" s="192"/>
      <c r="F49" s="192"/>
      <c r="G49" s="193">
        <f t="shared" si="0"/>
        <v>0</v>
      </c>
      <c r="H49" s="193"/>
      <c r="I49" s="194"/>
      <c r="J49" s="158"/>
      <c r="K49" s="195"/>
      <c r="L49" s="192"/>
      <c r="M49" s="192"/>
      <c r="N49" s="193">
        <f t="shared" si="1"/>
        <v>0</v>
      </c>
      <c r="O49" s="155">
        <f t="shared" si="2"/>
        <v>0</v>
      </c>
      <c r="P49" s="123"/>
    </row>
    <row r="50" spans="1:16" hidden="1" x14ac:dyDescent="0.25">
      <c r="A50" s="150"/>
      <c r="B50" s="150">
        <v>1960</v>
      </c>
      <c r="C50" s="151" t="s">
        <v>141</v>
      </c>
      <c r="D50" s="191"/>
      <c r="E50" s="192"/>
      <c r="F50" s="192"/>
      <c r="G50" s="193">
        <f t="shared" si="0"/>
        <v>0</v>
      </c>
      <c r="H50" s="193"/>
      <c r="I50" s="194"/>
      <c r="J50" s="158"/>
      <c r="K50" s="195"/>
      <c r="L50" s="192"/>
      <c r="M50" s="192"/>
      <c r="N50" s="193">
        <f t="shared" si="1"/>
        <v>0</v>
      </c>
      <c r="O50" s="155">
        <f t="shared" si="2"/>
        <v>0</v>
      </c>
      <c r="P50" s="123"/>
    </row>
    <row r="51" spans="1:16" hidden="1" x14ac:dyDescent="0.25">
      <c r="A51" s="150"/>
      <c r="B51" s="150">
        <v>1970</v>
      </c>
      <c r="C51" s="151" t="s">
        <v>142</v>
      </c>
      <c r="D51" s="191"/>
      <c r="E51" s="192"/>
      <c r="F51" s="192"/>
      <c r="G51" s="193">
        <f t="shared" si="0"/>
        <v>0</v>
      </c>
      <c r="H51" s="193"/>
      <c r="I51" s="194"/>
      <c r="J51" s="158"/>
      <c r="K51" s="195"/>
      <c r="L51" s="192"/>
      <c r="M51" s="192"/>
      <c r="N51" s="193">
        <f t="shared" si="1"/>
        <v>0</v>
      </c>
      <c r="O51" s="155">
        <f t="shared" si="2"/>
        <v>0</v>
      </c>
      <c r="P51" s="123"/>
    </row>
    <row r="52" spans="1:16" hidden="1" x14ac:dyDescent="0.25">
      <c r="A52" s="150"/>
      <c r="B52" s="150">
        <v>1975</v>
      </c>
      <c r="C52" s="151" t="s">
        <v>143</v>
      </c>
      <c r="D52" s="191"/>
      <c r="E52" s="192"/>
      <c r="F52" s="192"/>
      <c r="G52" s="193">
        <f t="shared" si="0"/>
        <v>0</v>
      </c>
      <c r="H52" s="193"/>
      <c r="I52" s="194"/>
      <c r="J52" s="158"/>
      <c r="K52" s="195"/>
      <c r="L52" s="192"/>
      <c r="M52" s="192"/>
      <c r="N52" s="193">
        <f t="shared" si="1"/>
        <v>0</v>
      </c>
      <c r="O52" s="155">
        <f t="shared" si="2"/>
        <v>0</v>
      </c>
      <c r="P52" s="123"/>
    </row>
    <row r="53" spans="1:16" x14ac:dyDescent="0.25">
      <c r="A53" s="150">
        <v>8</v>
      </c>
      <c r="B53" s="150">
        <v>1980</v>
      </c>
      <c r="C53" s="151" t="s">
        <v>144</v>
      </c>
      <c r="D53" s="191">
        <v>0</v>
      </c>
      <c r="E53" s="192">
        <v>84847.49</v>
      </c>
      <c r="F53" s="192"/>
      <c r="G53" s="193">
        <f t="shared" si="0"/>
        <v>84847.49</v>
      </c>
      <c r="H53" s="193"/>
      <c r="I53" s="194"/>
      <c r="J53" s="158"/>
      <c r="K53" s="195">
        <v>0</v>
      </c>
      <c r="L53" s="192">
        <v>-2849.42</v>
      </c>
      <c r="M53" s="192"/>
      <c r="N53" s="193">
        <f t="shared" si="1"/>
        <v>-2849.42</v>
      </c>
      <c r="O53" s="155">
        <f t="shared" si="2"/>
        <v>81998.070000000007</v>
      </c>
      <c r="P53" s="123"/>
    </row>
    <row r="54" spans="1:16" hidden="1" x14ac:dyDescent="0.25">
      <c r="A54" s="150"/>
      <c r="B54" s="150">
        <v>1985</v>
      </c>
      <c r="C54" s="151" t="s">
        <v>145</v>
      </c>
      <c r="D54" s="191"/>
      <c r="E54" s="192"/>
      <c r="F54" s="192"/>
      <c r="G54" s="193">
        <f t="shared" si="0"/>
        <v>0</v>
      </c>
      <c r="H54" s="193"/>
      <c r="I54" s="194"/>
      <c r="J54" s="158"/>
      <c r="K54" s="195"/>
      <c r="L54" s="192"/>
      <c r="M54" s="192"/>
      <c r="N54" s="193">
        <f t="shared" si="1"/>
        <v>0</v>
      </c>
      <c r="O54" s="155">
        <f t="shared" si="2"/>
        <v>0</v>
      </c>
      <c r="P54" s="123"/>
    </row>
    <row r="55" spans="1:16" hidden="1" x14ac:dyDescent="0.25">
      <c r="A55" s="150"/>
      <c r="B55" s="150">
        <v>1990</v>
      </c>
      <c r="C55" s="159" t="s">
        <v>146</v>
      </c>
      <c r="D55" s="191"/>
      <c r="E55" s="192"/>
      <c r="F55" s="192"/>
      <c r="G55" s="193">
        <f t="shared" si="0"/>
        <v>0</v>
      </c>
      <c r="H55" s="193"/>
      <c r="I55" s="194"/>
      <c r="J55" s="158"/>
      <c r="K55" s="195"/>
      <c r="L55" s="192"/>
      <c r="M55" s="192"/>
      <c r="N55" s="193">
        <f t="shared" si="1"/>
        <v>0</v>
      </c>
      <c r="O55" s="155">
        <f t="shared" si="2"/>
        <v>0</v>
      </c>
      <c r="P55" s="123"/>
    </row>
    <row r="56" spans="1:16" hidden="1" x14ac:dyDescent="0.25">
      <c r="A56" s="150"/>
      <c r="B56" s="150">
        <v>1995</v>
      </c>
      <c r="C56" s="151" t="s">
        <v>147</v>
      </c>
      <c r="D56" s="191"/>
      <c r="E56" s="192"/>
      <c r="F56" s="192"/>
      <c r="G56" s="193">
        <f t="shared" si="0"/>
        <v>0</v>
      </c>
      <c r="H56" s="193"/>
      <c r="I56" s="194"/>
      <c r="J56" s="158"/>
      <c r="K56" s="195"/>
      <c r="L56" s="192"/>
      <c r="M56" s="192"/>
      <c r="N56" s="193">
        <f t="shared" si="1"/>
        <v>0</v>
      </c>
      <c r="O56" s="155">
        <f t="shared" si="2"/>
        <v>0</v>
      </c>
      <c r="P56" s="123"/>
    </row>
    <row r="57" spans="1:16" hidden="1" x14ac:dyDescent="0.25">
      <c r="A57" s="150"/>
      <c r="B57" s="150">
        <v>2075</v>
      </c>
      <c r="C57" s="151" t="s">
        <v>148</v>
      </c>
      <c r="D57" s="191"/>
      <c r="E57" s="192"/>
      <c r="F57" s="192"/>
      <c r="G57" s="193">
        <f t="shared" si="0"/>
        <v>0</v>
      </c>
      <c r="H57" s="193"/>
      <c r="I57" s="194"/>
      <c r="J57" s="123"/>
      <c r="K57" s="191"/>
      <c r="L57" s="192"/>
      <c r="M57" s="192"/>
      <c r="N57" s="193">
        <f t="shared" si="1"/>
        <v>0</v>
      </c>
      <c r="O57" s="155">
        <f t="shared" si="2"/>
        <v>0</v>
      </c>
      <c r="P57" s="123"/>
    </row>
    <row r="58" spans="1:16" x14ac:dyDescent="0.25">
      <c r="A58" s="150">
        <v>47</v>
      </c>
      <c r="B58" s="150">
        <v>2440</v>
      </c>
      <c r="C58" s="151" t="s">
        <v>149</v>
      </c>
      <c r="D58" s="191">
        <v>0</v>
      </c>
      <c r="E58" s="192">
        <f>-147811.49-48212.28-1751.92-11909.17-481452.37-1371268.14-188408.11-20926.02</f>
        <v>-2271739.5</v>
      </c>
      <c r="F58" s="192"/>
      <c r="G58" s="193">
        <f t="shared" si="0"/>
        <v>-2271739.5</v>
      </c>
      <c r="H58" s="193"/>
      <c r="I58" s="194"/>
      <c r="J58" s="123"/>
      <c r="K58" s="191">
        <v>0</v>
      </c>
      <c r="L58" s="192">
        <f>1861.56+404.79+44.13+149.99+4042.31+17269.91+2372.83+351.38</f>
        <v>26496.900000000005</v>
      </c>
      <c r="M58" s="192"/>
      <c r="N58" s="193">
        <f t="shared" si="1"/>
        <v>26496.900000000005</v>
      </c>
      <c r="O58" s="155">
        <f t="shared" si="2"/>
        <v>-2245242.6</v>
      </c>
      <c r="P58" s="123"/>
    </row>
    <row r="59" spans="1:16" hidden="1" x14ac:dyDescent="0.25">
      <c r="A59" s="160"/>
      <c r="B59" s="160">
        <v>2005</v>
      </c>
      <c r="C59" s="161" t="s">
        <v>150</v>
      </c>
      <c r="D59" s="191"/>
      <c r="E59" s="192"/>
      <c r="F59" s="192"/>
      <c r="G59" s="193">
        <f t="shared" si="0"/>
        <v>0</v>
      </c>
      <c r="H59" s="193"/>
      <c r="I59" s="194"/>
      <c r="J59" s="123"/>
      <c r="K59" s="191"/>
      <c r="L59" s="192"/>
      <c r="M59" s="192"/>
      <c r="N59" s="193">
        <f t="shared" si="1"/>
        <v>0</v>
      </c>
      <c r="O59" s="155">
        <f t="shared" si="2"/>
        <v>0</v>
      </c>
      <c r="P59" s="123"/>
    </row>
    <row r="60" spans="1:16" x14ac:dyDescent="0.25">
      <c r="A60" s="160"/>
      <c r="B60" s="160"/>
      <c r="C60" s="164" t="s">
        <v>20</v>
      </c>
      <c r="D60" s="165">
        <f>SUM(D16:D59)</f>
        <v>0</v>
      </c>
      <c r="E60" s="165">
        <f>SUM(E16:E59)</f>
        <v>41791206.749999993</v>
      </c>
      <c r="F60" s="165">
        <f>SUM(F16:F59)</f>
        <v>0</v>
      </c>
      <c r="G60" s="165">
        <f>SUM(G16:G59)</f>
        <v>41791206.749999993</v>
      </c>
      <c r="H60" s="165"/>
      <c r="I60" s="196"/>
      <c r="J60" s="167"/>
      <c r="K60" s="165">
        <f>SUM(K16:K59)</f>
        <v>0</v>
      </c>
      <c r="L60" s="165">
        <f>SUM(L16:L59)</f>
        <v>-412651.70999999996</v>
      </c>
      <c r="M60" s="165">
        <f>SUM(M16:M59)</f>
        <v>0</v>
      </c>
      <c r="N60" s="165">
        <f>SUM(N16:N59)</f>
        <v>-412651.70999999996</v>
      </c>
      <c r="O60" s="165">
        <f>SUM(O16:O59)</f>
        <v>41378555.039999992</v>
      </c>
      <c r="P60" s="123"/>
    </row>
    <row r="61" spans="1:16" ht="25.5" x14ac:dyDescent="0.25">
      <c r="A61" s="160"/>
      <c r="B61" s="160"/>
      <c r="C61" s="168" t="s">
        <v>151</v>
      </c>
      <c r="D61" s="178">
        <v>0</v>
      </c>
      <c r="E61" s="162"/>
      <c r="F61" s="162"/>
      <c r="G61" s="193">
        <f>D61+E61+F61</f>
        <v>0</v>
      </c>
      <c r="H61" s="193"/>
      <c r="I61" s="194"/>
      <c r="J61" s="123"/>
      <c r="K61" s="178">
        <v>0</v>
      </c>
      <c r="L61" s="178"/>
      <c r="M61" s="162"/>
      <c r="N61" s="193">
        <f>K61+L61+M61</f>
        <v>0</v>
      </c>
      <c r="O61" s="155">
        <f>G61+N61</f>
        <v>0</v>
      </c>
      <c r="P61" s="123"/>
    </row>
    <row r="62" spans="1:16" ht="24.75" x14ac:dyDescent="0.25">
      <c r="A62" s="160"/>
      <c r="B62" s="160"/>
      <c r="C62" s="169" t="s">
        <v>152</v>
      </c>
      <c r="D62" s="178">
        <v>0</v>
      </c>
      <c r="E62" s="178"/>
      <c r="F62" s="178"/>
      <c r="G62" s="193">
        <f>D62+E62+F62</f>
        <v>0</v>
      </c>
      <c r="H62" s="193"/>
      <c r="I62" s="194"/>
      <c r="J62" s="123"/>
      <c r="K62" s="178">
        <v>0</v>
      </c>
      <c r="L62" s="178"/>
      <c r="M62" s="178"/>
      <c r="N62" s="193">
        <f>K62+L62+M62</f>
        <v>0</v>
      </c>
      <c r="O62" s="155">
        <f>G62+N62</f>
        <v>0</v>
      </c>
      <c r="P62" s="123"/>
    </row>
    <row r="63" spans="1:16" x14ac:dyDescent="0.25">
      <c r="A63" s="160"/>
      <c r="B63" s="160"/>
      <c r="C63" s="164" t="s">
        <v>153</v>
      </c>
      <c r="D63" s="165">
        <f>SUM(D60:D62)</f>
        <v>0</v>
      </c>
      <c r="E63" s="165">
        <f>SUM(E60:E62)</f>
        <v>41791206.749999993</v>
      </c>
      <c r="F63" s="165">
        <f>SUM(F60:F62)</f>
        <v>0</v>
      </c>
      <c r="G63" s="165">
        <f>SUM(G60:G62)</f>
        <v>41791206.749999993</v>
      </c>
      <c r="H63" s="165"/>
      <c r="I63" s="194"/>
      <c r="J63" s="167"/>
      <c r="K63" s="165">
        <f>SUM(K60:K62)</f>
        <v>0</v>
      </c>
      <c r="L63" s="165">
        <f>SUM(L60:L62)</f>
        <v>-412651.70999999996</v>
      </c>
      <c r="M63" s="165">
        <f>SUM(M60:M62)</f>
        <v>0</v>
      </c>
      <c r="N63" s="165">
        <f>SUM(N60:N62)</f>
        <v>-412651.70999999996</v>
      </c>
      <c r="O63" s="165">
        <f>SUM(O60:O62)</f>
        <v>41378555.039999992</v>
      </c>
      <c r="P63" s="123"/>
    </row>
    <row r="64" spans="1:16" x14ac:dyDescent="0.25">
      <c r="A64" s="160"/>
      <c r="B64" s="160"/>
      <c r="C64" s="170" t="s">
        <v>154</v>
      </c>
      <c r="D64" s="192">
        <v>0</v>
      </c>
      <c r="E64" s="192"/>
      <c r="F64" s="192"/>
      <c r="G64" s="193">
        <f t="shared" ref="G64" si="3">D64+E64+F64</f>
        <v>0</v>
      </c>
      <c r="H64" s="193"/>
      <c r="I64" s="194"/>
      <c r="J64" s="158"/>
      <c r="K64" s="123"/>
      <c r="L64" s="123"/>
      <c r="M64" s="123"/>
      <c r="N64" s="193">
        <f t="shared" ref="N64" si="4">K64+L64+M64</f>
        <v>0</v>
      </c>
      <c r="O64" s="155">
        <f t="shared" ref="O64" si="5">G64+N64</f>
        <v>0</v>
      </c>
      <c r="P64" s="123"/>
    </row>
    <row r="65" spans="1:16" x14ac:dyDescent="0.25">
      <c r="A65" s="160"/>
      <c r="B65" s="160"/>
      <c r="C65" s="170" t="s">
        <v>155</v>
      </c>
      <c r="D65" s="165">
        <f>SUM(D63:D64)</f>
        <v>0</v>
      </c>
      <c r="E65" s="165">
        <f t="shared" ref="E65:G65" si="6">SUM(E63:E64)</f>
        <v>41791206.749999993</v>
      </c>
      <c r="F65" s="165">
        <f t="shared" si="6"/>
        <v>0</v>
      </c>
      <c r="G65" s="165">
        <f t="shared" si="6"/>
        <v>41791206.749999993</v>
      </c>
      <c r="H65" s="165"/>
      <c r="I65" s="196"/>
      <c r="J65" s="165"/>
      <c r="K65" s="165">
        <f t="shared" ref="K65:O65" si="7">SUM(K63:K64)</f>
        <v>0</v>
      </c>
      <c r="L65" s="165">
        <f t="shared" si="7"/>
        <v>-412651.70999999996</v>
      </c>
      <c r="M65" s="165">
        <f t="shared" si="7"/>
        <v>0</v>
      </c>
      <c r="N65" s="165">
        <f t="shared" si="7"/>
        <v>-412651.70999999996</v>
      </c>
      <c r="O65" s="165">
        <f t="shared" si="7"/>
        <v>41378555.039999992</v>
      </c>
      <c r="P65" s="123"/>
    </row>
    <row r="66" spans="1:16" x14ac:dyDescent="0.25">
      <c r="A66" s="160"/>
      <c r="B66" s="160"/>
      <c r="C66" s="359" t="s">
        <v>156</v>
      </c>
      <c r="D66" s="360"/>
      <c r="E66" s="360"/>
      <c r="F66" s="360"/>
      <c r="G66" s="360"/>
      <c r="H66" s="360"/>
      <c r="I66" s="360"/>
      <c r="J66" s="360"/>
      <c r="K66" s="361"/>
      <c r="L66" s="162"/>
      <c r="M66" s="123"/>
      <c r="N66" s="197"/>
      <c r="O66" s="172"/>
      <c r="P66" s="123"/>
    </row>
    <row r="67" spans="1:16" ht="16.5" x14ac:dyDescent="0.35">
      <c r="A67" s="160"/>
      <c r="B67" s="160"/>
      <c r="C67" s="359" t="s">
        <v>43</v>
      </c>
      <c r="D67" s="360"/>
      <c r="E67" s="360"/>
      <c r="F67" s="360"/>
      <c r="G67" s="360"/>
      <c r="H67" s="360"/>
      <c r="I67" s="360"/>
      <c r="J67" s="360"/>
      <c r="K67" s="361"/>
      <c r="L67" s="165">
        <f>L65+L66</f>
        <v>-412651.70999999996</v>
      </c>
      <c r="M67" s="123"/>
      <c r="N67" s="198"/>
      <c r="O67" s="172"/>
      <c r="P67" s="123"/>
    </row>
    <row r="68" spans="1:16" x14ac:dyDescent="0.25">
      <c r="A68" s="122"/>
      <c r="B68" s="122"/>
      <c r="C68" s="123"/>
      <c r="D68" s="123"/>
      <c r="E68" s="123"/>
      <c r="F68" s="123"/>
      <c r="G68" s="123"/>
      <c r="H68" s="123"/>
      <c r="I68" s="186"/>
      <c r="J68" s="123"/>
      <c r="K68" s="123"/>
      <c r="L68" s="123"/>
      <c r="M68" s="123"/>
      <c r="N68" s="123"/>
      <c r="O68" s="123"/>
      <c r="P68" s="123"/>
    </row>
    <row r="69" spans="1:16" x14ac:dyDescent="0.25">
      <c r="A69" s="122"/>
      <c r="B69" s="122"/>
      <c r="C69" s="123"/>
      <c r="D69" s="123"/>
      <c r="E69" s="123"/>
      <c r="F69" s="123"/>
      <c r="G69" s="123"/>
      <c r="H69" s="123"/>
      <c r="I69" s="186"/>
      <c r="J69" s="123"/>
      <c r="K69" s="123"/>
      <c r="L69" s="123"/>
      <c r="M69" s="123"/>
      <c r="N69" s="123"/>
      <c r="O69" s="199"/>
      <c r="P69" s="200"/>
    </row>
    <row r="70" spans="1:16" x14ac:dyDescent="0.25">
      <c r="A70" s="122"/>
      <c r="B70" s="122"/>
      <c r="C70" s="123"/>
      <c r="D70" s="123"/>
      <c r="E70" s="123"/>
      <c r="F70" s="123"/>
      <c r="G70" s="123"/>
      <c r="H70" s="123"/>
      <c r="I70" s="186"/>
      <c r="J70" s="123"/>
      <c r="K70" s="123"/>
      <c r="L70" s="123"/>
      <c r="M70" s="123"/>
      <c r="N70" s="123"/>
    </row>
    <row r="71" spans="1:16" ht="15.75" thickBot="1" x14ac:dyDescent="0.3">
      <c r="A71" s="122"/>
      <c r="B71" s="122"/>
      <c r="C71" s="123"/>
      <c r="D71" s="123"/>
      <c r="E71" s="135" t="s">
        <v>94</v>
      </c>
      <c r="F71" s="187" t="s">
        <v>12</v>
      </c>
      <c r="G71" s="123"/>
      <c r="H71" s="123"/>
      <c r="I71" s="186"/>
      <c r="J71" s="123"/>
      <c r="K71" s="123"/>
      <c r="L71" s="123"/>
      <c r="M71" s="123"/>
      <c r="N71" s="123"/>
      <c r="O71" s="123"/>
      <c r="P71" s="123"/>
    </row>
    <row r="72" spans="1:16" ht="15.75" thickBot="1" x14ac:dyDescent="0.3">
      <c r="A72" s="122"/>
      <c r="B72" s="122"/>
      <c r="C72" s="123"/>
      <c r="D72" s="123"/>
      <c r="E72" s="135" t="s">
        <v>95</v>
      </c>
      <c r="F72" s="137">
        <f>+F12+1</f>
        <v>2023</v>
      </c>
      <c r="G72" s="138"/>
      <c r="H72" s="138"/>
      <c r="I72" s="188" t="b">
        <f>IF(F72=2014,4,IF(F72=2015,5,IF(F72=2016,6,IF(F72=2017,7,IF(F72=2018,8,IF(F72=2019,9,IF(F72=2020,10)))))))</f>
        <v>0</v>
      </c>
      <c r="J72" s="123"/>
      <c r="K72" s="123"/>
      <c r="L72" s="123"/>
      <c r="M72" s="123"/>
      <c r="N72" s="123"/>
      <c r="O72" s="123"/>
      <c r="P72" s="123"/>
    </row>
    <row r="73" spans="1:16" x14ac:dyDescent="0.25">
      <c r="A73" s="122"/>
      <c r="B73" s="122"/>
      <c r="C73" s="123"/>
      <c r="D73" s="123"/>
      <c r="E73" s="123"/>
      <c r="F73" s="123"/>
      <c r="G73" s="123"/>
      <c r="H73" s="123"/>
      <c r="I73" s="186"/>
      <c r="J73" s="123"/>
      <c r="K73" s="123"/>
      <c r="L73" s="123"/>
      <c r="M73" s="123"/>
      <c r="N73" s="123"/>
      <c r="O73" s="123"/>
      <c r="P73" s="123"/>
    </row>
    <row r="74" spans="1:16" x14ac:dyDescent="0.25">
      <c r="A74" s="122"/>
      <c r="B74" s="122"/>
      <c r="C74" s="123"/>
      <c r="D74" s="356" t="s">
        <v>96</v>
      </c>
      <c r="E74" s="357"/>
      <c r="F74" s="357"/>
      <c r="G74" s="357"/>
      <c r="H74" s="357"/>
      <c r="I74" s="358"/>
      <c r="J74" s="123"/>
      <c r="K74" s="356" t="s">
        <v>97</v>
      </c>
      <c r="L74" s="357"/>
      <c r="M74" s="357"/>
      <c r="N74" s="357"/>
      <c r="O74" s="358"/>
      <c r="P74" s="123"/>
    </row>
    <row r="75" spans="1:16" ht="40.5" x14ac:dyDescent="0.25">
      <c r="A75" s="143" t="s">
        <v>98</v>
      </c>
      <c r="B75" s="143" t="s">
        <v>99</v>
      </c>
      <c r="C75" s="144" t="s">
        <v>100</v>
      </c>
      <c r="D75" s="143" t="s">
        <v>101</v>
      </c>
      <c r="E75" s="143" t="s">
        <v>169</v>
      </c>
      <c r="F75" s="145" t="s">
        <v>102</v>
      </c>
      <c r="G75" s="145" t="s">
        <v>103</v>
      </c>
      <c r="H75" s="189" t="s">
        <v>104</v>
      </c>
      <c r="I75" s="189" t="s">
        <v>105</v>
      </c>
      <c r="J75" s="123"/>
      <c r="K75" s="148" t="s">
        <v>101</v>
      </c>
      <c r="L75" s="143" t="s">
        <v>169</v>
      </c>
      <c r="M75" s="147" t="s">
        <v>106</v>
      </c>
      <c r="N75" s="147" t="s">
        <v>103</v>
      </c>
      <c r="O75" s="148" t="s">
        <v>104</v>
      </c>
      <c r="P75" s="143" t="s">
        <v>107</v>
      </c>
    </row>
    <row r="76" spans="1:16" x14ac:dyDescent="0.25">
      <c r="A76" s="149">
        <v>14.1</v>
      </c>
      <c r="B76" s="150">
        <v>1609</v>
      </c>
      <c r="C76" s="151" t="s">
        <v>108</v>
      </c>
      <c r="D76" s="191">
        <f t="shared" ref="D76:D119" si="8">G16</f>
        <v>0</v>
      </c>
      <c r="E76" s="191"/>
      <c r="F76" s="192"/>
      <c r="G76" s="192"/>
      <c r="H76" s="194">
        <f t="shared" ref="H76:H119" si="9">D76+E76+F76+G76</f>
        <v>0</v>
      </c>
      <c r="I76" s="194"/>
      <c r="J76" s="123"/>
      <c r="K76" s="191">
        <f t="shared" ref="K76:K119" si="10">N16</f>
        <v>0</v>
      </c>
      <c r="L76" s="195"/>
      <c r="M76" s="192"/>
      <c r="N76" s="192"/>
      <c r="O76" s="193">
        <f>K76+L76+M76+N76</f>
        <v>0</v>
      </c>
      <c r="P76" s="155">
        <f t="shared" ref="P76:P119" si="11">H76+O76</f>
        <v>0</v>
      </c>
    </row>
    <row r="77" spans="1:16" hidden="1" x14ac:dyDescent="0.25">
      <c r="A77" s="150"/>
      <c r="B77" s="150">
        <v>1610</v>
      </c>
      <c r="C77" s="151" t="s">
        <v>110</v>
      </c>
      <c r="D77" s="191">
        <f t="shared" si="8"/>
        <v>0</v>
      </c>
      <c r="E77" s="191"/>
      <c r="F77" s="192"/>
      <c r="G77" s="192"/>
      <c r="H77" s="194">
        <f t="shared" si="9"/>
        <v>0</v>
      </c>
      <c r="I77" s="194"/>
      <c r="J77" s="123"/>
      <c r="K77" s="191">
        <f t="shared" si="10"/>
        <v>0</v>
      </c>
      <c r="L77" s="195"/>
      <c r="M77" s="192"/>
      <c r="N77" s="192"/>
      <c r="O77" s="193">
        <f t="shared" ref="O77:O119" si="12">K77+L77+M77+N77</f>
        <v>0</v>
      </c>
      <c r="P77" s="155">
        <f t="shared" si="11"/>
        <v>0</v>
      </c>
    </row>
    <row r="78" spans="1:16" x14ac:dyDescent="0.25">
      <c r="A78" s="150">
        <v>12</v>
      </c>
      <c r="B78" s="150">
        <v>1611</v>
      </c>
      <c r="C78" s="151" t="s">
        <v>111</v>
      </c>
      <c r="D78" s="191">
        <f t="shared" si="8"/>
        <v>0</v>
      </c>
      <c r="E78" s="191"/>
      <c r="F78" s="192">
        <v>440038.54</v>
      </c>
      <c r="G78" s="192"/>
      <c r="H78" s="194">
        <f t="shared" si="9"/>
        <v>440038.54</v>
      </c>
      <c r="I78" s="194"/>
      <c r="J78" s="123"/>
      <c r="K78" s="191">
        <f t="shared" si="10"/>
        <v>0</v>
      </c>
      <c r="L78" s="195"/>
      <c r="M78" s="192">
        <v>-44316.959999999999</v>
      </c>
      <c r="N78" s="192"/>
      <c r="O78" s="193">
        <f t="shared" si="12"/>
        <v>-44316.959999999999</v>
      </c>
      <c r="P78" s="155">
        <f t="shared" si="11"/>
        <v>395721.57999999996</v>
      </c>
    </row>
    <row r="79" spans="1:16" x14ac:dyDescent="0.25">
      <c r="A79" s="150">
        <v>14.1</v>
      </c>
      <c r="B79" s="150">
        <v>1612</v>
      </c>
      <c r="C79" s="151" t="s">
        <v>112</v>
      </c>
      <c r="D79" s="191">
        <f t="shared" si="8"/>
        <v>3841402</v>
      </c>
      <c r="E79" s="191"/>
      <c r="F79" s="192"/>
      <c r="G79" s="192"/>
      <c r="H79" s="194">
        <f t="shared" si="9"/>
        <v>3841402</v>
      </c>
      <c r="I79" s="194"/>
      <c r="J79" s="123"/>
      <c r="K79" s="191">
        <f t="shared" si="10"/>
        <v>0</v>
      </c>
      <c r="L79" s="195"/>
      <c r="M79" s="192"/>
      <c r="N79" s="192"/>
      <c r="O79" s="193">
        <f t="shared" si="12"/>
        <v>0</v>
      </c>
      <c r="P79" s="155">
        <f t="shared" si="11"/>
        <v>3841402</v>
      </c>
    </row>
    <row r="80" spans="1:16" hidden="1" x14ac:dyDescent="0.25">
      <c r="A80" s="150"/>
      <c r="B80" s="150">
        <v>1805</v>
      </c>
      <c r="C80" s="151" t="s">
        <v>113</v>
      </c>
      <c r="D80" s="191">
        <f t="shared" si="8"/>
        <v>0</v>
      </c>
      <c r="E80" s="191"/>
      <c r="F80" s="192"/>
      <c r="G80" s="192"/>
      <c r="H80" s="194">
        <f t="shared" si="9"/>
        <v>0</v>
      </c>
      <c r="I80" s="194"/>
      <c r="J80" s="123"/>
      <c r="K80" s="191">
        <f t="shared" si="10"/>
        <v>0</v>
      </c>
      <c r="L80" s="195"/>
      <c r="M80" s="192"/>
      <c r="N80" s="192"/>
      <c r="O80" s="193">
        <f t="shared" si="12"/>
        <v>0</v>
      </c>
      <c r="P80" s="155">
        <f t="shared" si="11"/>
        <v>0</v>
      </c>
    </row>
    <row r="81" spans="1:16" hidden="1" x14ac:dyDescent="0.25">
      <c r="A81" s="150"/>
      <c r="B81" s="150">
        <v>1808</v>
      </c>
      <c r="C81" s="151" t="s">
        <v>114</v>
      </c>
      <c r="D81" s="191">
        <f t="shared" si="8"/>
        <v>0</v>
      </c>
      <c r="E81" s="191"/>
      <c r="F81" s="192"/>
      <c r="G81" s="192"/>
      <c r="H81" s="194">
        <f t="shared" si="9"/>
        <v>0</v>
      </c>
      <c r="I81" s="194"/>
      <c r="J81" s="123"/>
      <c r="K81" s="191">
        <f t="shared" si="10"/>
        <v>0</v>
      </c>
      <c r="L81" s="195"/>
      <c r="M81" s="192"/>
      <c r="N81" s="192"/>
      <c r="O81" s="193">
        <f t="shared" si="12"/>
        <v>0</v>
      </c>
      <c r="P81" s="155">
        <f t="shared" si="11"/>
        <v>0</v>
      </c>
    </row>
    <row r="82" spans="1:16" hidden="1" x14ac:dyDescent="0.25">
      <c r="A82" s="150"/>
      <c r="B82" s="150">
        <v>1810</v>
      </c>
      <c r="C82" s="151" t="s">
        <v>115</v>
      </c>
      <c r="D82" s="191">
        <f t="shared" si="8"/>
        <v>0</v>
      </c>
      <c r="E82" s="191"/>
      <c r="F82" s="192"/>
      <c r="G82" s="192"/>
      <c r="H82" s="194">
        <f t="shared" si="9"/>
        <v>0</v>
      </c>
      <c r="I82" s="194"/>
      <c r="J82" s="123"/>
      <c r="K82" s="191">
        <f t="shared" si="10"/>
        <v>0</v>
      </c>
      <c r="L82" s="195"/>
      <c r="M82" s="192"/>
      <c r="N82" s="192"/>
      <c r="O82" s="193">
        <f t="shared" si="12"/>
        <v>0</v>
      </c>
      <c r="P82" s="155">
        <f t="shared" si="11"/>
        <v>0</v>
      </c>
    </row>
    <row r="83" spans="1:16" x14ac:dyDescent="0.25">
      <c r="A83" s="150">
        <v>47</v>
      </c>
      <c r="B83" s="150">
        <v>1815</v>
      </c>
      <c r="C83" s="151" t="s">
        <v>116</v>
      </c>
      <c r="D83" s="191">
        <f t="shared" si="8"/>
        <v>34457084.239999995</v>
      </c>
      <c r="E83" s="191"/>
      <c r="F83" s="192">
        <f>14420.75+12929.89-631108.4+943214.959999999</f>
        <v>339457.19999999902</v>
      </c>
      <c r="G83" s="192"/>
      <c r="H83" s="194">
        <f t="shared" si="9"/>
        <v>34796541.43999999</v>
      </c>
      <c r="I83" s="194"/>
      <c r="J83" s="123"/>
      <c r="K83" s="191">
        <f t="shared" si="10"/>
        <v>-368424.57</v>
      </c>
      <c r="L83" s="195"/>
      <c r="M83" s="192">
        <f>-300742.79-55571.69-104955.63-259928.4</f>
        <v>-721198.51</v>
      </c>
      <c r="N83" s="192"/>
      <c r="O83" s="193">
        <f t="shared" si="12"/>
        <v>-1089623.08</v>
      </c>
      <c r="P83" s="155">
        <f t="shared" si="11"/>
        <v>33706918.359999992</v>
      </c>
    </row>
    <row r="84" spans="1:16" x14ac:dyDescent="0.25">
      <c r="A84" s="150">
        <v>47</v>
      </c>
      <c r="B84" s="150">
        <v>1820</v>
      </c>
      <c r="C84" s="151" t="s">
        <v>117</v>
      </c>
      <c r="D84" s="191">
        <f t="shared" si="8"/>
        <v>0</v>
      </c>
      <c r="E84" s="191"/>
      <c r="F84" s="192"/>
      <c r="G84" s="192"/>
      <c r="H84" s="194">
        <f t="shared" si="9"/>
        <v>0</v>
      </c>
      <c r="I84" s="194"/>
      <c r="J84" s="123"/>
      <c r="K84" s="191">
        <f t="shared" si="10"/>
        <v>0</v>
      </c>
      <c r="L84" s="195"/>
      <c r="M84" s="192"/>
      <c r="N84" s="192"/>
      <c r="O84" s="193">
        <f t="shared" si="12"/>
        <v>0</v>
      </c>
      <c r="P84" s="155">
        <f t="shared" si="11"/>
        <v>0</v>
      </c>
    </row>
    <row r="85" spans="1:16" hidden="1" x14ac:dyDescent="0.25">
      <c r="A85" s="150"/>
      <c r="B85" s="150">
        <v>1825</v>
      </c>
      <c r="C85" s="151" t="s">
        <v>118</v>
      </c>
      <c r="D85" s="191">
        <f t="shared" si="8"/>
        <v>0</v>
      </c>
      <c r="E85" s="191"/>
      <c r="F85" s="192"/>
      <c r="G85" s="192"/>
      <c r="H85" s="194">
        <f t="shared" si="9"/>
        <v>0</v>
      </c>
      <c r="I85" s="194"/>
      <c r="J85" s="123"/>
      <c r="K85" s="191">
        <f t="shared" si="10"/>
        <v>0</v>
      </c>
      <c r="L85" s="195"/>
      <c r="M85" s="192"/>
      <c r="N85" s="192"/>
      <c r="O85" s="193">
        <f t="shared" si="12"/>
        <v>0</v>
      </c>
      <c r="P85" s="155">
        <f t="shared" si="11"/>
        <v>0</v>
      </c>
    </row>
    <row r="86" spans="1:16" x14ac:dyDescent="0.25">
      <c r="A86" s="150">
        <v>47</v>
      </c>
      <c r="B86" s="150">
        <v>1830</v>
      </c>
      <c r="C86" s="151" t="s">
        <v>119</v>
      </c>
      <c r="D86" s="191">
        <f t="shared" si="8"/>
        <v>1373549.16</v>
      </c>
      <c r="E86" s="191"/>
      <c r="F86" s="192">
        <v>1053918.97</v>
      </c>
      <c r="G86" s="192"/>
      <c r="H86" s="194">
        <f t="shared" si="9"/>
        <v>2427468.13</v>
      </c>
      <c r="I86" s="194"/>
      <c r="J86" s="123"/>
      <c r="K86" s="191">
        <f t="shared" si="10"/>
        <v>-17298.620000000003</v>
      </c>
      <c r="L86" s="195"/>
      <c r="M86" s="192">
        <v>-47505.600000000006</v>
      </c>
      <c r="N86" s="192"/>
      <c r="O86" s="193">
        <f t="shared" si="12"/>
        <v>-64804.220000000008</v>
      </c>
      <c r="P86" s="155">
        <f t="shared" si="11"/>
        <v>2362663.9099999997</v>
      </c>
    </row>
    <row r="87" spans="1:16" x14ac:dyDescent="0.25">
      <c r="A87" s="150">
        <v>47</v>
      </c>
      <c r="B87" s="150">
        <v>1835</v>
      </c>
      <c r="C87" s="151" t="s">
        <v>120</v>
      </c>
      <c r="D87" s="191">
        <f t="shared" si="8"/>
        <v>583461.35</v>
      </c>
      <c r="E87" s="191"/>
      <c r="F87" s="192">
        <v>1004261.73</v>
      </c>
      <c r="G87" s="192"/>
      <c r="H87" s="194">
        <f t="shared" si="9"/>
        <v>1587723.08</v>
      </c>
      <c r="I87" s="194"/>
      <c r="J87" s="123"/>
      <c r="K87" s="191">
        <f t="shared" si="10"/>
        <v>-7291.6399999999994</v>
      </c>
      <c r="L87" s="195"/>
      <c r="M87" s="192">
        <v>-29026.58</v>
      </c>
      <c r="N87" s="192"/>
      <c r="O87" s="193">
        <f t="shared" si="12"/>
        <v>-36318.22</v>
      </c>
      <c r="P87" s="155">
        <f t="shared" si="11"/>
        <v>1551404.86</v>
      </c>
    </row>
    <row r="88" spans="1:16" x14ac:dyDescent="0.25">
      <c r="A88" s="150">
        <v>47</v>
      </c>
      <c r="B88" s="150">
        <v>1840</v>
      </c>
      <c r="C88" s="151" t="s">
        <v>121</v>
      </c>
      <c r="D88" s="191">
        <f t="shared" si="8"/>
        <v>1218817.8500000001</v>
      </c>
      <c r="E88" s="191"/>
      <c r="F88" s="192">
        <v>1347931.6999999997</v>
      </c>
      <c r="G88" s="192"/>
      <c r="H88" s="194">
        <f t="shared" si="9"/>
        <v>2566749.5499999998</v>
      </c>
      <c r="I88" s="194"/>
      <c r="J88" s="123"/>
      <c r="K88" s="191">
        <f t="shared" si="10"/>
        <v>-10233.290000000001</v>
      </c>
      <c r="L88" s="195"/>
      <c r="M88" s="192">
        <v>-31617.07</v>
      </c>
      <c r="N88" s="192"/>
      <c r="O88" s="193">
        <f t="shared" si="12"/>
        <v>-41850.36</v>
      </c>
      <c r="P88" s="155">
        <f t="shared" si="11"/>
        <v>2524899.19</v>
      </c>
    </row>
    <row r="89" spans="1:16" x14ac:dyDescent="0.25">
      <c r="A89" s="150">
        <v>47</v>
      </c>
      <c r="B89" s="150">
        <v>1845</v>
      </c>
      <c r="C89" s="151" t="s">
        <v>122</v>
      </c>
      <c r="D89" s="191">
        <f t="shared" si="8"/>
        <v>2370068.2199999997</v>
      </c>
      <c r="E89" s="191"/>
      <c r="F89" s="192">
        <v>790696.66</v>
      </c>
      <c r="G89" s="192"/>
      <c r="H89" s="194">
        <f t="shared" si="9"/>
        <v>3160764.88</v>
      </c>
      <c r="I89" s="194"/>
      <c r="J89" s="123"/>
      <c r="K89" s="191">
        <f t="shared" si="10"/>
        <v>-30939.11</v>
      </c>
      <c r="L89" s="195"/>
      <c r="M89" s="192">
        <v>-75457.770000000019</v>
      </c>
      <c r="N89" s="192"/>
      <c r="O89" s="193">
        <f t="shared" si="12"/>
        <v>-106396.88000000002</v>
      </c>
      <c r="P89" s="155">
        <f t="shared" si="11"/>
        <v>3054368</v>
      </c>
    </row>
    <row r="90" spans="1:16" x14ac:dyDescent="0.25">
      <c r="A90" s="150">
        <v>47</v>
      </c>
      <c r="B90" s="150">
        <v>1850</v>
      </c>
      <c r="C90" s="151" t="s">
        <v>123</v>
      </c>
      <c r="D90" s="191">
        <f t="shared" si="8"/>
        <v>133715.94</v>
      </c>
      <c r="E90" s="191"/>
      <c r="F90" s="192">
        <v>49606.939999999988</v>
      </c>
      <c r="G90" s="192"/>
      <c r="H90" s="194">
        <f t="shared" si="9"/>
        <v>183322.88</v>
      </c>
      <c r="I90" s="194"/>
      <c r="J90" s="123"/>
      <c r="K90" s="191">
        <f t="shared" si="10"/>
        <v>-2111.96</v>
      </c>
      <c r="L90" s="195"/>
      <c r="M90" s="192">
        <v>-4892.88</v>
      </c>
      <c r="N90" s="192"/>
      <c r="O90" s="193">
        <f t="shared" si="12"/>
        <v>-7004.84</v>
      </c>
      <c r="P90" s="155">
        <f t="shared" si="11"/>
        <v>176318.04</v>
      </c>
    </row>
    <row r="91" spans="1:16" x14ac:dyDescent="0.25">
      <c r="A91" s="150">
        <v>47</v>
      </c>
      <c r="B91" s="150">
        <v>1855</v>
      </c>
      <c r="C91" s="151" t="s">
        <v>124</v>
      </c>
      <c r="D91" s="191">
        <f t="shared" si="8"/>
        <v>0</v>
      </c>
      <c r="E91" s="191"/>
      <c r="F91" s="192">
        <v>6370.09</v>
      </c>
      <c r="G91" s="192"/>
      <c r="H91" s="194">
        <f t="shared" si="9"/>
        <v>6370.09</v>
      </c>
      <c r="I91" s="194"/>
      <c r="J91" s="123"/>
      <c r="K91" s="191">
        <f t="shared" si="10"/>
        <v>0</v>
      </c>
      <c r="L91" s="195"/>
      <c r="M91" s="192">
        <v>-64.180000000000007</v>
      </c>
      <c r="N91" s="192"/>
      <c r="O91" s="193">
        <f t="shared" si="12"/>
        <v>-64.180000000000007</v>
      </c>
      <c r="P91" s="155">
        <f t="shared" si="11"/>
        <v>6305.91</v>
      </c>
    </row>
    <row r="92" spans="1:16" hidden="1" x14ac:dyDescent="0.25">
      <c r="A92" s="150"/>
      <c r="B92" s="150">
        <v>1860</v>
      </c>
      <c r="C92" s="151" t="s">
        <v>125</v>
      </c>
      <c r="D92" s="191">
        <f t="shared" si="8"/>
        <v>0</v>
      </c>
      <c r="E92" s="191"/>
      <c r="F92" s="192"/>
      <c r="G92" s="192"/>
      <c r="H92" s="194">
        <f t="shared" si="9"/>
        <v>0</v>
      </c>
      <c r="I92" s="194"/>
      <c r="J92" s="123"/>
      <c r="K92" s="191">
        <f t="shared" si="10"/>
        <v>0</v>
      </c>
      <c r="L92" s="195"/>
      <c r="M92" s="192"/>
      <c r="N92" s="192"/>
      <c r="O92" s="193">
        <f t="shared" si="12"/>
        <v>0</v>
      </c>
      <c r="P92" s="155">
        <f t="shared" si="11"/>
        <v>0</v>
      </c>
    </row>
    <row r="93" spans="1:16" hidden="1" x14ac:dyDescent="0.25">
      <c r="A93" s="150"/>
      <c r="B93" s="150">
        <v>1860</v>
      </c>
      <c r="C93" s="151" t="s">
        <v>126</v>
      </c>
      <c r="D93" s="191">
        <f t="shared" si="8"/>
        <v>0</v>
      </c>
      <c r="E93" s="191"/>
      <c r="F93" s="192"/>
      <c r="G93" s="192"/>
      <c r="H93" s="194">
        <f t="shared" si="9"/>
        <v>0</v>
      </c>
      <c r="I93" s="194"/>
      <c r="J93" s="123"/>
      <c r="K93" s="191">
        <f t="shared" si="10"/>
        <v>0</v>
      </c>
      <c r="L93" s="195"/>
      <c r="M93" s="192"/>
      <c r="N93" s="192"/>
      <c r="O93" s="193">
        <f t="shared" si="12"/>
        <v>0</v>
      </c>
      <c r="P93" s="155">
        <f t="shared" si="11"/>
        <v>0</v>
      </c>
    </row>
    <row r="94" spans="1:16" hidden="1" x14ac:dyDescent="0.25">
      <c r="A94" s="150"/>
      <c r="B94" s="150">
        <v>1865</v>
      </c>
      <c r="C94" s="151" t="s">
        <v>127</v>
      </c>
      <c r="D94" s="191">
        <f t="shared" si="8"/>
        <v>0</v>
      </c>
      <c r="E94" s="191"/>
      <c r="F94" s="192"/>
      <c r="G94" s="192"/>
      <c r="H94" s="194">
        <f t="shared" si="9"/>
        <v>0</v>
      </c>
      <c r="I94" s="194"/>
      <c r="J94" s="123"/>
      <c r="K94" s="191">
        <f t="shared" si="10"/>
        <v>0</v>
      </c>
      <c r="L94" s="195"/>
      <c r="M94" s="192"/>
      <c r="N94" s="192"/>
      <c r="O94" s="193">
        <f t="shared" si="12"/>
        <v>0</v>
      </c>
      <c r="P94" s="155">
        <f t="shared" si="11"/>
        <v>0</v>
      </c>
    </row>
    <row r="95" spans="1:16" hidden="1" x14ac:dyDescent="0.25">
      <c r="A95" s="150"/>
      <c r="B95" s="150">
        <v>1905</v>
      </c>
      <c r="C95" s="151" t="s">
        <v>113</v>
      </c>
      <c r="D95" s="191">
        <f t="shared" si="8"/>
        <v>0</v>
      </c>
      <c r="E95" s="191"/>
      <c r="F95" s="192"/>
      <c r="G95" s="192"/>
      <c r="H95" s="194">
        <f t="shared" si="9"/>
        <v>0</v>
      </c>
      <c r="I95" s="194"/>
      <c r="J95" s="123"/>
      <c r="K95" s="191">
        <f t="shared" si="10"/>
        <v>0</v>
      </c>
      <c r="L95" s="195"/>
      <c r="M95" s="192"/>
      <c r="N95" s="192"/>
      <c r="O95" s="193">
        <f t="shared" si="12"/>
        <v>0</v>
      </c>
      <c r="P95" s="155">
        <f t="shared" si="11"/>
        <v>0</v>
      </c>
    </row>
    <row r="96" spans="1:16" hidden="1" x14ac:dyDescent="0.25">
      <c r="A96" s="150"/>
      <c r="B96" s="150">
        <v>1908</v>
      </c>
      <c r="C96" s="151" t="s">
        <v>128</v>
      </c>
      <c r="D96" s="191">
        <f t="shared" si="8"/>
        <v>0</v>
      </c>
      <c r="E96" s="191"/>
      <c r="F96" s="192"/>
      <c r="G96" s="192"/>
      <c r="H96" s="194">
        <f t="shared" si="9"/>
        <v>0</v>
      </c>
      <c r="I96" s="194"/>
      <c r="J96" s="123"/>
      <c r="K96" s="191">
        <f t="shared" si="10"/>
        <v>0</v>
      </c>
      <c r="L96" s="195"/>
      <c r="M96" s="192"/>
      <c r="N96" s="192"/>
      <c r="O96" s="193">
        <f t="shared" si="12"/>
        <v>0</v>
      </c>
      <c r="P96" s="155">
        <f t="shared" si="11"/>
        <v>0</v>
      </c>
    </row>
    <row r="97" spans="1:16" hidden="1" x14ac:dyDescent="0.25">
      <c r="A97" s="150"/>
      <c r="B97" s="150">
        <v>1910</v>
      </c>
      <c r="C97" s="151" t="s">
        <v>115</v>
      </c>
      <c r="D97" s="191">
        <f t="shared" si="8"/>
        <v>0</v>
      </c>
      <c r="E97" s="191"/>
      <c r="F97" s="192"/>
      <c r="G97" s="192"/>
      <c r="H97" s="194">
        <f t="shared" si="9"/>
        <v>0</v>
      </c>
      <c r="I97" s="194"/>
      <c r="J97" s="123"/>
      <c r="K97" s="191">
        <f t="shared" si="10"/>
        <v>0</v>
      </c>
      <c r="L97" s="195"/>
      <c r="M97" s="192"/>
      <c r="N97" s="192"/>
      <c r="O97" s="193">
        <f t="shared" si="12"/>
        <v>0</v>
      </c>
      <c r="P97" s="155">
        <f t="shared" si="11"/>
        <v>0</v>
      </c>
    </row>
    <row r="98" spans="1:16" hidden="1" x14ac:dyDescent="0.25">
      <c r="A98" s="150"/>
      <c r="B98" s="150">
        <v>1915</v>
      </c>
      <c r="C98" s="151" t="s">
        <v>129</v>
      </c>
      <c r="D98" s="191">
        <f t="shared" si="8"/>
        <v>0</v>
      </c>
      <c r="E98" s="191"/>
      <c r="F98" s="192"/>
      <c r="G98" s="192"/>
      <c r="H98" s="194">
        <f t="shared" si="9"/>
        <v>0</v>
      </c>
      <c r="I98" s="194"/>
      <c r="J98" s="123"/>
      <c r="K98" s="191">
        <f t="shared" si="10"/>
        <v>0</v>
      </c>
      <c r="L98" s="195"/>
      <c r="M98" s="192"/>
      <c r="N98" s="192"/>
      <c r="O98" s="193">
        <f t="shared" si="12"/>
        <v>0</v>
      </c>
      <c r="P98" s="155">
        <f t="shared" si="11"/>
        <v>0</v>
      </c>
    </row>
    <row r="99" spans="1:16" hidden="1" x14ac:dyDescent="0.25">
      <c r="A99" s="150"/>
      <c r="B99" s="150">
        <v>1915</v>
      </c>
      <c r="C99" s="151" t="s">
        <v>130</v>
      </c>
      <c r="D99" s="191">
        <f t="shared" si="8"/>
        <v>0</v>
      </c>
      <c r="E99" s="191"/>
      <c r="F99" s="192"/>
      <c r="G99" s="192"/>
      <c r="H99" s="194">
        <f t="shared" si="9"/>
        <v>0</v>
      </c>
      <c r="I99" s="194"/>
      <c r="J99" s="123"/>
      <c r="K99" s="191">
        <f t="shared" si="10"/>
        <v>0</v>
      </c>
      <c r="L99" s="195"/>
      <c r="M99" s="192"/>
      <c r="N99" s="192"/>
      <c r="O99" s="193">
        <f t="shared" si="12"/>
        <v>0</v>
      </c>
      <c r="P99" s="155">
        <f t="shared" si="11"/>
        <v>0</v>
      </c>
    </row>
    <row r="100" spans="1:16" x14ac:dyDescent="0.25">
      <c r="A100" s="150">
        <v>50</v>
      </c>
      <c r="B100" s="150">
        <v>1920</v>
      </c>
      <c r="C100" s="151" t="s">
        <v>131</v>
      </c>
      <c r="D100" s="191">
        <f t="shared" si="8"/>
        <v>0</v>
      </c>
      <c r="E100" s="191"/>
      <c r="F100" s="192">
        <v>5299.13</v>
      </c>
      <c r="G100" s="192"/>
      <c r="H100" s="194">
        <f t="shared" si="9"/>
        <v>5299.13</v>
      </c>
      <c r="I100" s="194"/>
      <c r="J100" s="123"/>
      <c r="K100" s="191">
        <f t="shared" si="10"/>
        <v>0</v>
      </c>
      <c r="L100" s="195"/>
      <c r="M100" s="192">
        <v>-533.67999999999995</v>
      </c>
      <c r="N100" s="192"/>
      <c r="O100" s="193">
        <f t="shared" si="12"/>
        <v>-533.67999999999995</v>
      </c>
      <c r="P100" s="155">
        <f t="shared" si="11"/>
        <v>4765.45</v>
      </c>
    </row>
    <row r="101" spans="1:16" hidden="1" x14ac:dyDescent="0.25">
      <c r="A101" s="150"/>
      <c r="B101" s="150">
        <v>1920</v>
      </c>
      <c r="C101" s="151" t="s">
        <v>132</v>
      </c>
      <c r="D101" s="191">
        <f t="shared" si="8"/>
        <v>0</v>
      </c>
      <c r="E101" s="191"/>
      <c r="F101" s="192"/>
      <c r="G101" s="192"/>
      <c r="H101" s="194">
        <f t="shared" si="9"/>
        <v>0</v>
      </c>
      <c r="I101" s="194"/>
      <c r="J101" s="123"/>
      <c r="K101" s="191">
        <f t="shared" si="10"/>
        <v>0</v>
      </c>
      <c r="L101" s="195"/>
      <c r="M101" s="192"/>
      <c r="N101" s="192"/>
      <c r="O101" s="193">
        <f t="shared" si="12"/>
        <v>0</v>
      </c>
      <c r="P101" s="155">
        <f t="shared" si="11"/>
        <v>0</v>
      </c>
    </row>
    <row r="102" spans="1:16" hidden="1" x14ac:dyDescent="0.25">
      <c r="A102" s="150"/>
      <c r="B102" s="150">
        <v>1920</v>
      </c>
      <c r="C102" s="151" t="s">
        <v>133</v>
      </c>
      <c r="D102" s="191">
        <f t="shared" si="8"/>
        <v>0</v>
      </c>
      <c r="E102" s="191"/>
      <c r="F102" s="192"/>
      <c r="G102" s="192"/>
      <c r="H102" s="194">
        <f t="shared" si="9"/>
        <v>0</v>
      </c>
      <c r="I102" s="194"/>
      <c r="J102" s="123"/>
      <c r="K102" s="191">
        <f t="shared" si="10"/>
        <v>0</v>
      </c>
      <c r="L102" s="195"/>
      <c r="M102" s="192"/>
      <c r="N102" s="192"/>
      <c r="O102" s="193">
        <f t="shared" si="12"/>
        <v>0</v>
      </c>
      <c r="P102" s="155">
        <f t="shared" si="11"/>
        <v>0</v>
      </c>
    </row>
    <row r="103" spans="1:16" hidden="1" x14ac:dyDescent="0.25">
      <c r="A103" s="150"/>
      <c r="B103" s="150">
        <v>1930</v>
      </c>
      <c r="C103" s="151" t="s">
        <v>134</v>
      </c>
      <c r="D103" s="191">
        <f t="shared" si="8"/>
        <v>0</v>
      </c>
      <c r="E103" s="191"/>
      <c r="F103" s="192"/>
      <c r="G103" s="192"/>
      <c r="H103" s="194">
        <f t="shared" si="9"/>
        <v>0</v>
      </c>
      <c r="I103" s="194"/>
      <c r="J103" s="123"/>
      <c r="K103" s="191">
        <f t="shared" si="10"/>
        <v>0</v>
      </c>
      <c r="L103" s="195"/>
      <c r="M103" s="192"/>
      <c r="N103" s="192"/>
      <c r="O103" s="193">
        <f t="shared" si="12"/>
        <v>0</v>
      </c>
      <c r="P103" s="155">
        <f t="shared" si="11"/>
        <v>0</v>
      </c>
    </row>
    <row r="104" spans="1:16" hidden="1" x14ac:dyDescent="0.25">
      <c r="A104" s="150"/>
      <c r="B104" s="150">
        <v>1935</v>
      </c>
      <c r="C104" s="151" t="s">
        <v>135</v>
      </c>
      <c r="D104" s="191">
        <f t="shared" si="8"/>
        <v>0</v>
      </c>
      <c r="E104" s="191"/>
      <c r="F104" s="192"/>
      <c r="G104" s="192"/>
      <c r="H104" s="194">
        <f t="shared" si="9"/>
        <v>0</v>
      </c>
      <c r="I104" s="194"/>
      <c r="J104" s="123"/>
      <c r="K104" s="191">
        <f t="shared" si="10"/>
        <v>0</v>
      </c>
      <c r="L104" s="195"/>
      <c r="M104" s="192"/>
      <c r="N104" s="192"/>
      <c r="O104" s="193">
        <f t="shared" si="12"/>
        <v>0</v>
      </c>
      <c r="P104" s="155">
        <f t="shared" si="11"/>
        <v>0</v>
      </c>
    </row>
    <row r="105" spans="1:16" hidden="1" x14ac:dyDescent="0.25">
      <c r="A105" s="150"/>
      <c r="B105" s="150">
        <v>1940</v>
      </c>
      <c r="C105" s="151" t="s">
        <v>136</v>
      </c>
      <c r="D105" s="191">
        <f t="shared" si="8"/>
        <v>0</v>
      </c>
      <c r="E105" s="191"/>
      <c r="F105" s="192"/>
      <c r="G105" s="192"/>
      <c r="H105" s="194">
        <f t="shared" si="9"/>
        <v>0</v>
      </c>
      <c r="I105" s="194"/>
      <c r="J105" s="123"/>
      <c r="K105" s="191">
        <f t="shared" si="10"/>
        <v>0</v>
      </c>
      <c r="L105" s="195"/>
      <c r="M105" s="192"/>
      <c r="N105" s="192"/>
      <c r="O105" s="193">
        <f t="shared" si="12"/>
        <v>0</v>
      </c>
      <c r="P105" s="155">
        <f t="shared" si="11"/>
        <v>0</v>
      </c>
    </row>
    <row r="106" spans="1:16" hidden="1" x14ac:dyDescent="0.25">
      <c r="A106" s="150"/>
      <c r="B106" s="150">
        <v>1945</v>
      </c>
      <c r="C106" s="151" t="s">
        <v>137</v>
      </c>
      <c r="D106" s="191">
        <f t="shared" si="8"/>
        <v>0</v>
      </c>
      <c r="E106" s="191"/>
      <c r="F106" s="192"/>
      <c r="G106" s="192"/>
      <c r="H106" s="194">
        <f t="shared" si="9"/>
        <v>0</v>
      </c>
      <c r="I106" s="194"/>
      <c r="J106" s="123"/>
      <c r="K106" s="191">
        <f t="shared" si="10"/>
        <v>0</v>
      </c>
      <c r="L106" s="195"/>
      <c r="M106" s="192"/>
      <c r="N106" s="192"/>
      <c r="O106" s="193">
        <f t="shared" si="12"/>
        <v>0</v>
      </c>
      <c r="P106" s="155">
        <f t="shared" si="11"/>
        <v>0</v>
      </c>
    </row>
    <row r="107" spans="1:16" hidden="1" x14ac:dyDescent="0.25">
      <c r="A107" s="150"/>
      <c r="B107" s="150">
        <v>1950</v>
      </c>
      <c r="C107" s="151" t="s">
        <v>138</v>
      </c>
      <c r="D107" s="191">
        <f t="shared" si="8"/>
        <v>0</v>
      </c>
      <c r="E107" s="191"/>
      <c r="F107" s="192"/>
      <c r="G107" s="192"/>
      <c r="H107" s="194">
        <f t="shared" si="9"/>
        <v>0</v>
      </c>
      <c r="I107" s="194"/>
      <c r="J107" s="123"/>
      <c r="K107" s="191">
        <f t="shared" si="10"/>
        <v>0</v>
      </c>
      <c r="L107" s="195"/>
      <c r="M107" s="192"/>
      <c r="N107" s="192"/>
      <c r="O107" s="193">
        <f t="shared" si="12"/>
        <v>0</v>
      </c>
      <c r="P107" s="155">
        <f t="shared" si="11"/>
        <v>0</v>
      </c>
    </row>
    <row r="108" spans="1:16" hidden="1" x14ac:dyDescent="0.25">
      <c r="A108" s="150"/>
      <c r="B108" s="150">
        <v>1955</v>
      </c>
      <c r="C108" s="151" t="s">
        <v>139</v>
      </c>
      <c r="D108" s="191">
        <f t="shared" si="8"/>
        <v>0</v>
      </c>
      <c r="E108" s="191"/>
      <c r="F108" s="192"/>
      <c r="G108" s="192"/>
      <c r="H108" s="194">
        <f t="shared" si="9"/>
        <v>0</v>
      </c>
      <c r="I108" s="194"/>
      <c r="J108" s="123"/>
      <c r="K108" s="191">
        <f t="shared" si="10"/>
        <v>0</v>
      </c>
      <c r="L108" s="195"/>
      <c r="M108" s="192"/>
      <c r="N108" s="192"/>
      <c r="O108" s="193">
        <f t="shared" si="12"/>
        <v>0</v>
      </c>
      <c r="P108" s="155">
        <f t="shared" si="11"/>
        <v>0</v>
      </c>
    </row>
    <row r="109" spans="1:16" hidden="1" x14ac:dyDescent="0.25">
      <c r="A109" s="150"/>
      <c r="B109" s="150">
        <v>1955</v>
      </c>
      <c r="C109" s="151" t="s">
        <v>140</v>
      </c>
      <c r="D109" s="191">
        <f t="shared" si="8"/>
        <v>0</v>
      </c>
      <c r="E109" s="191"/>
      <c r="F109" s="192"/>
      <c r="G109" s="192"/>
      <c r="H109" s="194">
        <f t="shared" si="9"/>
        <v>0</v>
      </c>
      <c r="I109" s="194"/>
      <c r="J109" s="123"/>
      <c r="K109" s="191">
        <f t="shared" si="10"/>
        <v>0</v>
      </c>
      <c r="L109" s="195"/>
      <c r="M109" s="192"/>
      <c r="N109" s="192"/>
      <c r="O109" s="193">
        <f t="shared" si="12"/>
        <v>0</v>
      </c>
      <c r="P109" s="155">
        <f t="shared" si="11"/>
        <v>0</v>
      </c>
    </row>
    <row r="110" spans="1:16" hidden="1" x14ac:dyDescent="0.25">
      <c r="A110" s="150"/>
      <c r="B110" s="150">
        <v>1960</v>
      </c>
      <c r="C110" s="151" t="s">
        <v>141</v>
      </c>
      <c r="D110" s="191">
        <f t="shared" si="8"/>
        <v>0</v>
      </c>
      <c r="E110" s="191"/>
      <c r="F110" s="192"/>
      <c r="G110" s="192"/>
      <c r="H110" s="194">
        <f t="shared" si="9"/>
        <v>0</v>
      </c>
      <c r="I110" s="194"/>
      <c r="J110" s="123"/>
      <c r="K110" s="191">
        <f t="shared" si="10"/>
        <v>0</v>
      </c>
      <c r="L110" s="195"/>
      <c r="M110" s="192"/>
      <c r="N110" s="192"/>
      <c r="O110" s="193">
        <f t="shared" si="12"/>
        <v>0</v>
      </c>
      <c r="P110" s="155">
        <f t="shared" si="11"/>
        <v>0</v>
      </c>
    </row>
    <row r="111" spans="1:16" hidden="1" x14ac:dyDescent="0.25">
      <c r="A111" s="150"/>
      <c r="B111" s="150">
        <v>1970</v>
      </c>
      <c r="C111" s="151" t="s">
        <v>142</v>
      </c>
      <c r="D111" s="191">
        <f t="shared" si="8"/>
        <v>0</v>
      </c>
      <c r="E111" s="191"/>
      <c r="F111" s="192"/>
      <c r="G111" s="192"/>
      <c r="H111" s="194">
        <f t="shared" si="9"/>
        <v>0</v>
      </c>
      <c r="I111" s="194"/>
      <c r="J111" s="123"/>
      <c r="K111" s="191">
        <f t="shared" si="10"/>
        <v>0</v>
      </c>
      <c r="L111" s="195"/>
      <c r="M111" s="192"/>
      <c r="N111" s="192"/>
      <c r="O111" s="193">
        <f t="shared" si="12"/>
        <v>0</v>
      </c>
      <c r="P111" s="155">
        <f t="shared" si="11"/>
        <v>0</v>
      </c>
    </row>
    <row r="112" spans="1:16" hidden="1" x14ac:dyDescent="0.25">
      <c r="A112" s="150"/>
      <c r="B112" s="150">
        <v>1975</v>
      </c>
      <c r="C112" s="151" t="s">
        <v>143</v>
      </c>
      <c r="D112" s="191">
        <f t="shared" si="8"/>
        <v>0</v>
      </c>
      <c r="E112" s="191"/>
      <c r="F112" s="192"/>
      <c r="G112" s="192"/>
      <c r="H112" s="194">
        <f t="shared" si="9"/>
        <v>0</v>
      </c>
      <c r="I112" s="194"/>
      <c r="J112" s="123"/>
      <c r="K112" s="191">
        <f t="shared" si="10"/>
        <v>0</v>
      </c>
      <c r="L112" s="195"/>
      <c r="M112" s="192"/>
      <c r="N112" s="192"/>
      <c r="O112" s="193">
        <f t="shared" si="12"/>
        <v>0</v>
      </c>
      <c r="P112" s="155">
        <f t="shared" si="11"/>
        <v>0</v>
      </c>
    </row>
    <row r="113" spans="1:16" x14ac:dyDescent="0.25">
      <c r="A113" s="150">
        <v>8</v>
      </c>
      <c r="B113" s="150">
        <v>1980</v>
      </c>
      <c r="C113" s="151" t="s">
        <v>144</v>
      </c>
      <c r="D113" s="191">
        <f t="shared" si="8"/>
        <v>84847.49</v>
      </c>
      <c r="E113" s="191"/>
      <c r="F113" s="192">
        <v>1669.0299999999988</v>
      </c>
      <c r="G113" s="192"/>
      <c r="H113" s="194">
        <f t="shared" si="9"/>
        <v>86516.52</v>
      </c>
      <c r="I113" s="194"/>
      <c r="J113" s="123"/>
      <c r="K113" s="191">
        <f t="shared" si="10"/>
        <v>-2849.42</v>
      </c>
      <c r="L113" s="195"/>
      <c r="M113" s="192">
        <v>-5464.32</v>
      </c>
      <c r="N113" s="192"/>
      <c r="O113" s="193">
        <f t="shared" si="12"/>
        <v>-8313.74</v>
      </c>
      <c r="P113" s="155">
        <f t="shared" si="11"/>
        <v>78202.78</v>
      </c>
    </row>
    <row r="114" spans="1:16" hidden="1" x14ac:dyDescent="0.25">
      <c r="A114" s="150"/>
      <c r="B114" s="150">
        <v>1985</v>
      </c>
      <c r="C114" s="151" t="s">
        <v>145</v>
      </c>
      <c r="D114" s="191">
        <f t="shared" si="8"/>
        <v>0</v>
      </c>
      <c r="E114" s="191"/>
      <c r="F114" s="192"/>
      <c r="G114" s="192"/>
      <c r="H114" s="194">
        <f t="shared" si="9"/>
        <v>0</v>
      </c>
      <c r="I114" s="194"/>
      <c r="J114" s="123"/>
      <c r="K114" s="191">
        <f t="shared" si="10"/>
        <v>0</v>
      </c>
      <c r="L114" s="195"/>
      <c r="M114" s="192"/>
      <c r="N114" s="192"/>
      <c r="O114" s="193">
        <f t="shared" si="12"/>
        <v>0</v>
      </c>
      <c r="P114" s="155">
        <f t="shared" si="11"/>
        <v>0</v>
      </c>
    </row>
    <row r="115" spans="1:16" hidden="1" x14ac:dyDescent="0.25">
      <c r="A115" s="150"/>
      <c r="B115" s="150">
        <v>1990</v>
      </c>
      <c r="C115" s="159" t="s">
        <v>146</v>
      </c>
      <c r="D115" s="191">
        <f t="shared" si="8"/>
        <v>0</v>
      </c>
      <c r="E115" s="191"/>
      <c r="F115" s="192"/>
      <c r="G115" s="192"/>
      <c r="H115" s="194">
        <f t="shared" si="9"/>
        <v>0</v>
      </c>
      <c r="I115" s="194"/>
      <c r="J115" s="123"/>
      <c r="K115" s="191">
        <f t="shared" si="10"/>
        <v>0</v>
      </c>
      <c r="L115" s="195"/>
      <c r="M115" s="192"/>
      <c r="N115" s="192"/>
      <c r="O115" s="193">
        <f t="shared" si="12"/>
        <v>0</v>
      </c>
      <c r="P115" s="155">
        <f t="shared" si="11"/>
        <v>0</v>
      </c>
    </row>
    <row r="116" spans="1:16" hidden="1" x14ac:dyDescent="0.25">
      <c r="A116" s="150"/>
      <c r="B116" s="150">
        <v>1995</v>
      </c>
      <c r="C116" s="151" t="s">
        <v>147</v>
      </c>
      <c r="D116" s="191">
        <f t="shared" si="8"/>
        <v>0</v>
      </c>
      <c r="E116" s="191"/>
      <c r="F116" s="192"/>
      <c r="G116" s="192"/>
      <c r="H116" s="194">
        <f t="shared" si="9"/>
        <v>0</v>
      </c>
      <c r="I116" s="194"/>
      <c r="J116" s="123"/>
      <c r="K116" s="191">
        <f t="shared" si="10"/>
        <v>0</v>
      </c>
      <c r="L116" s="195"/>
      <c r="M116" s="192"/>
      <c r="N116" s="192"/>
      <c r="O116" s="193">
        <f t="shared" si="12"/>
        <v>0</v>
      </c>
      <c r="P116" s="155">
        <f t="shared" si="11"/>
        <v>0</v>
      </c>
    </row>
    <row r="117" spans="1:16" hidden="1" x14ac:dyDescent="0.25">
      <c r="A117" s="150"/>
      <c r="B117" s="150">
        <v>2075</v>
      </c>
      <c r="C117" s="151" t="s">
        <v>148</v>
      </c>
      <c r="D117" s="191">
        <f t="shared" si="8"/>
        <v>0</v>
      </c>
      <c r="E117" s="191"/>
      <c r="F117" s="192"/>
      <c r="G117" s="192"/>
      <c r="H117" s="194">
        <f t="shared" si="9"/>
        <v>0</v>
      </c>
      <c r="I117" s="194"/>
      <c r="J117" s="123"/>
      <c r="K117" s="191">
        <f t="shared" si="10"/>
        <v>0</v>
      </c>
      <c r="L117" s="191"/>
      <c r="M117" s="192"/>
      <c r="N117" s="192"/>
      <c r="O117" s="193">
        <f t="shared" si="12"/>
        <v>0</v>
      </c>
      <c r="P117" s="155">
        <f t="shared" si="11"/>
        <v>0</v>
      </c>
    </row>
    <row r="118" spans="1:16" x14ac:dyDescent="0.25">
      <c r="A118" s="150">
        <v>47</v>
      </c>
      <c r="B118" s="150">
        <v>2440</v>
      </c>
      <c r="C118" s="151" t="s">
        <v>149</v>
      </c>
      <c r="D118" s="191">
        <f t="shared" si="8"/>
        <v>-2271739.5</v>
      </c>
      <c r="E118" s="191"/>
      <c r="F118" s="192">
        <v>-1239727.9700000002</v>
      </c>
      <c r="G118" s="192"/>
      <c r="H118" s="194">
        <f t="shared" si="9"/>
        <v>-3511467.47</v>
      </c>
      <c r="I118" s="194"/>
      <c r="J118" s="123"/>
      <c r="K118" s="191">
        <f t="shared" si="10"/>
        <v>26496.900000000005</v>
      </c>
      <c r="L118" s="191"/>
      <c r="M118" s="192">
        <v>102162.76000000001</v>
      </c>
      <c r="N118" s="192"/>
      <c r="O118" s="193">
        <f t="shared" si="12"/>
        <v>128659.66000000002</v>
      </c>
      <c r="P118" s="155">
        <f t="shared" si="11"/>
        <v>-3382807.81</v>
      </c>
    </row>
    <row r="119" spans="1:16" hidden="1" x14ac:dyDescent="0.25">
      <c r="A119" s="160"/>
      <c r="B119" s="160">
        <v>2005</v>
      </c>
      <c r="C119" s="161" t="s">
        <v>150</v>
      </c>
      <c r="D119" s="191">
        <f t="shared" si="8"/>
        <v>0</v>
      </c>
      <c r="E119" s="191"/>
      <c r="F119" s="162"/>
      <c r="G119" s="162"/>
      <c r="H119" s="194">
        <f t="shared" si="9"/>
        <v>0</v>
      </c>
      <c r="I119" s="194"/>
      <c r="J119" s="123"/>
      <c r="K119" s="191">
        <f t="shared" si="10"/>
        <v>0</v>
      </c>
      <c r="L119" s="191"/>
      <c r="M119" s="192"/>
      <c r="N119" s="192"/>
      <c r="O119" s="193">
        <f t="shared" si="12"/>
        <v>0</v>
      </c>
      <c r="P119" s="155">
        <f t="shared" si="11"/>
        <v>0</v>
      </c>
    </row>
    <row r="120" spans="1:16" x14ac:dyDescent="0.25">
      <c r="A120" s="160"/>
      <c r="B120" s="160"/>
      <c r="C120" s="164" t="s">
        <v>20</v>
      </c>
      <c r="D120" s="165">
        <f t="shared" ref="D120:H120" si="13">SUM(D76:D119)</f>
        <v>41791206.749999993</v>
      </c>
      <c r="E120" s="165">
        <f t="shared" si="13"/>
        <v>0</v>
      </c>
      <c r="F120" s="165">
        <f t="shared" si="13"/>
        <v>3799522.0199999991</v>
      </c>
      <c r="G120" s="165">
        <f t="shared" si="13"/>
        <v>0</v>
      </c>
      <c r="H120" s="196">
        <f t="shared" si="13"/>
        <v>45590728.770000003</v>
      </c>
      <c r="I120" s="196"/>
      <c r="J120" s="123"/>
      <c r="K120" s="165">
        <f t="shared" ref="K120:P120" si="14">SUM(K76:K119)</f>
        <v>-412651.70999999996</v>
      </c>
      <c r="L120" s="165">
        <f t="shared" si="14"/>
        <v>0</v>
      </c>
      <c r="M120" s="165">
        <f t="shared" si="14"/>
        <v>-857914.78999999992</v>
      </c>
      <c r="N120" s="165">
        <f t="shared" si="14"/>
        <v>0</v>
      </c>
      <c r="O120" s="165">
        <f t="shared" si="14"/>
        <v>-1270566.5000000002</v>
      </c>
      <c r="P120" s="165">
        <f t="shared" si="14"/>
        <v>44320162.269999981</v>
      </c>
    </row>
    <row r="121" spans="1:16" ht="25.5" x14ac:dyDescent="0.25">
      <c r="A121" s="160"/>
      <c r="B121" s="160"/>
      <c r="C121" s="168" t="s">
        <v>151</v>
      </c>
      <c r="D121" s="178">
        <f>G61</f>
        <v>0</v>
      </c>
      <c r="E121" s="162"/>
      <c r="F121" s="162"/>
      <c r="G121" s="162"/>
      <c r="H121" s="194">
        <f>D121+E121+F121+G121</f>
        <v>0</v>
      </c>
      <c r="I121" s="194"/>
      <c r="J121" s="123"/>
      <c r="K121" s="178">
        <f>N61</f>
        <v>0</v>
      </c>
      <c r="L121" s="162"/>
      <c r="M121" s="178"/>
      <c r="N121" s="162"/>
      <c r="O121" s="193">
        <f t="shared" ref="O121:O122" si="15">K121+L121+M121+N121</f>
        <v>0</v>
      </c>
      <c r="P121" s="155">
        <f>H121+O121</f>
        <v>0</v>
      </c>
    </row>
    <row r="122" spans="1:16" ht="24.75" x14ac:dyDescent="0.25">
      <c r="A122" s="160"/>
      <c r="B122" s="160"/>
      <c r="C122" s="169" t="s">
        <v>152</v>
      </c>
      <c r="D122" s="178">
        <f>G62</f>
        <v>0</v>
      </c>
      <c r="E122" s="178"/>
      <c r="F122" s="178"/>
      <c r="G122" s="178"/>
      <c r="H122" s="194">
        <f>D122+E122+F122+G122</f>
        <v>0</v>
      </c>
      <c r="I122" s="194"/>
      <c r="J122" s="123"/>
      <c r="K122" s="178">
        <f>N62</f>
        <v>0</v>
      </c>
      <c r="L122" s="178"/>
      <c r="M122" s="178"/>
      <c r="N122" s="178"/>
      <c r="O122" s="193">
        <f t="shared" si="15"/>
        <v>0</v>
      </c>
      <c r="P122" s="155">
        <f>H122+O122</f>
        <v>0</v>
      </c>
    </row>
    <row r="123" spans="1:16" x14ac:dyDescent="0.25">
      <c r="A123" s="160"/>
      <c r="B123" s="160"/>
      <c r="C123" s="164" t="s">
        <v>153</v>
      </c>
      <c r="D123" s="165">
        <f>SUM(D120:D122)</f>
        <v>41791206.749999993</v>
      </c>
      <c r="E123" s="165">
        <f>SUM(E120:E122)</f>
        <v>0</v>
      </c>
      <c r="F123" s="165">
        <f>SUM(F120:F122)</f>
        <v>3799522.0199999991</v>
      </c>
      <c r="G123" s="165">
        <f>SUM(G120:G122)</f>
        <v>0</v>
      </c>
      <c r="H123" s="196">
        <f>SUM(H120:H122)</f>
        <v>45590728.770000003</v>
      </c>
      <c r="I123" s="194"/>
      <c r="J123" s="123"/>
      <c r="K123" s="165">
        <f t="shared" ref="K123:P123" si="16">SUM(K120:K122)</f>
        <v>-412651.70999999996</v>
      </c>
      <c r="L123" s="165">
        <f t="shared" si="16"/>
        <v>0</v>
      </c>
      <c r="M123" s="165">
        <f t="shared" si="16"/>
        <v>-857914.78999999992</v>
      </c>
      <c r="N123" s="165">
        <f t="shared" si="16"/>
        <v>0</v>
      </c>
      <c r="O123" s="165">
        <f t="shared" si="16"/>
        <v>-1270566.5000000002</v>
      </c>
      <c r="P123" s="165">
        <f t="shared" si="16"/>
        <v>44320162.269999981</v>
      </c>
    </row>
    <row r="124" spans="1:16" x14ac:dyDescent="0.25">
      <c r="A124" s="160"/>
      <c r="B124" s="160"/>
      <c r="C124" s="170" t="s">
        <v>154</v>
      </c>
      <c r="D124" s="192">
        <f>G64</f>
        <v>0</v>
      </c>
      <c r="E124" s="192"/>
      <c r="F124" s="192"/>
      <c r="G124" s="192"/>
      <c r="H124" s="194">
        <f>D124+E124+F124+G124</f>
        <v>0</v>
      </c>
      <c r="I124" s="194"/>
      <c r="J124" s="123"/>
      <c r="K124" s="123"/>
      <c r="L124" s="123"/>
      <c r="M124" s="123"/>
      <c r="N124" s="123"/>
      <c r="O124" s="193">
        <f>K124+L124+M124+N124</f>
        <v>0</v>
      </c>
      <c r="P124" s="155">
        <f>H124+O124</f>
        <v>0</v>
      </c>
    </row>
    <row r="125" spans="1:16" x14ac:dyDescent="0.25">
      <c r="A125" s="160"/>
      <c r="B125" s="160"/>
      <c r="C125" s="170" t="s">
        <v>155</v>
      </c>
      <c r="D125" s="165">
        <f>SUM(D123:D124)</f>
        <v>41791206.749999993</v>
      </c>
      <c r="E125" s="165">
        <f t="shared" ref="E125:H125" si="17">SUM(E123:E124)</f>
        <v>0</v>
      </c>
      <c r="F125" s="165">
        <f t="shared" si="17"/>
        <v>3799522.0199999991</v>
      </c>
      <c r="G125" s="165">
        <f t="shared" si="17"/>
        <v>0</v>
      </c>
      <c r="H125" s="196">
        <f t="shared" si="17"/>
        <v>45590728.770000003</v>
      </c>
      <c r="I125" s="196"/>
      <c r="J125" s="123"/>
      <c r="K125" s="165">
        <f t="shared" ref="K125:P125" si="18">SUM(K123:K124)</f>
        <v>-412651.70999999996</v>
      </c>
      <c r="L125" s="165">
        <f t="shared" si="18"/>
        <v>0</v>
      </c>
      <c r="M125" s="165">
        <f t="shared" si="18"/>
        <v>-857914.78999999992</v>
      </c>
      <c r="N125" s="165">
        <f t="shared" si="18"/>
        <v>0</v>
      </c>
      <c r="O125" s="165">
        <f t="shared" si="18"/>
        <v>-1270566.5000000002</v>
      </c>
      <c r="P125" s="165">
        <f t="shared" si="18"/>
        <v>44320162.269999981</v>
      </c>
    </row>
    <row r="126" spans="1:16" x14ac:dyDescent="0.25">
      <c r="A126" s="160"/>
      <c r="B126" s="160"/>
      <c r="C126" s="359" t="s">
        <v>156</v>
      </c>
      <c r="D126" s="360"/>
      <c r="E126" s="360"/>
      <c r="F126" s="360"/>
      <c r="G126" s="360"/>
      <c r="H126" s="360"/>
      <c r="I126" s="360"/>
      <c r="J126" s="360"/>
      <c r="K126" s="361"/>
      <c r="L126" s="123"/>
      <c r="M126" s="162"/>
      <c r="N126" s="123"/>
      <c r="O126" s="197"/>
      <c r="P126" s="123"/>
    </row>
    <row r="127" spans="1:16" x14ac:dyDescent="0.25">
      <c r="A127" s="160"/>
      <c r="B127" s="160"/>
      <c r="C127" s="170" t="s">
        <v>43</v>
      </c>
      <c r="D127" s="176"/>
      <c r="E127" s="176"/>
      <c r="F127" s="176"/>
      <c r="G127" s="176"/>
      <c r="H127" s="176"/>
      <c r="I127" s="201"/>
      <c r="J127" s="176"/>
      <c r="K127" s="202"/>
      <c r="L127" s="123"/>
      <c r="M127" s="165">
        <f>M125+M126</f>
        <v>-857914.78999999992</v>
      </c>
      <c r="N127" s="123"/>
      <c r="O127" s="123"/>
      <c r="P127" s="123"/>
    </row>
    <row r="128" spans="1:16" x14ac:dyDescent="0.25">
      <c r="A128" s="122"/>
      <c r="B128" s="122"/>
      <c r="C128" s="123"/>
      <c r="D128" s="123"/>
      <c r="E128" s="123"/>
      <c r="F128" s="123"/>
      <c r="G128" s="123"/>
      <c r="H128" s="123"/>
      <c r="I128" s="186"/>
      <c r="J128" s="123"/>
      <c r="K128" s="123"/>
      <c r="L128" s="123"/>
      <c r="M128" s="123"/>
      <c r="N128" s="123"/>
    </row>
    <row r="129" spans="1:16" x14ac:dyDescent="0.25">
      <c r="A129" s="122"/>
      <c r="B129" s="122"/>
      <c r="C129" s="123"/>
      <c r="D129" s="123"/>
      <c r="E129" s="123"/>
      <c r="F129" s="123"/>
      <c r="G129" s="123"/>
      <c r="H129" s="123"/>
      <c r="I129" s="186"/>
      <c r="J129" s="123"/>
      <c r="K129" s="123"/>
      <c r="L129" s="123"/>
      <c r="M129" s="123"/>
      <c r="N129" s="123"/>
      <c r="O129" s="123"/>
      <c r="P129" s="123"/>
    </row>
    <row r="130" spans="1:16" x14ac:dyDescent="0.25">
      <c r="A130" s="122"/>
      <c r="B130" s="122"/>
      <c r="C130" s="123"/>
      <c r="D130" s="123"/>
      <c r="E130" s="123"/>
      <c r="F130" s="123"/>
      <c r="G130" s="123"/>
      <c r="H130" s="123"/>
      <c r="I130" s="186"/>
      <c r="J130" s="123"/>
      <c r="K130" s="123"/>
      <c r="L130" s="123"/>
      <c r="M130" s="123"/>
      <c r="N130" s="123"/>
      <c r="O130" s="123"/>
      <c r="P130" s="123"/>
    </row>
    <row r="131" spans="1:16" ht="15.75" thickBot="1" x14ac:dyDescent="0.3">
      <c r="A131" s="122"/>
      <c r="B131" s="122"/>
      <c r="C131" s="123"/>
      <c r="D131" s="123"/>
      <c r="E131" s="135" t="s">
        <v>94</v>
      </c>
      <c r="F131" s="187" t="s">
        <v>12</v>
      </c>
      <c r="G131" s="123"/>
      <c r="H131" s="123"/>
      <c r="I131" s="186"/>
      <c r="J131" s="123"/>
      <c r="K131" s="123"/>
      <c r="L131" s="123"/>
      <c r="M131" s="123"/>
      <c r="N131" s="123"/>
      <c r="O131" s="123"/>
      <c r="P131" s="123"/>
    </row>
    <row r="132" spans="1:16" ht="15.75" thickBot="1" x14ac:dyDescent="0.3">
      <c r="A132" s="122"/>
      <c r="B132" s="122"/>
      <c r="C132" s="123"/>
      <c r="D132" s="123"/>
      <c r="E132" s="135" t="s">
        <v>95</v>
      </c>
      <c r="F132" s="137">
        <f>+F72+1</f>
        <v>2024</v>
      </c>
      <c r="G132" s="138"/>
      <c r="H132" s="138"/>
      <c r="I132" s="188" t="b">
        <f>IF(F132=2014,4,IF(F132=2015,5,IF(F132=2016,6,IF(F132=2017,7,IF(F132=2018,8,IF(F132=2019,9,IF(F132=2020,10)))))))</f>
        <v>0</v>
      </c>
      <c r="J132" s="123"/>
      <c r="K132" s="123"/>
      <c r="L132" s="123"/>
      <c r="M132" s="123"/>
      <c r="N132" s="123"/>
      <c r="O132" s="123"/>
      <c r="P132" s="123"/>
    </row>
    <row r="133" spans="1:16" x14ac:dyDescent="0.25">
      <c r="A133" s="122"/>
      <c r="B133" s="122"/>
      <c r="C133" s="123"/>
      <c r="D133" s="123"/>
      <c r="E133" s="123"/>
      <c r="F133" s="123"/>
      <c r="G133" s="123"/>
      <c r="H133" s="123"/>
      <c r="I133" s="186"/>
      <c r="J133" s="123"/>
      <c r="K133" s="123"/>
      <c r="L133" s="123"/>
      <c r="M133" s="123"/>
      <c r="N133" s="123"/>
      <c r="O133" s="123"/>
      <c r="P133" s="123"/>
    </row>
    <row r="134" spans="1:16" x14ac:dyDescent="0.25">
      <c r="A134" s="122"/>
      <c r="B134" s="122"/>
      <c r="C134" s="123"/>
      <c r="D134" s="356" t="s">
        <v>96</v>
      </c>
      <c r="E134" s="357"/>
      <c r="F134" s="357"/>
      <c r="G134" s="357"/>
      <c r="H134" s="357"/>
      <c r="I134" s="358"/>
      <c r="J134" s="123"/>
      <c r="K134" s="140"/>
      <c r="L134" s="141" t="s">
        <v>97</v>
      </c>
      <c r="M134" s="141"/>
      <c r="N134" s="142"/>
      <c r="O134" s="123"/>
      <c r="P134" s="123"/>
    </row>
    <row r="135" spans="1:16" ht="40.5" x14ac:dyDescent="0.25">
      <c r="A135" s="143" t="s">
        <v>98</v>
      </c>
      <c r="B135" s="143" t="s">
        <v>99</v>
      </c>
      <c r="C135" s="144" t="s">
        <v>100</v>
      </c>
      <c r="D135" s="143" t="s">
        <v>101</v>
      </c>
      <c r="E135" s="145" t="s">
        <v>102</v>
      </c>
      <c r="F135" s="145" t="s">
        <v>103</v>
      </c>
      <c r="G135" s="143" t="s">
        <v>104</v>
      </c>
      <c r="H135" s="143"/>
      <c r="I135" s="189"/>
      <c r="J135" s="146"/>
      <c r="K135" s="143" t="s">
        <v>101</v>
      </c>
      <c r="L135" s="147" t="s">
        <v>106</v>
      </c>
      <c r="M135" s="147" t="s">
        <v>103</v>
      </c>
      <c r="N135" s="148" t="s">
        <v>104</v>
      </c>
      <c r="O135" s="143" t="s">
        <v>107</v>
      </c>
      <c r="P135" s="123"/>
    </row>
    <row r="136" spans="1:16" x14ac:dyDescent="0.25">
      <c r="A136" s="149">
        <v>14.1</v>
      </c>
      <c r="B136" s="150">
        <v>1609</v>
      </c>
      <c r="C136" s="151" t="s">
        <v>108</v>
      </c>
      <c r="D136" s="191">
        <f t="shared" ref="D136:D179" si="19">H76</f>
        <v>0</v>
      </c>
      <c r="E136" s="192">
        <f>3244400.11</f>
        <v>3244400.11</v>
      </c>
      <c r="F136" s="192"/>
      <c r="G136" s="193">
        <f>D136+E136+F136</f>
        <v>3244400.11</v>
      </c>
      <c r="H136" s="193"/>
      <c r="I136" s="194"/>
      <c r="J136" s="146"/>
      <c r="K136" s="195">
        <f t="shared" ref="K136:K179" si="20">O76</f>
        <v>0</v>
      </c>
      <c r="L136" s="192">
        <v>-38011.440000000002</v>
      </c>
      <c r="M136" s="192"/>
      <c r="N136" s="193">
        <f>K136+L136+M136</f>
        <v>-38011.440000000002</v>
      </c>
      <c r="O136" s="155">
        <f>G136+N136</f>
        <v>3206388.67</v>
      </c>
      <c r="P136" s="123"/>
    </row>
    <row r="137" spans="1:16" hidden="1" x14ac:dyDescent="0.25">
      <c r="A137" s="150"/>
      <c r="B137" s="150">
        <v>1610</v>
      </c>
      <c r="C137" s="151" t="s">
        <v>110</v>
      </c>
      <c r="D137" s="191">
        <f t="shared" si="19"/>
        <v>0</v>
      </c>
      <c r="E137" s="192"/>
      <c r="F137" s="192"/>
      <c r="G137" s="193">
        <f>D137+E137+F137</f>
        <v>0</v>
      </c>
      <c r="H137" s="193"/>
      <c r="I137" s="194"/>
      <c r="J137" s="146"/>
      <c r="K137" s="195">
        <f t="shared" si="20"/>
        <v>0</v>
      </c>
      <c r="L137" s="192"/>
      <c r="M137" s="192"/>
      <c r="N137" s="193">
        <f>K137+L137+M137</f>
        <v>0</v>
      </c>
      <c r="O137" s="155">
        <f>G137+N137</f>
        <v>0</v>
      </c>
      <c r="P137" s="123"/>
    </row>
    <row r="138" spans="1:16" x14ac:dyDescent="0.25">
      <c r="A138" s="150">
        <v>12</v>
      </c>
      <c r="B138" s="150">
        <v>1611</v>
      </c>
      <c r="C138" s="151" t="s">
        <v>111</v>
      </c>
      <c r="D138" s="191">
        <f t="shared" si="19"/>
        <v>440038.54</v>
      </c>
      <c r="E138" s="192">
        <v>2478004.58</v>
      </c>
      <c r="F138" s="192"/>
      <c r="G138" s="193">
        <f>D138+E138+F138</f>
        <v>2918043.12</v>
      </c>
      <c r="H138" s="193"/>
      <c r="I138" s="194"/>
      <c r="J138" s="158"/>
      <c r="K138" s="195">
        <f t="shared" si="20"/>
        <v>-44316.959999999999</v>
      </c>
      <c r="L138" s="192">
        <v>-337852.58</v>
      </c>
      <c r="M138" s="192"/>
      <c r="N138" s="193">
        <f>K138+L138+M138</f>
        <v>-382169.54000000004</v>
      </c>
      <c r="O138" s="155">
        <f>G138+N138</f>
        <v>2535873.58</v>
      </c>
      <c r="P138" s="123"/>
    </row>
    <row r="139" spans="1:16" x14ac:dyDescent="0.25">
      <c r="A139" s="150">
        <v>14.1</v>
      </c>
      <c r="B139" s="150">
        <v>1612</v>
      </c>
      <c r="C139" s="151" t="s">
        <v>112</v>
      </c>
      <c r="D139" s="191">
        <f t="shared" si="19"/>
        <v>3841402</v>
      </c>
      <c r="E139" s="192"/>
      <c r="F139" s="192"/>
      <c r="G139" s="193">
        <f>D139+E139+F139</f>
        <v>3841402</v>
      </c>
      <c r="H139" s="193"/>
      <c r="I139" s="194"/>
      <c r="J139" s="158"/>
      <c r="K139" s="195">
        <f t="shared" si="20"/>
        <v>0</v>
      </c>
      <c r="L139" s="192"/>
      <c r="M139" s="192"/>
      <c r="N139" s="193">
        <f>K139+L139+M139</f>
        <v>0</v>
      </c>
      <c r="O139" s="155">
        <f>G139+N139</f>
        <v>3841402</v>
      </c>
      <c r="P139" s="123"/>
    </row>
    <row r="140" spans="1:16" hidden="1" x14ac:dyDescent="0.25">
      <c r="A140" s="150"/>
      <c r="B140" s="150">
        <v>1805</v>
      </c>
      <c r="C140" s="151" t="s">
        <v>113</v>
      </c>
      <c r="D140" s="191">
        <f t="shared" si="19"/>
        <v>0</v>
      </c>
      <c r="E140" s="192"/>
      <c r="F140" s="192"/>
      <c r="G140" s="193">
        <f>D140+E140+F140</f>
        <v>0</v>
      </c>
      <c r="H140" s="193"/>
      <c r="I140" s="194"/>
      <c r="J140" s="158"/>
      <c r="K140" s="195">
        <f t="shared" si="20"/>
        <v>0</v>
      </c>
      <c r="L140" s="192"/>
      <c r="M140" s="192"/>
      <c r="N140" s="193">
        <f>K140+L140+M140</f>
        <v>0</v>
      </c>
      <c r="O140" s="155">
        <f>G140+N140</f>
        <v>0</v>
      </c>
      <c r="P140" s="123"/>
    </row>
    <row r="141" spans="1:16" hidden="1" x14ac:dyDescent="0.25">
      <c r="A141" s="150"/>
      <c r="B141" s="150">
        <v>1808</v>
      </c>
      <c r="C141" s="151" t="s">
        <v>114</v>
      </c>
      <c r="D141" s="191">
        <f t="shared" si="19"/>
        <v>0</v>
      </c>
      <c r="E141" s="192"/>
      <c r="F141" s="192"/>
      <c r="G141" s="193">
        <f t="shared" ref="G141:G179" si="21">D141+E141+F141</f>
        <v>0</v>
      </c>
      <c r="H141" s="193"/>
      <c r="I141" s="194"/>
      <c r="J141" s="158"/>
      <c r="K141" s="195">
        <f t="shared" si="20"/>
        <v>0</v>
      </c>
      <c r="L141" s="192"/>
      <c r="M141" s="192"/>
      <c r="N141" s="193">
        <f t="shared" ref="N141:N179" si="22">K141+L141+M141</f>
        <v>0</v>
      </c>
      <c r="O141" s="155">
        <f t="shared" ref="O141:O179" si="23">G141+N141</f>
        <v>0</v>
      </c>
      <c r="P141" s="123"/>
    </row>
    <row r="142" spans="1:16" hidden="1" x14ac:dyDescent="0.25">
      <c r="A142" s="150"/>
      <c r="B142" s="150">
        <v>1810</v>
      </c>
      <c r="C142" s="151" t="s">
        <v>115</v>
      </c>
      <c r="D142" s="191">
        <f t="shared" si="19"/>
        <v>0</v>
      </c>
      <c r="E142" s="192"/>
      <c r="F142" s="192"/>
      <c r="G142" s="193">
        <f t="shared" si="21"/>
        <v>0</v>
      </c>
      <c r="H142" s="193"/>
      <c r="I142" s="194"/>
      <c r="J142" s="158"/>
      <c r="K142" s="195">
        <f t="shared" si="20"/>
        <v>0</v>
      </c>
      <c r="L142" s="192"/>
      <c r="M142" s="192"/>
      <c r="N142" s="193">
        <f t="shared" si="22"/>
        <v>0</v>
      </c>
      <c r="O142" s="155">
        <f t="shared" si="23"/>
        <v>0</v>
      </c>
      <c r="P142" s="123"/>
    </row>
    <row r="143" spans="1:16" x14ac:dyDescent="0.25">
      <c r="A143" s="150">
        <v>47</v>
      </c>
      <c r="B143" s="150">
        <v>1815</v>
      </c>
      <c r="C143" s="151" t="s">
        <v>116</v>
      </c>
      <c r="D143" s="191">
        <f t="shared" si="19"/>
        <v>34796541.43999999</v>
      </c>
      <c r="E143" s="192"/>
      <c r="F143" s="192"/>
      <c r="G143" s="193">
        <f t="shared" si="21"/>
        <v>34796541.43999999</v>
      </c>
      <c r="H143" s="193"/>
      <c r="I143" s="194"/>
      <c r="J143" s="158"/>
      <c r="K143" s="195">
        <f t="shared" si="20"/>
        <v>-1089623.08</v>
      </c>
      <c r="L143" s="192">
        <f>-302270.12-55884.56-109184.91-271055.43</f>
        <v>-738395.02</v>
      </c>
      <c r="M143" s="192"/>
      <c r="N143" s="193">
        <f t="shared" si="22"/>
        <v>-1828018.1</v>
      </c>
      <c r="O143" s="155">
        <f t="shared" si="23"/>
        <v>32968523.339999989</v>
      </c>
      <c r="P143" s="123"/>
    </row>
    <row r="144" spans="1:16" x14ac:dyDescent="0.25">
      <c r="A144" s="150">
        <v>47</v>
      </c>
      <c r="B144" s="150">
        <v>1820</v>
      </c>
      <c r="C144" s="151" t="s">
        <v>117</v>
      </c>
      <c r="D144" s="191">
        <f t="shared" si="19"/>
        <v>0</v>
      </c>
      <c r="E144" s="192"/>
      <c r="F144" s="192"/>
      <c r="G144" s="193">
        <f t="shared" si="21"/>
        <v>0</v>
      </c>
      <c r="H144" s="193"/>
      <c r="I144" s="194"/>
      <c r="J144" s="158"/>
      <c r="K144" s="195">
        <f t="shared" si="20"/>
        <v>0</v>
      </c>
      <c r="L144" s="192"/>
      <c r="M144" s="192"/>
      <c r="N144" s="193">
        <f t="shared" si="22"/>
        <v>0</v>
      </c>
      <c r="O144" s="155">
        <f t="shared" si="23"/>
        <v>0</v>
      </c>
      <c r="P144" s="123"/>
    </row>
    <row r="145" spans="1:16" hidden="1" x14ac:dyDescent="0.25">
      <c r="A145" s="150"/>
      <c r="B145" s="150">
        <v>1825</v>
      </c>
      <c r="C145" s="151" t="s">
        <v>118</v>
      </c>
      <c r="D145" s="191">
        <f t="shared" si="19"/>
        <v>0</v>
      </c>
      <c r="E145" s="192"/>
      <c r="F145" s="192"/>
      <c r="G145" s="193">
        <f t="shared" si="21"/>
        <v>0</v>
      </c>
      <c r="H145" s="193"/>
      <c r="I145" s="194"/>
      <c r="J145" s="158"/>
      <c r="K145" s="195">
        <f t="shared" si="20"/>
        <v>0</v>
      </c>
      <c r="L145" s="192"/>
      <c r="M145" s="192"/>
      <c r="N145" s="193">
        <f t="shared" si="22"/>
        <v>0</v>
      </c>
      <c r="O145" s="155">
        <f t="shared" si="23"/>
        <v>0</v>
      </c>
      <c r="P145" s="123"/>
    </row>
    <row r="146" spans="1:16" x14ac:dyDescent="0.25">
      <c r="A146" s="150">
        <v>47</v>
      </c>
      <c r="B146" s="150">
        <v>1830</v>
      </c>
      <c r="C146" s="151" t="s">
        <v>119</v>
      </c>
      <c r="D146" s="191">
        <f t="shared" si="19"/>
        <v>2427468.13</v>
      </c>
      <c r="E146" s="192">
        <f>-14839.45+4891.65</f>
        <v>-9947.8000000000011</v>
      </c>
      <c r="F146" s="192"/>
      <c r="G146" s="193">
        <f t="shared" si="21"/>
        <v>2417520.33</v>
      </c>
      <c r="H146" s="193"/>
      <c r="I146" s="194"/>
      <c r="J146" s="158"/>
      <c r="K146" s="195">
        <f t="shared" si="20"/>
        <v>-64804.220000000008</v>
      </c>
      <c r="L146" s="192">
        <f>-28547.54-31941.22</f>
        <v>-60488.76</v>
      </c>
      <c r="M146" s="192"/>
      <c r="N146" s="193">
        <f t="shared" si="22"/>
        <v>-125292.98000000001</v>
      </c>
      <c r="O146" s="155">
        <f t="shared" si="23"/>
        <v>2292227.35</v>
      </c>
      <c r="P146" s="123"/>
    </row>
    <row r="147" spans="1:16" x14ac:dyDescent="0.25">
      <c r="A147" s="150">
        <v>47</v>
      </c>
      <c r="B147" s="150">
        <v>1835</v>
      </c>
      <c r="C147" s="151" t="s">
        <v>120</v>
      </c>
      <c r="D147" s="191">
        <f t="shared" si="19"/>
        <v>1587723.08</v>
      </c>
      <c r="E147" s="192">
        <f>-1395.82-55988.86-3034.58</f>
        <v>-60419.26</v>
      </c>
      <c r="F147" s="192"/>
      <c r="G147" s="193">
        <f t="shared" si="21"/>
        <v>1527303.82</v>
      </c>
      <c r="H147" s="193"/>
      <c r="I147" s="194"/>
      <c r="J147" s="158"/>
      <c r="K147" s="195">
        <f t="shared" si="20"/>
        <v>-36318.22</v>
      </c>
      <c r="L147" s="192">
        <f>-7745.81-20313.55-172.03-8060.94-3701.88-2346.56</f>
        <v>-42340.77</v>
      </c>
      <c r="M147" s="192"/>
      <c r="N147" s="193">
        <f t="shared" si="22"/>
        <v>-78658.989999999991</v>
      </c>
      <c r="O147" s="155">
        <f t="shared" si="23"/>
        <v>1448644.83</v>
      </c>
      <c r="P147" s="123"/>
    </row>
    <row r="148" spans="1:16" x14ac:dyDescent="0.25">
      <c r="A148" s="150">
        <v>47</v>
      </c>
      <c r="B148" s="150">
        <v>1840</v>
      </c>
      <c r="C148" s="151" t="s">
        <v>121</v>
      </c>
      <c r="D148" s="191">
        <f t="shared" si="19"/>
        <v>2566749.5499999998</v>
      </c>
      <c r="E148" s="192">
        <f>505068.05</f>
        <v>505068.05</v>
      </c>
      <c r="F148" s="192"/>
      <c r="G148" s="193">
        <f t="shared" si="21"/>
        <v>3071817.5999999996</v>
      </c>
      <c r="H148" s="193"/>
      <c r="I148" s="194"/>
      <c r="J148" s="158"/>
      <c r="K148" s="195">
        <f t="shared" si="20"/>
        <v>-41850.36</v>
      </c>
      <c r="L148" s="192">
        <v>-47107.59</v>
      </c>
      <c r="M148" s="192"/>
      <c r="N148" s="193">
        <f t="shared" si="22"/>
        <v>-88957.95</v>
      </c>
      <c r="O148" s="155">
        <f t="shared" si="23"/>
        <v>2982859.6499999994</v>
      </c>
      <c r="P148" s="123"/>
    </row>
    <row r="149" spans="1:16" x14ac:dyDescent="0.25">
      <c r="A149" s="150">
        <v>47</v>
      </c>
      <c r="B149" s="150">
        <v>1845</v>
      </c>
      <c r="C149" s="151" t="s">
        <v>122</v>
      </c>
      <c r="D149" s="191">
        <f t="shared" si="19"/>
        <v>3160764.88</v>
      </c>
      <c r="E149" s="192">
        <v>5706.6</v>
      </c>
      <c r="F149" s="192"/>
      <c r="G149" s="193">
        <f t="shared" si="21"/>
        <v>3166471.48</v>
      </c>
      <c r="H149" s="193"/>
      <c r="I149" s="194"/>
      <c r="J149" s="158"/>
      <c r="K149" s="195">
        <f t="shared" si="20"/>
        <v>-106396.88000000002</v>
      </c>
      <c r="L149" s="192">
        <f>-767.74-61160.14-27670.51</f>
        <v>-89598.39</v>
      </c>
      <c r="M149" s="192"/>
      <c r="N149" s="193">
        <f t="shared" si="22"/>
        <v>-195995.27000000002</v>
      </c>
      <c r="O149" s="155">
        <f t="shared" si="23"/>
        <v>2970476.21</v>
      </c>
      <c r="P149" s="123"/>
    </row>
    <row r="150" spans="1:16" x14ac:dyDescent="0.25">
      <c r="A150" s="150">
        <v>47</v>
      </c>
      <c r="B150" s="150">
        <v>1850</v>
      </c>
      <c r="C150" s="151" t="s">
        <v>123</v>
      </c>
      <c r="D150" s="191">
        <f t="shared" si="19"/>
        <v>183322.88</v>
      </c>
      <c r="E150" s="192">
        <f>-540.84</f>
        <v>-540.84</v>
      </c>
      <c r="F150" s="192"/>
      <c r="G150" s="193">
        <f t="shared" si="21"/>
        <v>182782.04</v>
      </c>
      <c r="H150" s="193"/>
      <c r="I150" s="194"/>
      <c r="J150" s="158"/>
      <c r="K150" s="195">
        <f t="shared" si="20"/>
        <v>-7004.84</v>
      </c>
      <c r="L150" s="192">
        <f>-2024.98-289.27-2006.06-1266.06</f>
        <v>-5586.369999999999</v>
      </c>
      <c r="M150" s="192"/>
      <c r="N150" s="193">
        <f t="shared" si="22"/>
        <v>-12591.21</v>
      </c>
      <c r="O150" s="155">
        <f t="shared" si="23"/>
        <v>170190.83000000002</v>
      </c>
      <c r="P150" s="123"/>
    </row>
    <row r="151" spans="1:16" x14ac:dyDescent="0.25">
      <c r="A151" s="150">
        <v>47</v>
      </c>
      <c r="B151" s="150">
        <v>1855</v>
      </c>
      <c r="C151" s="151" t="s">
        <v>124</v>
      </c>
      <c r="D151" s="191">
        <f t="shared" si="19"/>
        <v>6370.09</v>
      </c>
      <c r="E151" s="192"/>
      <c r="F151" s="192"/>
      <c r="G151" s="193">
        <f t="shared" si="21"/>
        <v>6370.09</v>
      </c>
      <c r="H151" s="193"/>
      <c r="I151" s="194"/>
      <c r="J151" s="158"/>
      <c r="K151" s="195">
        <f t="shared" si="20"/>
        <v>-64.180000000000007</v>
      </c>
      <c r="L151" s="192">
        <v>-127.66</v>
      </c>
      <c r="M151" s="192"/>
      <c r="N151" s="193">
        <f t="shared" si="22"/>
        <v>-191.84</v>
      </c>
      <c r="O151" s="155">
        <f t="shared" si="23"/>
        <v>6178.25</v>
      </c>
      <c r="P151" s="123"/>
    </row>
    <row r="152" spans="1:16" hidden="1" x14ac:dyDescent="0.25">
      <c r="A152" s="150"/>
      <c r="B152" s="150">
        <v>1860</v>
      </c>
      <c r="C152" s="151" t="s">
        <v>125</v>
      </c>
      <c r="D152" s="191">
        <f t="shared" si="19"/>
        <v>0</v>
      </c>
      <c r="E152" s="192"/>
      <c r="F152" s="192"/>
      <c r="G152" s="193">
        <f t="shared" si="21"/>
        <v>0</v>
      </c>
      <c r="H152" s="193"/>
      <c r="I152" s="194"/>
      <c r="J152" s="158"/>
      <c r="K152" s="195">
        <f t="shared" si="20"/>
        <v>0</v>
      </c>
      <c r="L152" s="192"/>
      <c r="M152" s="192"/>
      <c r="N152" s="193">
        <f t="shared" si="22"/>
        <v>0</v>
      </c>
      <c r="O152" s="155">
        <f t="shared" si="23"/>
        <v>0</v>
      </c>
      <c r="P152" s="123"/>
    </row>
    <row r="153" spans="1:16" hidden="1" x14ac:dyDescent="0.25">
      <c r="A153" s="150"/>
      <c r="B153" s="150">
        <v>1860</v>
      </c>
      <c r="C153" s="151" t="s">
        <v>126</v>
      </c>
      <c r="D153" s="191">
        <f t="shared" si="19"/>
        <v>0</v>
      </c>
      <c r="E153" s="192"/>
      <c r="F153" s="192"/>
      <c r="G153" s="193">
        <f t="shared" si="21"/>
        <v>0</v>
      </c>
      <c r="H153" s="193"/>
      <c r="I153" s="194"/>
      <c r="J153" s="158"/>
      <c r="K153" s="195">
        <f t="shared" si="20"/>
        <v>0</v>
      </c>
      <c r="L153" s="192"/>
      <c r="M153" s="192"/>
      <c r="N153" s="193">
        <f t="shared" si="22"/>
        <v>0</v>
      </c>
      <c r="O153" s="155">
        <f t="shared" si="23"/>
        <v>0</v>
      </c>
      <c r="P153" s="123"/>
    </row>
    <row r="154" spans="1:16" hidden="1" x14ac:dyDescent="0.25">
      <c r="A154" s="150"/>
      <c r="B154" s="150">
        <v>1865</v>
      </c>
      <c r="C154" s="151" t="s">
        <v>127</v>
      </c>
      <c r="D154" s="191">
        <f t="shared" si="19"/>
        <v>0</v>
      </c>
      <c r="E154" s="192"/>
      <c r="F154" s="192"/>
      <c r="G154" s="193">
        <f t="shared" si="21"/>
        <v>0</v>
      </c>
      <c r="H154" s="193"/>
      <c r="I154" s="194"/>
      <c r="J154" s="158"/>
      <c r="K154" s="195">
        <f t="shared" si="20"/>
        <v>0</v>
      </c>
      <c r="L154" s="192"/>
      <c r="M154" s="192"/>
      <c r="N154" s="193">
        <f t="shared" si="22"/>
        <v>0</v>
      </c>
      <c r="O154" s="155">
        <f t="shared" si="23"/>
        <v>0</v>
      </c>
      <c r="P154" s="123"/>
    </row>
    <row r="155" spans="1:16" hidden="1" x14ac:dyDescent="0.25">
      <c r="A155" s="150"/>
      <c r="B155" s="150">
        <v>1905</v>
      </c>
      <c r="C155" s="151" t="s">
        <v>113</v>
      </c>
      <c r="D155" s="191">
        <f t="shared" si="19"/>
        <v>0</v>
      </c>
      <c r="E155" s="192"/>
      <c r="F155" s="192"/>
      <c r="G155" s="193">
        <f t="shared" si="21"/>
        <v>0</v>
      </c>
      <c r="H155" s="193"/>
      <c r="I155" s="194"/>
      <c r="J155" s="158"/>
      <c r="K155" s="195">
        <f t="shared" si="20"/>
        <v>0</v>
      </c>
      <c r="L155" s="192"/>
      <c r="M155" s="192"/>
      <c r="N155" s="193">
        <f t="shared" si="22"/>
        <v>0</v>
      </c>
      <c r="O155" s="155">
        <f t="shared" si="23"/>
        <v>0</v>
      </c>
      <c r="P155" s="123"/>
    </row>
    <row r="156" spans="1:16" hidden="1" x14ac:dyDescent="0.25">
      <c r="A156" s="150"/>
      <c r="B156" s="150">
        <v>1908</v>
      </c>
      <c r="C156" s="151" t="s">
        <v>128</v>
      </c>
      <c r="D156" s="191">
        <f t="shared" si="19"/>
        <v>0</v>
      </c>
      <c r="E156" s="192"/>
      <c r="F156" s="192"/>
      <c r="G156" s="193">
        <f t="shared" si="21"/>
        <v>0</v>
      </c>
      <c r="H156" s="193"/>
      <c r="I156" s="194"/>
      <c r="J156" s="158"/>
      <c r="K156" s="195">
        <f t="shared" si="20"/>
        <v>0</v>
      </c>
      <c r="L156" s="192"/>
      <c r="M156" s="192"/>
      <c r="N156" s="193">
        <f t="shared" si="22"/>
        <v>0</v>
      </c>
      <c r="O156" s="155">
        <f t="shared" si="23"/>
        <v>0</v>
      </c>
      <c r="P156" s="123"/>
    </row>
    <row r="157" spans="1:16" hidden="1" x14ac:dyDescent="0.25">
      <c r="A157" s="150"/>
      <c r="B157" s="150">
        <v>1910</v>
      </c>
      <c r="C157" s="151" t="s">
        <v>115</v>
      </c>
      <c r="D157" s="191">
        <f t="shared" si="19"/>
        <v>0</v>
      </c>
      <c r="E157" s="192"/>
      <c r="F157" s="192"/>
      <c r="G157" s="193">
        <f t="shared" si="21"/>
        <v>0</v>
      </c>
      <c r="H157" s="193"/>
      <c r="I157" s="194"/>
      <c r="J157" s="158"/>
      <c r="K157" s="195">
        <f t="shared" si="20"/>
        <v>0</v>
      </c>
      <c r="L157" s="192"/>
      <c r="M157" s="192"/>
      <c r="N157" s="193">
        <f t="shared" si="22"/>
        <v>0</v>
      </c>
      <c r="O157" s="155">
        <f t="shared" si="23"/>
        <v>0</v>
      </c>
      <c r="P157" s="123"/>
    </row>
    <row r="158" spans="1:16" hidden="1" x14ac:dyDescent="0.25">
      <c r="A158" s="150"/>
      <c r="B158" s="150">
        <v>1915</v>
      </c>
      <c r="C158" s="151" t="s">
        <v>129</v>
      </c>
      <c r="D158" s="191">
        <f t="shared" si="19"/>
        <v>0</v>
      </c>
      <c r="E158" s="192"/>
      <c r="F158" s="192"/>
      <c r="G158" s="193">
        <f t="shared" si="21"/>
        <v>0</v>
      </c>
      <c r="H158" s="193"/>
      <c r="I158" s="194"/>
      <c r="J158" s="158"/>
      <c r="K158" s="195">
        <f t="shared" si="20"/>
        <v>0</v>
      </c>
      <c r="L158" s="192"/>
      <c r="M158" s="192"/>
      <c r="N158" s="193">
        <f t="shared" si="22"/>
        <v>0</v>
      </c>
      <c r="O158" s="155">
        <f t="shared" si="23"/>
        <v>0</v>
      </c>
      <c r="P158" s="123"/>
    </row>
    <row r="159" spans="1:16" hidden="1" x14ac:dyDescent="0.25">
      <c r="A159" s="150"/>
      <c r="B159" s="150">
        <v>1915</v>
      </c>
      <c r="C159" s="151" t="s">
        <v>130</v>
      </c>
      <c r="D159" s="191">
        <f t="shared" si="19"/>
        <v>0</v>
      </c>
      <c r="E159" s="192"/>
      <c r="F159" s="192"/>
      <c r="G159" s="193">
        <f t="shared" si="21"/>
        <v>0</v>
      </c>
      <c r="H159" s="193"/>
      <c r="I159" s="194"/>
      <c r="J159" s="158"/>
      <c r="K159" s="195">
        <f t="shared" si="20"/>
        <v>0</v>
      </c>
      <c r="L159" s="192"/>
      <c r="M159" s="192"/>
      <c r="N159" s="193">
        <f t="shared" si="22"/>
        <v>0</v>
      </c>
      <c r="O159" s="155">
        <f t="shared" si="23"/>
        <v>0</v>
      </c>
      <c r="P159" s="123"/>
    </row>
    <row r="160" spans="1:16" x14ac:dyDescent="0.25">
      <c r="A160" s="150">
        <v>50</v>
      </c>
      <c r="B160" s="150">
        <v>1920</v>
      </c>
      <c r="C160" s="151" t="s">
        <v>131</v>
      </c>
      <c r="D160" s="191">
        <f t="shared" si="19"/>
        <v>5299.13</v>
      </c>
      <c r="E160" s="192"/>
      <c r="F160" s="192"/>
      <c r="G160" s="193">
        <f t="shared" si="21"/>
        <v>5299.13</v>
      </c>
      <c r="H160" s="193"/>
      <c r="I160" s="194"/>
      <c r="J160" s="158"/>
      <c r="K160" s="195">
        <f t="shared" si="20"/>
        <v>-533.67999999999995</v>
      </c>
      <c r="L160" s="192">
        <f>-1061.57</f>
        <v>-1061.57</v>
      </c>
      <c r="M160" s="192"/>
      <c r="N160" s="193">
        <f t="shared" si="22"/>
        <v>-1595.25</v>
      </c>
      <c r="O160" s="155">
        <f t="shared" si="23"/>
        <v>3703.88</v>
      </c>
      <c r="P160" s="123"/>
    </row>
    <row r="161" spans="1:16" hidden="1" x14ac:dyDescent="0.25">
      <c r="A161" s="150"/>
      <c r="B161" s="150">
        <v>1920</v>
      </c>
      <c r="C161" s="151" t="s">
        <v>132</v>
      </c>
      <c r="D161" s="191">
        <f t="shared" si="19"/>
        <v>0</v>
      </c>
      <c r="E161" s="192"/>
      <c r="F161" s="192"/>
      <c r="G161" s="193">
        <f t="shared" si="21"/>
        <v>0</v>
      </c>
      <c r="H161" s="193"/>
      <c r="I161" s="194"/>
      <c r="J161" s="158"/>
      <c r="K161" s="195">
        <f t="shared" si="20"/>
        <v>0</v>
      </c>
      <c r="L161" s="192"/>
      <c r="M161" s="192"/>
      <c r="N161" s="193">
        <f t="shared" si="22"/>
        <v>0</v>
      </c>
      <c r="O161" s="155">
        <f t="shared" si="23"/>
        <v>0</v>
      </c>
      <c r="P161" s="123"/>
    </row>
    <row r="162" spans="1:16" hidden="1" x14ac:dyDescent="0.25">
      <c r="A162" s="150"/>
      <c r="B162" s="150">
        <v>1920</v>
      </c>
      <c r="C162" s="151" t="s">
        <v>133</v>
      </c>
      <c r="D162" s="191">
        <f t="shared" si="19"/>
        <v>0</v>
      </c>
      <c r="E162" s="192"/>
      <c r="F162" s="192"/>
      <c r="G162" s="193">
        <f t="shared" si="21"/>
        <v>0</v>
      </c>
      <c r="H162" s="193"/>
      <c r="I162" s="194"/>
      <c r="J162" s="158"/>
      <c r="K162" s="195">
        <f t="shared" si="20"/>
        <v>0</v>
      </c>
      <c r="L162" s="192"/>
      <c r="M162" s="192"/>
      <c r="N162" s="193">
        <f t="shared" si="22"/>
        <v>0</v>
      </c>
      <c r="O162" s="155">
        <f t="shared" si="23"/>
        <v>0</v>
      </c>
      <c r="P162" s="123"/>
    </row>
    <row r="163" spans="1:16" hidden="1" x14ac:dyDescent="0.25">
      <c r="A163" s="150"/>
      <c r="B163" s="150">
        <v>1930</v>
      </c>
      <c r="C163" s="151" t="s">
        <v>134</v>
      </c>
      <c r="D163" s="191">
        <f t="shared" si="19"/>
        <v>0</v>
      </c>
      <c r="E163" s="192"/>
      <c r="F163" s="192"/>
      <c r="G163" s="193">
        <f t="shared" si="21"/>
        <v>0</v>
      </c>
      <c r="H163" s="193"/>
      <c r="I163" s="194"/>
      <c r="J163" s="158"/>
      <c r="K163" s="195">
        <f t="shared" si="20"/>
        <v>0</v>
      </c>
      <c r="L163" s="192"/>
      <c r="M163" s="192"/>
      <c r="N163" s="193">
        <f t="shared" si="22"/>
        <v>0</v>
      </c>
      <c r="O163" s="155">
        <f t="shared" si="23"/>
        <v>0</v>
      </c>
      <c r="P163" s="123"/>
    </row>
    <row r="164" spans="1:16" hidden="1" x14ac:dyDescent="0.25">
      <c r="A164" s="150"/>
      <c r="B164" s="150">
        <v>1935</v>
      </c>
      <c r="C164" s="151" t="s">
        <v>135</v>
      </c>
      <c r="D164" s="191">
        <f t="shared" si="19"/>
        <v>0</v>
      </c>
      <c r="E164" s="192"/>
      <c r="F164" s="192"/>
      <c r="G164" s="193">
        <f t="shared" si="21"/>
        <v>0</v>
      </c>
      <c r="H164" s="193"/>
      <c r="I164" s="194"/>
      <c r="J164" s="158"/>
      <c r="K164" s="195">
        <f t="shared" si="20"/>
        <v>0</v>
      </c>
      <c r="L164" s="192"/>
      <c r="M164" s="192"/>
      <c r="N164" s="193">
        <f t="shared" si="22"/>
        <v>0</v>
      </c>
      <c r="O164" s="155">
        <f t="shared" si="23"/>
        <v>0</v>
      </c>
      <c r="P164" s="123"/>
    </row>
    <row r="165" spans="1:16" hidden="1" x14ac:dyDescent="0.25">
      <c r="A165" s="150"/>
      <c r="B165" s="150">
        <v>1940</v>
      </c>
      <c r="C165" s="151" t="s">
        <v>136</v>
      </c>
      <c r="D165" s="191">
        <f t="shared" si="19"/>
        <v>0</v>
      </c>
      <c r="E165" s="192"/>
      <c r="F165" s="192"/>
      <c r="G165" s="193">
        <f t="shared" si="21"/>
        <v>0</v>
      </c>
      <c r="H165" s="193"/>
      <c r="I165" s="194"/>
      <c r="J165" s="158"/>
      <c r="K165" s="195">
        <f t="shared" si="20"/>
        <v>0</v>
      </c>
      <c r="L165" s="192"/>
      <c r="M165" s="192"/>
      <c r="N165" s="193">
        <f t="shared" si="22"/>
        <v>0</v>
      </c>
      <c r="O165" s="155">
        <f t="shared" si="23"/>
        <v>0</v>
      </c>
      <c r="P165" s="123"/>
    </row>
    <row r="166" spans="1:16" hidden="1" x14ac:dyDescent="0.25">
      <c r="A166" s="150"/>
      <c r="B166" s="150">
        <v>1945</v>
      </c>
      <c r="C166" s="151" t="s">
        <v>137</v>
      </c>
      <c r="D166" s="191">
        <f t="shared" si="19"/>
        <v>0</v>
      </c>
      <c r="E166" s="192"/>
      <c r="F166" s="192"/>
      <c r="G166" s="193">
        <f t="shared" si="21"/>
        <v>0</v>
      </c>
      <c r="H166" s="193"/>
      <c r="I166" s="194"/>
      <c r="J166" s="158"/>
      <c r="K166" s="195">
        <f t="shared" si="20"/>
        <v>0</v>
      </c>
      <c r="L166" s="192"/>
      <c r="M166" s="192"/>
      <c r="N166" s="193">
        <f t="shared" si="22"/>
        <v>0</v>
      </c>
      <c r="O166" s="155">
        <f t="shared" si="23"/>
        <v>0</v>
      </c>
      <c r="P166" s="123"/>
    </row>
    <row r="167" spans="1:16" hidden="1" x14ac:dyDescent="0.25">
      <c r="A167" s="150"/>
      <c r="B167" s="150">
        <v>1950</v>
      </c>
      <c r="C167" s="151" t="s">
        <v>138</v>
      </c>
      <c r="D167" s="191">
        <f t="shared" si="19"/>
        <v>0</v>
      </c>
      <c r="E167" s="192"/>
      <c r="F167" s="192"/>
      <c r="G167" s="193">
        <f t="shared" si="21"/>
        <v>0</v>
      </c>
      <c r="H167" s="193"/>
      <c r="I167" s="194"/>
      <c r="J167" s="158"/>
      <c r="K167" s="195">
        <f t="shared" si="20"/>
        <v>0</v>
      </c>
      <c r="L167" s="192"/>
      <c r="M167" s="192"/>
      <c r="N167" s="193">
        <f t="shared" si="22"/>
        <v>0</v>
      </c>
      <c r="O167" s="155">
        <f t="shared" si="23"/>
        <v>0</v>
      </c>
      <c r="P167" s="123"/>
    </row>
    <row r="168" spans="1:16" hidden="1" x14ac:dyDescent="0.25">
      <c r="A168" s="150"/>
      <c r="B168" s="150">
        <v>1955</v>
      </c>
      <c r="C168" s="151" t="s">
        <v>139</v>
      </c>
      <c r="D168" s="191">
        <f t="shared" si="19"/>
        <v>0</v>
      </c>
      <c r="E168" s="192"/>
      <c r="F168" s="192"/>
      <c r="G168" s="193">
        <f t="shared" si="21"/>
        <v>0</v>
      </c>
      <c r="H168" s="193"/>
      <c r="I168" s="194"/>
      <c r="J168" s="158"/>
      <c r="K168" s="195">
        <f t="shared" si="20"/>
        <v>0</v>
      </c>
      <c r="L168" s="192"/>
      <c r="M168" s="192"/>
      <c r="N168" s="193">
        <f t="shared" si="22"/>
        <v>0</v>
      </c>
      <c r="O168" s="155">
        <f t="shared" si="23"/>
        <v>0</v>
      </c>
      <c r="P168" s="123"/>
    </row>
    <row r="169" spans="1:16" hidden="1" x14ac:dyDescent="0.25">
      <c r="A169" s="150"/>
      <c r="B169" s="150">
        <v>1955</v>
      </c>
      <c r="C169" s="151" t="s">
        <v>140</v>
      </c>
      <c r="D169" s="191">
        <f t="shared" si="19"/>
        <v>0</v>
      </c>
      <c r="E169" s="192"/>
      <c r="F169" s="192"/>
      <c r="G169" s="193">
        <f t="shared" si="21"/>
        <v>0</v>
      </c>
      <c r="H169" s="193"/>
      <c r="I169" s="194"/>
      <c r="J169" s="158"/>
      <c r="K169" s="195">
        <f t="shared" si="20"/>
        <v>0</v>
      </c>
      <c r="L169" s="192"/>
      <c r="M169" s="192"/>
      <c r="N169" s="193">
        <f t="shared" si="22"/>
        <v>0</v>
      </c>
      <c r="O169" s="155">
        <f t="shared" si="23"/>
        <v>0</v>
      </c>
      <c r="P169" s="123"/>
    </row>
    <row r="170" spans="1:16" hidden="1" x14ac:dyDescent="0.25">
      <c r="A170" s="150"/>
      <c r="B170" s="150">
        <v>1960</v>
      </c>
      <c r="C170" s="151" t="s">
        <v>141</v>
      </c>
      <c r="D170" s="191">
        <f t="shared" si="19"/>
        <v>0</v>
      </c>
      <c r="E170" s="192"/>
      <c r="F170" s="192"/>
      <c r="G170" s="193">
        <f t="shared" si="21"/>
        <v>0</v>
      </c>
      <c r="H170" s="193"/>
      <c r="I170" s="194"/>
      <c r="J170" s="158"/>
      <c r="K170" s="195">
        <f t="shared" si="20"/>
        <v>0</v>
      </c>
      <c r="L170" s="192"/>
      <c r="M170" s="192"/>
      <c r="N170" s="193">
        <f t="shared" si="22"/>
        <v>0</v>
      </c>
      <c r="O170" s="155">
        <f t="shared" si="23"/>
        <v>0</v>
      </c>
      <c r="P170" s="123"/>
    </row>
    <row r="171" spans="1:16" hidden="1" x14ac:dyDescent="0.25">
      <c r="A171" s="150"/>
      <c r="B171" s="150">
        <v>1970</v>
      </c>
      <c r="C171" s="151" t="s">
        <v>142</v>
      </c>
      <c r="D171" s="191">
        <f t="shared" si="19"/>
        <v>0</v>
      </c>
      <c r="E171" s="192"/>
      <c r="F171" s="192"/>
      <c r="G171" s="193">
        <f t="shared" si="21"/>
        <v>0</v>
      </c>
      <c r="H171" s="193"/>
      <c r="I171" s="194"/>
      <c r="J171" s="158"/>
      <c r="K171" s="195">
        <f t="shared" si="20"/>
        <v>0</v>
      </c>
      <c r="L171" s="192"/>
      <c r="M171" s="192"/>
      <c r="N171" s="193">
        <f t="shared" si="22"/>
        <v>0</v>
      </c>
      <c r="O171" s="155">
        <f t="shared" si="23"/>
        <v>0</v>
      </c>
      <c r="P171" s="123"/>
    </row>
    <row r="172" spans="1:16" hidden="1" x14ac:dyDescent="0.25">
      <c r="A172" s="150"/>
      <c r="B172" s="150">
        <v>1975</v>
      </c>
      <c r="C172" s="151" t="s">
        <v>143</v>
      </c>
      <c r="D172" s="191">
        <f t="shared" si="19"/>
        <v>0</v>
      </c>
      <c r="E172" s="192"/>
      <c r="F172" s="192"/>
      <c r="G172" s="193">
        <f t="shared" si="21"/>
        <v>0</v>
      </c>
      <c r="H172" s="193"/>
      <c r="I172" s="194"/>
      <c r="J172" s="158"/>
      <c r="K172" s="195">
        <f t="shared" si="20"/>
        <v>0</v>
      </c>
      <c r="L172" s="192"/>
      <c r="M172" s="192"/>
      <c r="N172" s="193">
        <f t="shared" si="22"/>
        <v>0</v>
      </c>
      <c r="O172" s="155">
        <f t="shared" si="23"/>
        <v>0</v>
      </c>
      <c r="P172" s="123"/>
    </row>
    <row r="173" spans="1:16" x14ac:dyDescent="0.25">
      <c r="A173" s="150">
        <v>8</v>
      </c>
      <c r="B173" s="150">
        <v>1980</v>
      </c>
      <c r="C173" s="151" t="s">
        <v>144</v>
      </c>
      <c r="D173" s="191">
        <f t="shared" si="19"/>
        <v>86516.52</v>
      </c>
      <c r="E173" s="192">
        <f>2876.41</f>
        <v>2876.41</v>
      </c>
      <c r="F173" s="192"/>
      <c r="G173" s="193">
        <f t="shared" si="21"/>
        <v>89392.930000000008</v>
      </c>
      <c r="H173" s="193"/>
      <c r="I173" s="194"/>
      <c r="J173" s="158"/>
      <c r="K173" s="195">
        <f t="shared" si="20"/>
        <v>-8313.74</v>
      </c>
      <c r="L173" s="192">
        <f>-5190.56-669.37</f>
        <v>-5859.93</v>
      </c>
      <c r="M173" s="192"/>
      <c r="N173" s="193">
        <f t="shared" si="22"/>
        <v>-14173.67</v>
      </c>
      <c r="O173" s="155">
        <f t="shared" si="23"/>
        <v>75219.260000000009</v>
      </c>
      <c r="P173" s="123"/>
    </row>
    <row r="174" spans="1:16" hidden="1" x14ac:dyDescent="0.25">
      <c r="A174" s="150"/>
      <c r="B174" s="150">
        <v>1985</v>
      </c>
      <c r="C174" s="151" t="s">
        <v>145</v>
      </c>
      <c r="D174" s="191">
        <f t="shared" si="19"/>
        <v>0</v>
      </c>
      <c r="E174" s="192"/>
      <c r="F174" s="192"/>
      <c r="G174" s="193">
        <f t="shared" si="21"/>
        <v>0</v>
      </c>
      <c r="H174" s="193"/>
      <c r="I174" s="194"/>
      <c r="J174" s="158"/>
      <c r="K174" s="195">
        <f t="shared" si="20"/>
        <v>0</v>
      </c>
      <c r="L174" s="192"/>
      <c r="M174" s="192"/>
      <c r="N174" s="193">
        <f t="shared" si="22"/>
        <v>0</v>
      </c>
      <c r="O174" s="155">
        <f t="shared" si="23"/>
        <v>0</v>
      </c>
      <c r="P174" s="123"/>
    </row>
    <row r="175" spans="1:16" hidden="1" x14ac:dyDescent="0.25">
      <c r="A175" s="150"/>
      <c r="B175" s="150">
        <v>1990</v>
      </c>
      <c r="C175" s="159" t="s">
        <v>146</v>
      </c>
      <c r="D175" s="191">
        <f t="shared" si="19"/>
        <v>0</v>
      </c>
      <c r="E175" s="192"/>
      <c r="F175" s="192"/>
      <c r="G175" s="193">
        <f t="shared" si="21"/>
        <v>0</v>
      </c>
      <c r="H175" s="193"/>
      <c r="I175" s="194"/>
      <c r="J175" s="158"/>
      <c r="K175" s="195">
        <f t="shared" si="20"/>
        <v>0</v>
      </c>
      <c r="L175" s="192"/>
      <c r="M175" s="192"/>
      <c r="N175" s="193">
        <f t="shared" si="22"/>
        <v>0</v>
      </c>
      <c r="O175" s="155">
        <f t="shared" si="23"/>
        <v>0</v>
      </c>
      <c r="P175" s="123"/>
    </row>
    <row r="176" spans="1:16" hidden="1" x14ac:dyDescent="0.25">
      <c r="A176" s="150"/>
      <c r="B176" s="150">
        <v>1995</v>
      </c>
      <c r="C176" s="151" t="s">
        <v>147</v>
      </c>
      <c r="D176" s="191">
        <f t="shared" si="19"/>
        <v>0</v>
      </c>
      <c r="E176" s="192"/>
      <c r="F176" s="192"/>
      <c r="G176" s="193">
        <f t="shared" si="21"/>
        <v>0</v>
      </c>
      <c r="H176" s="193"/>
      <c r="I176" s="194"/>
      <c r="J176" s="158"/>
      <c r="K176" s="195">
        <f t="shared" si="20"/>
        <v>0</v>
      </c>
      <c r="L176" s="192"/>
      <c r="M176" s="192"/>
      <c r="N176" s="193">
        <f t="shared" si="22"/>
        <v>0</v>
      </c>
      <c r="O176" s="155">
        <f t="shared" si="23"/>
        <v>0</v>
      </c>
      <c r="P176" s="123"/>
    </row>
    <row r="177" spans="1:16" hidden="1" x14ac:dyDescent="0.25">
      <c r="A177" s="150"/>
      <c r="B177" s="150">
        <v>2075</v>
      </c>
      <c r="C177" s="151" t="s">
        <v>148</v>
      </c>
      <c r="D177" s="191">
        <f t="shared" si="19"/>
        <v>0</v>
      </c>
      <c r="E177" s="192"/>
      <c r="F177" s="192"/>
      <c r="G177" s="193">
        <f t="shared" si="21"/>
        <v>0</v>
      </c>
      <c r="H177" s="193"/>
      <c r="I177" s="194"/>
      <c r="J177" s="123"/>
      <c r="K177" s="191">
        <f t="shared" si="20"/>
        <v>0</v>
      </c>
      <c r="L177" s="192"/>
      <c r="M177" s="192"/>
      <c r="N177" s="193">
        <f t="shared" si="22"/>
        <v>0</v>
      </c>
      <c r="O177" s="155">
        <f t="shared" si="23"/>
        <v>0</v>
      </c>
      <c r="P177" s="123"/>
    </row>
    <row r="178" spans="1:16" x14ac:dyDescent="0.25">
      <c r="A178" s="150">
        <v>47</v>
      </c>
      <c r="B178" s="150">
        <v>2440</v>
      </c>
      <c r="C178" s="151" t="s">
        <v>149</v>
      </c>
      <c r="D178" s="191">
        <f t="shared" si="19"/>
        <v>-3511467.47</v>
      </c>
      <c r="E178" s="192">
        <f>195699.77-1239002.29</f>
        <v>-1043302.52</v>
      </c>
      <c r="F178" s="192"/>
      <c r="G178" s="193">
        <f t="shared" si="21"/>
        <v>-4554769.99</v>
      </c>
      <c r="H178" s="193"/>
      <c r="I178" s="194"/>
      <c r="J178" s="123"/>
      <c r="K178" s="191">
        <f t="shared" si="20"/>
        <v>128659.66000000002</v>
      </c>
      <c r="L178" s="192">
        <f>68074.46+208114.54</f>
        <v>276189</v>
      </c>
      <c r="M178" s="192"/>
      <c r="N178" s="193">
        <f t="shared" si="22"/>
        <v>404848.66000000003</v>
      </c>
      <c r="O178" s="155">
        <f t="shared" si="23"/>
        <v>-4149921.33</v>
      </c>
      <c r="P178" s="123"/>
    </row>
    <row r="179" spans="1:16" hidden="1" x14ac:dyDescent="0.25">
      <c r="A179" s="150"/>
      <c r="B179" s="160">
        <v>2005</v>
      </c>
      <c r="C179" s="161" t="s">
        <v>150</v>
      </c>
      <c r="D179" s="191">
        <f t="shared" si="19"/>
        <v>0</v>
      </c>
      <c r="E179" s="192"/>
      <c r="F179" s="192"/>
      <c r="G179" s="193">
        <f t="shared" si="21"/>
        <v>0</v>
      </c>
      <c r="H179" s="193"/>
      <c r="I179" s="194"/>
      <c r="J179" s="123"/>
      <c r="K179" s="191">
        <f t="shared" si="20"/>
        <v>0</v>
      </c>
      <c r="L179" s="192"/>
      <c r="M179" s="192"/>
      <c r="N179" s="193">
        <f t="shared" si="22"/>
        <v>0</v>
      </c>
      <c r="O179" s="155">
        <f t="shared" si="23"/>
        <v>0</v>
      </c>
      <c r="P179" s="123"/>
    </row>
    <row r="180" spans="1:16" x14ac:dyDescent="0.25">
      <c r="A180" s="160"/>
      <c r="B180" s="160"/>
      <c r="C180" s="164" t="s">
        <v>20</v>
      </c>
      <c r="D180" s="165">
        <f>SUM(D136:D179)</f>
        <v>45590728.770000003</v>
      </c>
      <c r="E180" s="165">
        <f>SUM(E136:E179)</f>
        <v>5121845.33</v>
      </c>
      <c r="F180" s="165">
        <f>SUM(F136:F179)</f>
        <v>0</v>
      </c>
      <c r="G180" s="165">
        <f>SUM(G136:G179)</f>
        <v>50712574.099999987</v>
      </c>
      <c r="H180" s="165"/>
      <c r="I180" s="196"/>
      <c r="J180" s="167"/>
      <c r="K180" s="165">
        <f>SUM(K136:K179)</f>
        <v>-1270566.5000000002</v>
      </c>
      <c r="L180" s="165">
        <f>SUM(L136:L179)</f>
        <v>-1090241.08</v>
      </c>
      <c r="M180" s="165">
        <f>SUM(M136:M179)</f>
        <v>0</v>
      </c>
      <c r="N180" s="165">
        <f>SUM(N136:N179)</f>
        <v>-2360807.5799999996</v>
      </c>
      <c r="O180" s="165">
        <f>SUM(O136:O179)</f>
        <v>48351766.519999988</v>
      </c>
      <c r="P180" s="123"/>
    </row>
    <row r="181" spans="1:16" ht="25.5" x14ac:dyDescent="0.25">
      <c r="A181" s="160"/>
      <c r="B181" s="160"/>
      <c r="C181" s="168" t="s">
        <v>151</v>
      </c>
      <c r="D181" s="178">
        <f>H121</f>
        <v>0</v>
      </c>
      <c r="E181" s="162"/>
      <c r="F181" s="162"/>
      <c r="G181" s="193">
        <f>D181+E181+F181</f>
        <v>0</v>
      </c>
      <c r="H181" s="193"/>
      <c r="I181" s="194"/>
      <c r="J181" s="123"/>
      <c r="K181" s="178">
        <f>O121</f>
        <v>0</v>
      </c>
      <c r="L181" s="178"/>
      <c r="M181" s="162"/>
      <c r="N181" s="193">
        <f>K181+L181+M181</f>
        <v>0</v>
      </c>
      <c r="O181" s="155">
        <f>G181+N181</f>
        <v>0</v>
      </c>
      <c r="P181" s="123"/>
    </row>
    <row r="182" spans="1:16" ht="24.75" x14ac:dyDescent="0.25">
      <c r="A182" s="160"/>
      <c r="B182" s="160"/>
      <c r="C182" s="169" t="s">
        <v>152</v>
      </c>
      <c r="D182" s="178">
        <f>H122</f>
        <v>0</v>
      </c>
      <c r="E182" s="178"/>
      <c r="F182" s="178"/>
      <c r="G182" s="193">
        <f>D182+E182+F182</f>
        <v>0</v>
      </c>
      <c r="H182" s="193"/>
      <c r="I182" s="194"/>
      <c r="J182" s="123"/>
      <c r="K182" s="178">
        <f>O122</f>
        <v>0</v>
      </c>
      <c r="L182" s="178"/>
      <c r="M182" s="178"/>
      <c r="N182" s="193">
        <f>K182+L182+M182</f>
        <v>0</v>
      </c>
      <c r="O182" s="155">
        <f>G182+N182</f>
        <v>0</v>
      </c>
      <c r="P182" s="123"/>
    </row>
    <row r="183" spans="1:16" x14ac:dyDescent="0.25">
      <c r="A183" s="160"/>
      <c r="B183" s="160"/>
      <c r="C183" s="164" t="s">
        <v>153</v>
      </c>
      <c r="D183" s="165">
        <f>SUM(D180:D182)</f>
        <v>45590728.770000003</v>
      </c>
      <c r="E183" s="165">
        <f>SUM(E180:E182)</f>
        <v>5121845.33</v>
      </c>
      <c r="F183" s="165">
        <f>SUM(F180:F182)</f>
        <v>0</v>
      </c>
      <c r="G183" s="165">
        <f>SUM(G180:G182)</f>
        <v>50712574.099999987</v>
      </c>
      <c r="H183" s="165"/>
      <c r="I183" s="194"/>
      <c r="J183" s="167"/>
      <c r="K183" s="165">
        <f>SUM(K180:K182)</f>
        <v>-1270566.5000000002</v>
      </c>
      <c r="L183" s="165">
        <f>SUM(L180:L182)</f>
        <v>-1090241.08</v>
      </c>
      <c r="M183" s="165">
        <f>SUM(M180:M182)</f>
        <v>0</v>
      </c>
      <c r="N183" s="165">
        <f>SUM(N180:N182)</f>
        <v>-2360807.5799999996</v>
      </c>
      <c r="O183" s="165">
        <f>SUM(O180:O182)</f>
        <v>48351766.519999988</v>
      </c>
      <c r="P183" s="123"/>
    </row>
    <row r="184" spans="1:16" x14ac:dyDescent="0.25">
      <c r="A184" s="160"/>
      <c r="B184" s="160"/>
      <c r="C184" s="170" t="s">
        <v>154</v>
      </c>
      <c r="D184" s="192">
        <f>H124</f>
        <v>0</v>
      </c>
      <c r="E184" s="192"/>
      <c r="F184" s="192"/>
      <c r="G184" s="193">
        <f t="shared" ref="G184" si="24">D184+E184+F184</f>
        <v>0</v>
      </c>
      <c r="H184" s="193"/>
      <c r="I184" s="194"/>
      <c r="J184" s="158"/>
      <c r="K184" s="123"/>
      <c r="L184" s="123"/>
      <c r="M184" s="123"/>
      <c r="N184" s="193">
        <f t="shared" ref="N184" si="25">K184+L184+M184</f>
        <v>0</v>
      </c>
      <c r="O184" s="155">
        <f t="shared" ref="O184" si="26">G184+N184</f>
        <v>0</v>
      </c>
      <c r="P184" s="123"/>
    </row>
    <row r="185" spans="1:16" x14ac:dyDescent="0.25">
      <c r="A185" s="160"/>
      <c r="B185" s="160"/>
      <c r="C185" s="170" t="s">
        <v>155</v>
      </c>
      <c r="D185" s="165">
        <f>SUM(D183:D184)</f>
        <v>45590728.770000003</v>
      </c>
      <c r="E185" s="165">
        <f t="shared" ref="E185:G185" si="27">SUM(E183:E184)</f>
        <v>5121845.33</v>
      </c>
      <c r="F185" s="165">
        <f t="shared" si="27"/>
        <v>0</v>
      </c>
      <c r="G185" s="165">
        <f t="shared" si="27"/>
        <v>50712574.099999987</v>
      </c>
      <c r="H185" s="165"/>
      <c r="I185" s="196"/>
      <c r="J185" s="165"/>
      <c r="K185" s="165">
        <f t="shared" ref="K185:O185" si="28">SUM(K183:K184)</f>
        <v>-1270566.5000000002</v>
      </c>
      <c r="L185" s="165">
        <f t="shared" si="28"/>
        <v>-1090241.08</v>
      </c>
      <c r="M185" s="165">
        <f t="shared" si="28"/>
        <v>0</v>
      </c>
      <c r="N185" s="165">
        <f t="shared" si="28"/>
        <v>-2360807.5799999996</v>
      </c>
      <c r="O185" s="165">
        <f t="shared" si="28"/>
        <v>48351766.519999988</v>
      </c>
      <c r="P185" s="123"/>
    </row>
    <row r="186" spans="1:16" x14ac:dyDescent="0.25">
      <c r="A186" s="160"/>
      <c r="B186" s="160"/>
      <c r="C186" s="359" t="s">
        <v>156</v>
      </c>
      <c r="D186" s="360"/>
      <c r="E186" s="360"/>
      <c r="F186" s="360"/>
      <c r="G186" s="360"/>
      <c r="H186" s="360"/>
      <c r="I186" s="360"/>
      <c r="J186" s="360"/>
      <c r="K186" s="361"/>
      <c r="L186" s="162"/>
      <c r="M186" s="123"/>
      <c r="N186" s="197"/>
      <c r="O186" s="172"/>
      <c r="P186" s="123"/>
    </row>
    <row r="187" spans="1:16" ht="16.5" x14ac:dyDescent="0.35">
      <c r="A187" s="160"/>
      <c r="B187" s="160"/>
      <c r="C187" s="359" t="s">
        <v>43</v>
      </c>
      <c r="D187" s="360"/>
      <c r="E187" s="360"/>
      <c r="F187" s="360"/>
      <c r="G187" s="360"/>
      <c r="H187" s="360"/>
      <c r="I187" s="360"/>
      <c r="J187" s="360"/>
      <c r="K187" s="361"/>
      <c r="L187" s="165">
        <f>L185+L186</f>
        <v>-1090241.08</v>
      </c>
      <c r="M187" s="123"/>
      <c r="N187" s="198"/>
      <c r="O187" s="172"/>
      <c r="P187" s="123"/>
    </row>
    <row r="188" spans="1:16" x14ac:dyDescent="0.25">
      <c r="A188" s="122"/>
      <c r="B188" s="122"/>
      <c r="C188" s="123"/>
      <c r="D188" s="123"/>
      <c r="E188" s="123"/>
      <c r="F188" s="123"/>
      <c r="G188" s="123"/>
      <c r="H188" s="123"/>
      <c r="I188" s="186"/>
      <c r="J188" s="123"/>
      <c r="K188" s="123"/>
      <c r="L188" s="123"/>
      <c r="M188" s="123"/>
      <c r="N188" s="123"/>
    </row>
    <row r="189" spans="1:16" x14ac:dyDescent="0.25">
      <c r="A189" s="122"/>
      <c r="B189" s="122"/>
      <c r="C189" s="123"/>
      <c r="D189" s="123"/>
      <c r="E189" s="123"/>
      <c r="F189" s="123"/>
      <c r="G189" s="123"/>
      <c r="H189" s="123"/>
      <c r="I189" s="186"/>
      <c r="J189" s="123"/>
      <c r="K189" s="123"/>
      <c r="L189" s="123"/>
      <c r="M189" s="123"/>
      <c r="N189" s="123"/>
      <c r="O189" s="123"/>
      <c r="P189" s="123"/>
    </row>
    <row r="190" spans="1:16" x14ac:dyDescent="0.25">
      <c r="A190" s="122"/>
      <c r="B190" s="122"/>
      <c r="C190" s="123"/>
      <c r="D190" s="123"/>
      <c r="E190" s="123"/>
      <c r="F190" s="123"/>
      <c r="G190" s="123"/>
      <c r="H190" s="123"/>
      <c r="I190" s="186"/>
      <c r="J190" s="123"/>
      <c r="K190" s="123"/>
      <c r="L190" s="123"/>
      <c r="M190" s="123"/>
      <c r="N190" s="123"/>
      <c r="O190" s="123"/>
      <c r="P190" s="123"/>
    </row>
    <row r="191" spans="1:16" ht="15.75" thickBot="1" x14ac:dyDescent="0.3">
      <c r="A191" s="122"/>
      <c r="B191" s="122"/>
      <c r="C191" s="123"/>
      <c r="D191" s="123"/>
      <c r="E191" s="135" t="s">
        <v>94</v>
      </c>
      <c r="F191" s="187" t="s">
        <v>12</v>
      </c>
      <c r="G191" s="123"/>
      <c r="H191" s="123"/>
      <c r="I191" s="186"/>
      <c r="J191" s="123"/>
      <c r="K191" s="123"/>
      <c r="L191" s="123"/>
      <c r="M191" s="123"/>
      <c r="N191" s="123"/>
      <c r="O191" s="123"/>
      <c r="P191" s="123"/>
    </row>
    <row r="192" spans="1:16" ht="15.75" thickBot="1" x14ac:dyDescent="0.3">
      <c r="A192" s="122"/>
      <c r="B192" s="122"/>
      <c r="C192" s="123"/>
      <c r="D192" s="123"/>
      <c r="E192" s="135" t="s">
        <v>95</v>
      </c>
      <c r="F192" s="137">
        <f>+F132+1</f>
        <v>2025</v>
      </c>
      <c r="G192" s="203"/>
      <c r="H192" s="204"/>
      <c r="I192" s="188" t="b">
        <f>IF(F192=2014,4,IF(F192=2015,5,IF(F192=2016,6,IF(F192=2017,7,IF(F192=2018,8,IF(F192=2019,9,IF(F192=2020,10)))))))</f>
        <v>0</v>
      </c>
      <c r="J192" s="123"/>
      <c r="K192" s="123"/>
      <c r="L192" s="123"/>
      <c r="M192" s="123"/>
      <c r="N192" s="123"/>
      <c r="O192" s="123"/>
      <c r="P192" s="123"/>
    </row>
    <row r="193" spans="1:16" x14ac:dyDescent="0.25">
      <c r="A193" s="122"/>
      <c r="B193" s="122"/>
      <c r="C193" s="123"/>
      <c r="D193" s="123"/>
      <c r="E193" s="123"/>
      <c r="F193" s="123"/>
      <c r="G193" s="123"/>
      <c r="H193" s="123"/>
      <c r="I193" s="186"/>
      <c r="J193" s="123"/>
      <c r="K193" s="123"/>
      <c r="L193" s="123"/>
      <c r="M193" s="123"/>
      <c r="N193" s="123"/>
      <c r="O193" s="123"/>
      <c r="P193" s="123"/>
    </row>
    <row r="194" spans="1:16" x14ac:dyDescent="0.25">
      <c r="A194" s="122"/>
      <c r="B194" s="122"/>
      <c r="C194" s="123"/>
      <c r="D194" s="356" t="s">
        <v>96</v>
      </c>
      <c r="E194" s="357"/>
      <c r="F194" s="357"/>
      <c r="G194" s="357"/>
      <c r="H194" s="357"/>
      <c r="I194" s="358"/>
      <c r="J194" s="123"/>
      <c r="K194" s="140"/>
      <c r="L194" s="141" t="s">
        <v>97</v>
      </c>
      <c r="M194" s="141"/>
      <c r="N194" s="142"/>
      <c r="O194" s="123"/>
      <c r="P194" s="123"/>
    </row>
    <row r="195" spans="1:16" ht="40.5" x14ac:dyDescent="0.25">
      <c r="A195" s="143" t="s">
        <v>98</v>
      </c>
      <c r="B195" s="143" t="s">
        <v>99</v>
      </c>
      <c r="C195" s="144" t="s">
        <v>100</v>
      </c>
      <c r="D195" s="143" t="s">
        <v>101</v>
      </c>
      <c r="E195" s="145" t="s">
        <v>102</v>
      </c>
      <c r="F195" s="145" t="s">
        <v>103</v>
      </c>
      <c r="G195" s="143" t="s">
        <v>104</v>
      </c>
      <c r="H195" s="143"/>
      <c r="I195" s="189"/>
      <c r="J195" s="146"/>
      <c r="K195" s="143" t="s">
        <v>101</v>
      </c>
      <c r="L195" s="147" t="s">
        <v>106</v>
      </c>
      <c r="M195" s="147" t="s">
        <v>103</v>
      </c>
      <c r="N195" s="148" t="s">
        <v>104</v>
      </c>
      <c r="O195" s="143" t="s">
        <v>107</v>
      </c>
      <c r="P195" s="123"/>
    </row>
    <row r="196" spans="1:16" x14ac:dyDescent="0.25">
      <c r="A196" s="149">
        <v>14.1</v>
      </c>
      <c r="B196" s="150">
        <v>1609</v>
      </c>
      <c r="C196" s="151" t="s">
        <v>108</v>
      </c>
      <c r="D196" s="191">
        <f t="shared" ref="D196:D239" si="29">G136</f>
        <v>3244400.11</v>
      </c>
      <c r="E196" s="192"/>
      <c r="F196" s="192"/>
      <c r="G196" s="193">
        <f>D196+E196+F196</f>
        <v>3244400.11</v>
      </c>
      <c r="H196" s="193"/>
      <c r="I196" s="194"/>
      <c r="J196" s="146"/>
      <c r="K196" s="195">
        <f t="shared" ref="K196:K239" si="30">N136</f>
        <v>-38011.440000000002</v>
      </c>
      <c r="L196" s="192">
        <v>-75403.122499999998</v>
      </c>
      <c r="M196" s="192"/>
      <c r="N196" s="193">
        <f>K196+L196+M196</f>
        <v>-113414.5625</v>
      </c>
      <c r="O196" s="155">
        <f>G196+N196</f>
        <v>3130985.5474999999</v>
      </c>
      <c r="P196" s="123"/>
    </row>
    <row r="197" spans="1:16" hidden="1" x14ac:dyDescent="0.25">
      <c r="A197" s="150"/>
      <c r="B197" s="150">
        <v>1610</v>
      </c>
      <c r="C197" s="151" t="s">
        <v>110</v>
      </c>
      <c r="D197" s="191">
        <f t="shared" si="29"/>
        <v>0</v>
      </c>
      <c r="E197" s="192"/>
      <c r="F197" s="192"/>
      <c r="G197" s="193">
        <f>D197+E197+F197</f>
        <v>0</v>
      </c>
      <c r="H197" s="193"/>
      <c r="I197" s="194"/>
      <c r="J197" s="146"/>
      <c r="K197" s="195">
        <f t="shared" si="30"/>
        <v>0</v>
      </c>
      <c r="L197" s="192"/>
      <c r="M197" s="192"/>
      <c r="N197" s="193">
        <f>K197+L197+M197</f>
        <v>0</v>
      </c>
      <c r="O197" s="155">
        <f>G197+N197</f>
        <v>0</v>
      </c>
      <c r="P197" s="123"/>
    </row>
    <row r="198" spans="1:16" x14ac:dyDescent="0.25">
      <c r="A198" s="150">
        <v>12</v>
      </c>
      <c r="B198" s="150">
        <v>1611</v>
      </c>
      <c r="C198" s="151" t="s">
        <v>111</v>
      </c>
      <c r="D198" s="191">
        <f t="shared" si="29"/>
        <v>2918043.12</v>
      </c>
      <c r="E198" s="192">
        <v>1391860.9000000004</v>
      </c>
      <c r="F198" s="192"/>
      <c r="G198" s="193">
        <f>D198+E198+F198</f>
        <v>4309904.0200000005</v>
      </c>
      <c r="H198" s="193"/>
      <c r="I198" s="194"/>
      <c r="J198" s="158"/>
      <c r="K198" s="195">
        <f t="shared" si="30"/>
        <v>-382169.54000000004</v>
      </c>
      <c r="L198" s="192">
        <v>-225197.56270000004</v>
      </c>
      <c r="M198" s="192"/>
      <c r="N198" s="193">
        <f>K198+L198+M198</f>
        <v>-607367.10270000005</v>
      </c>
      <c r="O198" s="155">
        <f>G198+N198</f>
        <v>3702536.9173000003</v>
      </c>
      <c r="P198" s="123"/>
    </row>
    <row r="199" spans="1:16" x14ac:dyDescent="0.25">
      <c r="A199" s="150">
        <v>14.1</v>
      </c>
      <c r="B199" s="150">
        <v>1612</v>
      </c>
      <c r="C199" s="151" t="s">
        <v>112</v>
      </c>
      <c r="D199" s="191">
        <f t="shared" si="29"/>
        <v>3841402</v>
      </c>
      <c r="E199" s="192"/>
      <c r="F199" s="192"/>
      <c r="G199" s="193">
        <f>D199+E199+F199</f>
        <v>3841402</v>
      </c>
      <c r="H199" s="193"/>
      <c r="I199" s="194"/>
      <c r="J199" s="158"/>
      <c r="K199" s="195">
        <f t="shared" si="30"/>
        <v>0</v>
      </c>
      <c r="L199" s="192"/>
      <c r="M199" s="192"/>
      <c r="N199" s="193">
        <f>K199+L199+M199</f>
        <v>0</v>
      </c>
      <c r="O199" s="155">
        <f>G199+N199</f>
        <v>3841402</v>
      </c>
      <c r="P199" s="123"/>
    </row>
    <row r="200" spans="1:16" hidden="1" x14ac:dyDescent="0.25">
      <c r="A200" s="150"/>
      <c r="B200" s="150">
        <v>1805</v>
      </c>
      <c r="C200" s="151" t="s">
        <v>113</v>
      </c>
      <c r="D200" s="191">
        <f t="shared" si="29"/>
        <v>0</v>
      </c>
      <c r="E200" s="192"/>
      <c r="F200" s="192"/>
      <c r="G200" s="193">
        <f>D200+E200+F200</f>
        <v>0</v>
      </c>
      <c r="H200" s="193"/>
      <c r="I200" s="194"/>
      <c r="J200" s="158"/>
      <c r="K200" s="195">
        <f t="shared" si="30"/>
        <v>0</v>
      </c>
      <c r="L200" s="192"/>
      <c r="M200" s="192"/>
      <c r="N200" s="193">
        <f>K200+L200+M200</f>
        <v>0</v>
      </c>
      <c r="O200" s="155">
        <f>G200+N200</f>
        <v>0</v>
      </c>
      <c r="P200" s="123"/>
    </row>
    <row r="201" spans="1:16" hidden="1" x14ac:dyDescent="0.25">
      <c r="A201" s="150"/>
      <c r="B201" s="150">
        <v>1808</v>
      </c>
      <c r="C201" s="151" t="s">
        <v>114</v>
      </c>
      <c r="D201" s="191">
        <f t="shared" si="29"/>
        <v>0</v>
      </c>
      <c r="E201" s="192"/>
      <c r="F201" s="192"/>
      <c r="G201" s="193">
        <f t="shared" ref="G201:G239" si="31">D201+E201+F201</f>
        <v>0</v>
      </c>
      <c r="H201" s="193"/>
      <c r="I201" s="194"/>
      <c r="J201" s="158"/>
      <c r="K201" s="195">
        <f t="shared" si="30"/>
        <v>0</v>
      </c>
      <c r="L201" s="192"/>
      <c r="M201" s="192"/>
      <c r="N201" s="193">
        <f t="shared" ref="N201:N239" si="32">K201+L201+M201</f>
        <v>0</v>
      </c>
      <c r="O201" s="155">
        <f t="shared" ref="O201:O239" si="33">G201+N201</f>
        <v>0</v>
      </c>
      <c r="P201" s="123"/>
    </row>
    <row r="202" spans="1:16" hidden="1" x14ac:dyDescent="0.25">
      <c r="A202" s="150"/>
      <c r="B202" s="150">
        <v>1810</v>
      </c>
      <c r="C202" s="151" t="s">
        <v>115</v>
      </c>
      <c r="D202" s="191">
        <f t="shared" si="29"/>
        <v>0</v>
      </c>
      <c r="E202" s="192"/>
      <c r="F202" s="192"/>
      <c r="G202" s="193">
        <f t="shared" si="31"/>
        <v>0</v>
      </c>
      <c r="H202" s="193"/>
      <c r="I202" s="194"/>
      <c r="J202" s="158"/>
      <c r="K202" s="195">
        <f t="shared" si="30"/>
        <v>0</v>
      </c>
      <c r="L202" s="192"/>
      <c r="M202" s="192"/>
      <c r="N202" s="193">
        <f t="shared" si="32"/>
        <v>0</v>
      </c>
      <c r="O202" s="155">
        <f t="shared" si="33"/>
        <v>0</v>
      </c>
      <c r="P202" s="123"/>
    </row>
    <row r="203" spans="1:16" x14ac:dyDescent="0.25">
      <c r="A203" s="150">
        <v>47</v>
      </c>
      <c r="B203" s="150">
        <v>1815</v>
      </c>
      <c r="C203" s="151" t="s">
        <v>116</v>
      </c>
      <c r="D203" s="191">
        <f t="shared" si="29"/>
        <v>34796541.43999999</v>
      </c>
      <c r="E203" s="192"/>
      <c r="F203" s="192"/>
      <c r="G203" s="193">
        <f t="shared" si="31"/>
        <v>34796541.43999999</v>
      </c>
      <c r="H203" s="193"/>
      <c r="I203" s="194"/>
      <c r="J203" s="158"/>
      <c r="K203" s="195">
        <f t="shared" si="30"/>
        <v>-1828018.1</v>
      </c>
      <c r="L203" s="192">
        <f>-301444.2772-55731.8722-108886.5916-270314.8403</f>
        <v>-736377.58129999996</v>
      </c>
      <c r="M203" s="192"/>
      <c r="N203" s="193">
        <f t="shared" si="32"/>
        <v>-2564395.6813000003</v>
      </c>
      <c r="O203" s="155">
        <f t="shared" si="33"/>
        <v>32232145.758699991</v>
      </c>
      <c r="P203" s="123"/>
    </row>
    <row r="204" spans="1:16" x14ac:dyDescent="0.25">
      <c r="A204" s="150">
        <v>47</v>
      </c>
      <c r="B204" s="150">
        <v>1820</v>
      </c>
      <c r="C204" s="151" t="s">
        <v>117</v>
      </c>
      <c r="D204" s="191">
        <f t="shared" si="29"/>
        <v>0</v>
      </c>
      <c r="E204" s="192"/>
      <c r="F204" s="192"/>
      <c r="G204" s="193">
        <f t="shared" si="31"/>
        <v>0</v>
      </c>
      <c r="H204" s="193"/>
      <c r="I204" s="194"/>
      <c r="J204" s="158"/>
      <c r="K204" s="195">
        <f t="shared" si="30"/>
        <v>0</v>
      </c>
      <c r="L204" s="192"/>
      <c r="M204" s="192"/>
      <c r="N204" s="193">
        <f t="shared" si="32"/>
        <v>0</v>
      </c>
      <c r="O204" s="155">
        <f t="shared" si="33"/>
        <v>0</v>
      </c>
      <c r="P204" s="123"/>
    </row>
    <row r="205" spans="1:16" hidden="1" x14ac:dyDescent="0.25">
      <c r="A205" s="150"/>
      <c r="B205" s="150">
        <v>1825</v>
      </c>
      <c r="C205" s="151" t="s">
        <v>118</v>
      </c>
      <c r="D205" s="191">
        <f t="shared" si="29"/>
        <v>0</v>
      </c>
      <c r="E205" s="192"/>
      <c r="F205" s="192"/>
      <c r="G205" s="193">
        <f t="shared" si="31"/>
        <v>0</v>
      </c>
      <c r="H205" s="193"/>
      <c r="I205" s="194"/>
      <c r="J205" s="158"/>
      <c r="K205" s="195">
        <f t="shared" si="30"/>
        <v>0</v>
      </c>
      <c r="L205" s="192"/>
      <c r="M205" s="192"/>
      <c r="N205" s="193">
        <f t="shared" si="32"/>
        <v>0</v>
      </c>
      <c r="O205" s="155">
        <f t="shared" si="33"/>
        <v>0</v>
      </c>
      <c r="P205" s="123"/>
    </row>
    <row r="206" spans="1:16" x14ac:dyDescent="0.25">
      <c r="A206" s="150">
        <v>47</v>
      </c>
      <c r="B206" s="150">
        <v>1830</v>
      </c>
      <c r="C206" s="151" t="s">
        <v>119</v>
      </c>
      <c r="D206" s="191">
        <f t="shared" si="29"/>
        <v>2417520.33</v>
      </c>
      <c r="E206" s="192">
        <v>1230637.0122</v>
      </c>
      <c r="F206" s="192"/>
      <c r="G206" s="193">
        <f t="shared" si="31"/>
        <v>3648157.3421999998</v>
      </c>
      <c r="H206" s="193"/>
      <c r="I206" s="194"/>
      <c r="J206" s="158"/>
      <c r="K206" s="195">
        <f t="shared" si="30"/>
        <v>-125292.98000000001</v>
      </c>
      <c r="L206" s="192">
        <v>-75767.223952500004</v>
      </c>
      <c r="M206" s="192"/>
      <c r="N206" s="193">
        <f t="shared" si="32"/>
        <v>-201060.20395250001</v>
      </c>
      <c r="O206" s="155">
        <f t="shared" si="33"/>
        <v>3447097.1382474997</v>
      </c>
      <c r="P206" s="123"/>
    </row>
    <row r="207" spans="1:16" x14ac:dyDescent="0.25">
      <c r="A207" s="150">
        <v>47</v>
      </c>
      <c r="B207" s="150">
        <v>1835</v>
      </c>
      <c r="C207" s="151" t="s">
        <v>120</v>
      </c>
      <c r="D207" s="191">
        <f t="shared" si="29"/>
        <v>1527303.82</v>
      </c>
      <c r="E207" s="192">
        <v>1230637.0122</v>
      </c>
      <c r="F207" s="192"/>
      <c r="G207" s="193">
        <f t="shared" si="31"/>
        <v>2757940.8322000001</v>
      </c>
      <c r="H207" s="193"/>
      <c r="I207" s="194"/>
      <c r="J207" s="158"/>
      <c r="K207" s="195">
        <f t="shared" si="30"/>
        <v>-78658.989999999991</v>
      </c>
      <c r="L207" s="192">
        <v>-52480.406235000002</v>
      </c>
      <c r="M207" s="192"/>
      <c r="N207" s="193">
        <f t="shared" si="32"/>
        <v>-131139.39623499999</v>
      </c>
      <c r="O207" s="155">
        <f t="shared" si="33"/>
        <v>2626801.4359650002</v>
      </c>
      <c r="P207" s="123"/>
    </row>
    <row r="208" spans="1:16" x14ac:dyDescent="0.25">
      <c r="A208" s="150">
        <v>47</v>
      </c>
      <c r="B208" s="150">
        <v>1840</v>
      </c>
      <c r="C208" s="151" t="s">
        <v>121</v>
      </c>
      <c r="D208" s="191">
        <f t="shared" si="29"/>
        <v>3071817.5999999996</v>
      </c>
      <c r="E208" s="192">
        <v>1367374.4580000001</v>
      </c>
      <c r="F208" s="192"/>
      <c r="G208" s="193">
        <f t="shared" si="31"/>
        <v>4439192.0580000002</v>
      </c>
      <c r="H208" s="193"/>
      <c r="I208" s="194"/>
      <c r="J208" s="158"/>
      <c r="K208" s="195">
        <f t="shared" si="30"/>
        <v>-88957.95</v>
      </c>
      <c r="L208" s="192">
        <v>-62556.704549999995</v>
      </c>
      <c r="M208" s="192"/>
      <c r="N208" s="193">
        <f t="shared" si="32"/>
        <v>-151514.65454999998</v>
      </c>
      <c r="O208" s="155">
        <f t="shared" si="33"/>
        <v>4287677.4034500001</v>
      </c>
      <c r="P208" s="123"/>
    </row>
    <row r="209" spans="1:16" x14ac:dyDescent="0.25">
      <c r="A209" s="150">
        <v>47</v>
      </c>
      <c r="B209" s="150">
        <v>1845</v>
      </c>
      <c r="C209" s="151" t="s">
        <v>122</v>
      </c>
      <c r="D209" s="191">
        <f t="shared" si="29"/>
        <v>3166471.48</v>
      </c>
      <c r="E209" s="192">
        <v>729266.37760000001</v>
      </c>
      <c r="F209" s="192"/>
      <c r="G209" s="193">
        <f t="shared" si="31"/>
        <v>3895737.8575999998</v>
      </c>
      <c r="H209" s="193"/>
      <c r="I209" s="194"/>
      <c r="J209" s="158"/>
      <c r="K209" s="195">
        <f t="shared" si="30"/>
        <v>-195995.27000000002</v>
      </c>
      <c r="L209" s="192">
        <v>-98569.748419999989</v>
      </c>
      <c r="M209" s="192"/>
      <c r="N209" s="193">
        <f t="shared" si="32"/>
        <v>-294565.01841999998</v>
      </c>
      <c r="O209" s="155">
        <f t="shared" si="33"/>
        <v>3601172.8391799997</v>
      </c>
      <c r="P209" s="123"/>
    </row>
    <row r="210" spans="1:16" x14ac:dyDescent="0.25">
      <c r="A210" s="150">
        <v>47</v>
      </c>
      <c r="B210" s="150">
        <v>1850</v>
      </c>
      <c r="C210" s="151" t="s">
        <v>123</v>
      </c>
      <c r="D210" s="191">
        <f t="shared" si="29"/>
        <v>182782.04</v>
      </c>
      <c r="E210" s="192"/>
      <c r="F210" s="192"/>
      <c r="G210" s="193">
        <f t="shared" si="31"/>
        <v>182782.04</v>
      </c>
      <c r="H210" s="193"/>
      <c r="I210" s="194"/>
      <c r="J210" s="158"/>
      <c r="K210" s="195">
        <f t="shared" si="30"/>
        <v>-12591.21</v>
      </c>
      <c r="L210" s="192">
        <v>-5571.1195000000007</v>
      </c>
      <c r="M210" s="192"/>
      <c r="N210" s="193">
        <f t="shared" si="32"/>
        <v>-18162.3295</v>
      </c>
      <c r="O210" s="155">
        <f t="shared" si="33"/>
        <v>164619.71050000002</v>
      </c>
      <c r="P210" s="123"/>
    </row>
    <row r="211" spans="1:16" x14ac:dyDescent="0.25">
      <c r="A211" s="150">
        <v>47</v>
      </c>
      <c r="B211" s="150">
        <v>1855</v>
      </c>
      <c r="C211" s="151" t="s">
        <v>124</v>
      </c>
      <c r="D211" s="191">
        <f t="shared" si="29"/>
        <v>6370.09</v>
      </c>
      <c r="E211" s="192"/>
      <c r="F211" s="192"/>
      <c r="G211" s="193">
        <f t="shared" si="31"/>
        <v>6370.09</v>
      </c>
      <c r="H211" s="193"/>
      <c r="I211" s="194"/>
      <c r="J211" s="158"/>
      <c r="K211" s="195">
        <f t="shared" si="30"/>
        <v>-191.84</v>
      </c>
      <c r="L211" s="192">
        <v>-127.3111</v>
      </c>
      <c r="M211" s="192"/>
      <c r="N211" s="193">
        <f t="shared" si="32"/>
        <v>-319.15109999999999</v>
      </c>
      <c r="O211" s="155">
        <f t="shared" si="33"/>
        <v>6050.9389000000001</v>
      </c>
      <c r="P211" s="123"/>
    </row>
    <row r="212" spans="1:16" hidden="1" x14ac:dyDescent="0.25">
      <c r="A212" s="150"/>
      <c r="B212" s="150">
        <v>1860</v>
      </c>
      <c r="C212" s="151" t="s">
        <v>125</v>
      </c>
      <c r="D212" s="191">
        <f t="shared" si="29"/>
        <v>0</v>
      </c>
      <c r="E212" s="192"/>
      <c r="F212" s="192"/>
      <c r="G212" s="193">
        <f t="shared" si="31"/>
        <v>0</v>
      </c>
      <c r="H212" s="193"/>
      <c r="I212" s="194"/>
      <c r="J212" s="158"/>
      <c r="K212" s="195">
        <f t="shared" si="30"/>
        <v>0</v>
      </c>
      <c r="L212" s="192"/>
      <c r="M212" s="192"/>
      <c r="N212" s="193">
        <f t="shared" si="32"/>
        <v>0</v>
      </c>
      <c r="O212" s="155">
        <f t="shared" si="33"/>
        <v>0</v>
      </c>
      <c r="P212" s="123"/>
    </row>
    <row r="213" spans="1:16" hidden="1" x14ac:dyDescent="0.25">
      <c r="A213" s="150"/>
      <c r="B213" s="150">
        <v>1860</v>
      </c>
      <c r="C213" s="151" t="s">
        <v>126</v>
      </c>
      <c r="D213" s="191">
        <f t="shared" si="29"/>
        <v>0</v>
      </c>
      <c r="E213" s="192"/>
      <c r="F213" s="192"/>
      <c r="G213" s="193">
        <f t="shared" si="31"/>
        <v>0</v>
      </c>
      <c r="H213" s="193"/>
      <c r="I213" s="194"/>
      <c r="J213" s="158"/>
      <c r="K213" s="195">
        <f t="shared" si="30"/>
        <v>0</v>
      </c>
      <c r="L213" s="192"/>
      <c r="M213" s="192"/>
      <c r="N213" s="193">
        <f t="shared" si="32"/>
        <v>0</v>
      </c>
      <c r="O213" s="155">
        <f t="shared" si="33"/>
        <v>0</v>
      </c>
      <c r="P213" s="123"/>
    </row>
    <row r="214" spans="1:16" hidden="1" x14ac:dyDescent="0.25">
      <c r="A214" s="150"/>
      <c r="B214" s="150">
        <v>1865</v>
      </c>
      <c r="C214" s="151" t="s">
        <v>127</v>
      </c>
      <c r="D214" s="191">
        <f t="shared" si="29"/>
        <v>0</v>
      </c>
      <c r="E214" s="192"/>
      <c r="F214" s="192"/>
      <c r="G214" s="193">
        <f t="shared" si="31"/>
        <v>0</v>
      </c>
      <c r="H214" s="193"/>
      <c r="I214" s="194"/>
      <c r="J214" s="158"/>
      <c r="K214" s="195">
        <f t="shared" si="30"/>
        <v>0</v>
      </c>
      <c r="L214" s="192"/>
      <c r="M214" s="192"/>
      <c r="N214" s="193">
        <f t="shared" si="32"/>
        <v>0</v>
      </c>
      <c r="O214" s="155">
        <f t="shared" si="33"/>
        <v>0</v>
      </c>
      <c r="P214" s="123"/>
    </row>
    <row r="215" spans="1:16" hidden="1" x14ac:dyDescent="0.25">
      <c r="A215" s="150"/>
      <c r="B215" s="150">
        <v>1905</v>
      </c>
      <c r="C215" s="151" t="s">
        <v>113</v>
      </c>
      <c r="D215" s="191">
        <f t="shared" si="29"/>
        <v>0</v>
      </c>
      <c r="E215" s="192"/>
      <c r="F215" s="192"/>
      <c r="G215" s="193">
        <f t="shared" si="31"/>
        <v>0</v>
      </c>
      <c r="H215" s="193"/>
      <c r="I215" s="194"/>
      <c r="J215" s="158"/>
      <c r="K215" s="195">
        <f t="shared" si="30"/>
        <v>0</v>
      </c>
      <c r="L215" s="192"/>
      <c r="M215" s="192"/>
      <c r="N215" s="193">
        <f t="shared" si="32"/>
        <v>0</v>
      </c>
      <c r="O215" s="155">
        <f t="shared" si="33"/>
        <v>0</v>
      </c>
      <c r="P215" s="123"/>
    </row>
    <row r="216" spans="1:16" hidden="1" x14ac:dyDescent="0.25">
      <c r="A216" s="150"/>
      <c r="B216" s="150">
        <v>1908</v>
      </c>
      <c r="C216" s="151" t="s">
        <v>128</v>
      </c>
      <c r="D216" s="191">
        <f t="shared" si="29"/>
        <v>0</v>
      </c>
      <c r="E216" s="192"/>
      <c r="F216" s="192"/>
      <c r="G216" s="193">
        <f t="shared" si="31"/>
        <v>0</v>
      </c>
      <c r="H216" s="193"/>
      <c r="I216" s="194"/>
      <c r="J216" s="158"/>
      <c r="K216" s="195">
        <f t="shared" si="30"/>
        <v>0</v>
      </c>
      <c r="L216" s="192"/>
      <c r="M216" s="192"/>
      <c r="N216" s="193">
        <f t="shared" si="32"/>
        <v>0</v>
      </c>
      <c r="O216" s="155">
        <f t="shared" si="33"/>
        <v>0</v>
      </c>
      <c r="P216" s="123"/>
    </row>
    <row r="217" spans="1:16" hidden="1" x14ac:dyDescent="0.25">
      <c r="A217" s="150"/>
      <c r="B217" s="150">
        <v>1910</v>
      </c>
      <c r="C217" s="151" t="s">
        <v>115</v>
      </c>
      <c r="D217" s="191">
        <f t="shared" si="29"/>
        <v>0</v>
      </c>
      <c r="E217" s="192"/>
      <c r="F217" s="192"/>
      <c r="G217" s="193">
        <f t="shared" si="31"/>
        <v>0</v>
      </c>
      <c r="H217" s="193"/>
      <c r="I217" s="194"/>
      <c r="J217" s="158"/>
      <c r="K217" s="195">
        <f t="shared" si="30"/>
        <v>0</v>
      </c>
      <c r="L217" s="192"/>
      <c r="M217" s="192"/>
      <c r="N217" s="193">
        <f t="shared" si="32"/>
        <v>0</v>
      </c>
      <c r="O217" s="155">
        <f t="shared" si="33"/>
        <v>0</v>
      </c>
      <c r="P217" s="123"/>
    </row>
    <row r="218" spans="1:16" hidden="1" x14ac:dyDescent="0.25">
      <c r="A218" s="150"/>
      <c r="B218" s="150">
        <v>1915</v>
      </c>
      <c r="C218" s="151" t="s">
        <v>129</v>
      </c>
      <c r="D218" s="191">
        <f t="shared" si="29"/>
        <v>0</v>
      </c>
      <c r="E218" s="192"/>
      <c r="F218" s="192"/>
      <c r="G218" s="193">
        <f t="shared" si="31"/>
        <v>0</v>
      </c>
      <c r="H218" s="193"/>
      <c r="I218" s="194"/>
      <c r="J218" s="158"/>
      <c r="K218" s="195">
        <f t="shared" si="30"/>
        <v>0</v>
      </c>
      <c r="L218" s="192"/>
      <c r="M218" s="192"/>
      <c r="N218" s="193">
        <f t="shared" si="32"/>
        <v>0</v>
      </c>
      <c r="O218" s="155">
        <f t="shared" si="33"/>
        <v>0</v>
      </c>
      <c r="P218" s="123"/>
    </row>
    <row r="219" spans="1:16" hidden="1" x14ac:dyDescent="0.25">
      <c r="A219" s="150"/>
      <c r="B219" s="150">
        <v>1915</v>
      </c>
      <c r="C219" s="151" t="s">
        <v>130</v>
      </c>
      <c r="D219" s="191">
        <f t="shared" si="29"/>
        <v>0</v>
      </c>
      <c r="E219" s="192"/>
      <c r="F219" s="192"/>
      <c r="G219" s="193">
        <f t="shared" si="31"/>
        <v>0</v>
      </c>
      <c r="H219" s="193"/>
      <c r="I219" s="194"/>
      <c r="J219" s="158"/>
      <c r="K219" s="195">
        <f t="shared" si="30"/>
        <v>0</v>
      </c>
      <c r="L219" s="192"/>
      <c r="M219" s="192"/>
      <c r="N219" s="193">
        <f t="shared" si="32"/>
        <v>0</v>
      </c>
      <c r="O219" s="155">
        <f t="shared" si="33"/>
        <v>0</v>
      </c>
      <c r="P219" s="123"/>
    </row>
    <row r="220" spans="1:16" x14ac:dyDescent="0.25">
      <c r="A220" s="150">
        <v>50</v>
      </c>
      <c r="B220" s="150">
        <v>1920</v>
      </c>
      <c r="C220" s="151" t="s">
        <v>131</v>
      </c>
      <c r="D220" s="191">
        <f t="shared" si="29"/>
        <v>5299.13</v>
      </c>
      <c r="E220" s="192">
        <v>2478004.5799999996</v>
      </c>
      <c r="F220" s="192"/>
      <c r="G220" s="193">
        <f t="shared" si="31"/>
        <v>2483303.7099999995</v>
      </c>
      <c r="H220" s="193"/>
      <c r="I220" s="194"/>
      <c r="J220" s="158"/>
      <c r="K220" s="195">
        <f t="shared" si="30"/>
        <v>-1595.25</v>
      </c>
      <c r="L220" s="192">
        <v>-746088.51870000002</v>
      </c>
      <c r="M220" s="192"/>
      <c r="N220" s="193">
        <f t="shared" si="32"/>
        <v>-747683.76870000002</v>
      </c>
      <c r="O220" s="155">
        <f t="shared" si="33"/>
        <v>1735619.9412999996</v>
      </c>
      <c r="P220" s="123"/>
    </row>
    <row r="221" spans="1:16" hidden="1" x14ac:dyDescent="0.25">
      <c r="A221" s="150"/>
      <c r="B221" s="150">
        <v>1920</v>
      </c>
      <c r="C221" s="151" t="s">
        <v>132</v>
      </c>
      <c r="D221" s="191">
        <f t="shared" si="29"/>
        <v>0</v>
      </c>
      <c r="E221" s="192"/>
      <c r="F221" s="192"/>
      <c r="G221" s="193">
        <f t="shared" si="31"/>
        <v>0</v>
      </c>
      <c r="H221" s="193"/>
      <c r="I221" s="194"/>
      <c r="J221" s="158"/>
      <c r="K221" s="195">
        <f t="shared" si="30"/>
        <v>0</v>
      </c>
      <c r="L221" s="192"/>
      <c r="M221" s="192"/>
      <c r="N221" s="193">
        <f t="shared" si="32"/>
        <v>0</v>
      </c>
      <c r="O221" s="155">
        <f t="shared" si="33"/>
        <v>0</v>
      </c>
      <c r="P221" s="123"/>
    </row>
    <row r="222" spans="1:16" hidden="1" x14ac:dyDescent="0.25">
      <c r="A222" s="150"/>
      <c r="B222" s="150">
        <v>1920</v>
      </c>
      <c r="C222" s="151" t="s">
        <v>133</v>
      </c>
      <c r="D222" s="191">
        <f t="shared" si="29"/>
        <v>0</v>
      </c>
      <c r="E222" s="192"/>
      <c r="F222" s="192"/>
      <c r="G222" s="193">
        <f t="shared" si="31"/>
        <v>0</v>
      </c>
      <c r="H222" s="193"/>
      <c r="I222" s="194"/>
      <c r="J222" s="158"/>
      <c r="K222" s="195">
        <f t="shared" si="30"/>
        <v>0</v>
      </c>
      <c r="L222" s="192"/>
      <c r="M222" s="192"/>
      <c r="N222" s="193">
        <f t="shared" si="32"/>
        <v>0</v>
      </c>
      <c r="O222" s="155">
        <f t="shared" si="33"/>
        <v>0</v>
      </c>
      <c r="P222" s="123"/>
    </row>
    <row r="223" spans="1:16" hidden="1" x14ac:dyDescent="0.25">
      <c r="A223" s="150"/>
      <c r="B223" s="150">
        <v>1930</v>
      </c>
      <c r="C223" s="151" t="s">
        <v>134</v>
      </c>
      <c r="D223" s="191">
        <f t="shared" si="29"/>
        <v>0</v>
      </c>
      <c r="E223" s="192"/>
      <c r="F223" s="192"/>
      <c r="G223" s="193">
        <f t="shared" si="31"/>
        <v>0</v>
      </c>
      <c r="H223" s="193"/>
      <c r="I223" s="194"/>
      <c r="J223" s="158"/>
      <c r="K223" s="195">
        <f t="shared" si="30"/>
        <v>0</v>
      </c>
      <c r="L223" s="192"/>
      <c r="M223" s="192"/>
      <c r="N223" s="193">
        <f t="shared" si="32"/>
        <v>0</v>
      </c>
      <c r="O223" s="155">
        <f t="shared" si="33"/>
        <v>0</v>
      </c>
      <c r="P223" s="123"/>
    </row>
    <row r="224" spans="1:16" hidden="1" x14ac:dyDescent="0.25">
      <c r="A224" s="150"/>
      <c r="B224" s="150">
        <v>1935</v>
      </c>
      <c r="C224" s="151" t="s">
        <v>135</v>
      </c>
      <c r="D224" s="191">
        <f t="shared" si="29"/>
        <v>0</v>
      </c>
      <c r="E224" s="192"/>
      <c r="F224" s="192"/>
      <c r="G224" s="193">
        <f t="shared" si="31"/>
        <v>0</v>
      </c>
      <c r="H224" s="193"/>
      <c r="I224" s="194"/>
      <c r="J224" s="158"/>
      <c r="K224" s="195">
        <f t="shared" si="30"/>
        <v>0</v>
      </c>
      <c r="L224" s="192"/>
      <c r="M224" s="192"/>
      <c r="N224" s="193">
        <f t="shared" si="32"/>
        <v>0</v>
      </c>
      <c r="O224" s="155">
        <f t="shared" si="33"/>
        <v>0</v>
      </c>
      <c r="P224" s="123"/>
    </row>
    <row r="225" spans="1:16" hidden="1" x14ac:dyDescent="0.25">
      <c r="A225" s="150"/>
      <c r="B225" s="150">
        <v>1940</v>
      </c>
      <c r="C225" s="151" t="s">
        <v>136</v>
      </c>
      <c r="D225" s="191">
        <f t="shared" si="29"/>
        <v>0</v>
      </c>
      <c r="E225" s="192"/>
      <c r="F225" s="192"/>
      <c r="G225" s="193">
        <f t="shared" si="31"/>
        <v>0</v>
      </c>
      <c r="H225" s="193"/>
      <c r="I225" s="194"/>
      <c r="J225" s="158"/>
      <c r="K225" s="195">
        <f t="shared" si="30"/>
        <v>0</v>
      </c>
      <c r="L225" s="192"/>
      <c r="M225" s="192"/>
      <c r="N225" s="193">
        <f t="shared" si="32"/>
        <v>0</v>
      </c>
      <c r="O225" s="155">
        <f t="shared" si="33"/>
        <v>0</v>
      </c>
      <c r="P225" s="123"/>
    </row>
    <row r="226" spans="1:16" hidden="1" x14ac:dyDescent="0.25">
      <c r="A226" s="150"/>
      <c r="B226" s="150">
        <v>1945</v>
      </c>
      <c r="C226" s="151" t="s">
        <v>137</v>
      </c>
      <c r="D226" s="191">
        <f t="shared" si="29"/>
        <v>0</v>
      </c>
      <c r="E226" s="192"/>
      <c r="F226" s="192"/>
      <c r="G226" s="193">
        <f t="shared" si="31"/>
        <v>0</v>
      </c>
      <c r="H226" s="193"/>
      <c r="I226" s="194"/>
      <c r="J226" s="158"/>
      <c r="K226" s="195">
        <f t="shared" si="30"/>
        <v>0</v>
      </c>
      <c r="L226" s="192"/>
      <c r="M226" s="192"/>
      <c r="N226" s="193">
        <f t="shared" si="32"/>
        <v>0</v>
      </c>
      <c r="O226" s="155">
        <f t="shared" si="33"/>
        <v>0</v>
      </c>
      <c r="P226" s="123"/>
    </row>
    <row r="227" spans="1:16" hidden="1" x14ac:dyDescent="0.25">
      <c r="A227" s="150"/>
      <c r="B227" s="150">
        <v>1950</v>
      </c>
      <c r="C227" s="151" t="s">
        <v>138</v>
      </c>
      <c r="D227" s="191">
        <f t="shared" si="29"/>
        <v>0</v>
      </c>
      <c r="E227" s="192"/>
      <c r="F227" s="192"/>
      <c r="G227" s="193">
        <f t="shared" si="31"/>
        <v>0</v>
      </c>
      <c r="H227" s="193"/>
      <c r="I227" s="194"/>
      <c r="J227" s="158"/>
      <c r="K227" s="195">
        <f t="shared" si="30"/>
        <v>0</v>
      </c>
      <c r="L227" s="192"/>
      <c r="M227" s="192"/>
      <c r="N227" s="193">
        <f t="shared" si="32"/>
        <v>0</v>
      </c>
      <c r="O227" s="155">
        <f t="shared" si="33"/>
        <v>0</v>
      </c>
      <c r="P227" s="123"/>
    </row>
    <row r="228" spans="1:16" hidden="1" x14ac:dyDescent="0.25">
      <c r="A228" s="150"/>
      <c r="B228" s="150">
        <v>1955</v>
      </c>
      <c r="C228" s="151" t="s">
        <v>139</v>
      </c>
      <c r="D228" s="191">
        <f t="shared" si="29"/>
        <v>0</v>
      </c>
      <c r="E228" s="192"/>
      <c r="F228" s="192"/>
      <c r="G228" s="193">
        <f t="shared" si="31"/>
        <v>0</v>
      </c>
      <c r="H228" s="193"/>
      <c r="I228" s="194"/>
      <c r="J228" s="158"/>
      <c r="K228" s="195">
        <f t="shared" si="30"/>
        <v>0</v>
      </c>
      <c r="L228" s="192"/>
      <c r="M228" s="192"/>
      <c r="N228" s="193">
        <f t="shared" si="32"/>
        <v>0</v>
      </c>
      <c r="O228" s="155">
        <f t="shared" si="33"/>
        <v>0</v>
      </c>
      <c r="P228" s="123"/>
    </row>
    <row r="229" spans="1:16" hidden="1" x14ac:dyDescent="0.25">
      <c r="A229" s="150"/>
      <c r="B229" s="150">
        <v>1955</v>
      </c>
      <c r="C229" s="151" t="s">
        <v>140</v>
      </c>
      <c r="D229" s="191">
        <f t="shared" si="29"/>
        <v>0</v>
      </c>
      <c r="E229" s="192"/>
      <c r="F229" s="192"/>
      <c r="G229" s="193">
        <f t="shared" si="31"/>
        <v>0</v>
      </c>
      <c r="H229" s="193"/>
      <c r="I229" s="194"/>
      <c r="J229" s="158"/>
      <c r="K229" s="195">
        <f t="shared" si="30"/>
        <v>0</v>
      </c>
      <c r="L229" s="192"/>
      <c r="M229" s="192"/>
      <c r="N229" s="193">
        <f t="shared" si="32"/>
        <v>0</v>
      </c>
      <c r="O229" s="155">
        <f t="shared" si="33"/>
        <v>0</v>
      </c>
      <c r="P229" s="123"/>
    </row>
    <row r="230" spans="1:16" hidden="1" x14ac:dyDescent="0.25">
      <c r="A230" s="150"/>
      <c r="B230" s="150">
        <v>1960</v>
      </c>
      <c r="C230" s="151" t="s">
        <v>141</v>
      </c>
      <c r="D230" s="191">
        <f t="shared" si="29"/>
        <v>0</v>
      </c>
      <c r="E230" s="192"/>
      <c r="F230" s="192"/>
      <c r="G230" s="193">
        <f t="shared" si="31"/>
        <v>0</v>
      </c>
      <c r="H230" s="193"/>
      <c r="I230" s="194"/>
      <c r="J230" s="158"/>
      <c r="K230" s="195">
        <f t="shared" si="30"/>
        <v>0</v>
      </c>
      <c r="L230" s="192"/>
      <c r="M230" s="192"/>
      <c r="N230" s="193">
        <f t="shared" si="32"/>
        <v>0</v>
      </c>
      <c r="O230" s="155">
        <f t="shared" si="33"/>
        <v>0</v>
      </c>
      <c r="P230" s="123"/>
    </row>
    <row r="231" spans="1:16" hidden="1" x14ac:dyDescent="0.25">
      <c r="A231" s="150"/>
      <c r="B231" s="150">
        <v>1970</v>
      </c>
      <c r="C231" s="151" t="s">
        <v>142</v>
      </c>
      <c r="D231" s="191">
        <f t="shared" si="29"/>
        <v>0</v>
      </c>
      <c r="E231" s="192"/>
      <c r="F231" s="192"/>
      <c r="G231" s="193">
        <f t="shared" si="31"/>
        <v>0</v>
      </c>
      <c r="H231" s="193"/>
      <c r="I231" s="194"/>
      <c r="J231" s="158"/>
      <c r="K231" s="195">
        <f t="shared" si="30"/>
        <v>0</v>
      </c>
      <c r="L231" s="192"/>
      <c r="M231" s="192"/>
      <c r="N231" s="193">
        <f t="shared" si="32"/>
        <v>0</v>
      </c>
      <c r="O231" s="155">
        <f t="shared" si="33"/>
        <v>0</v>
      </c>
      <c r="P231" s="123"/>
    </row>
    <row r="232" spans="1:16" hidden="1" x14ac:dyDescent="0.25">
      <c r="A232" s="150"/>
      <c r="B232" s="150">
        <v>1975</v>
      </c>
      <c r="C232" s="151" t="s">
        <v>143</v>
      </c>
      <c r="D232" s="191">
        <f t="shared" si="29"/>
        <v>0</v>
      </c>
      <c r="E232" s="192"/>
      <c r="F232" s="192"/>
      <c r="G232" s="193">
        <f t="shared" si="31"/>
        <v>0</v>
      </c>
      <c r="H232" s="193"/>
      <c r="I232" s="194"/>
      <c r="J232" s="158"/>
      <c r="K232" s="195">
        <f t="shared" si="30"/>
        <v>0</v>
      </c>
      <c r="L232" s="192"/>
      <c r="M232" s="192"/>
      <c r="N232" s="193">
        <f t="shared" si="32"/>
        <v>0</v>
      </c>
      <c r="O232" s="155">
        <f t="shared" si="33"/>
        <v>0</v>
      </c>
      <c r="P232" s="123"/>
    </row>
    <row r="233" spans="1:16" x14ac:dyDescent="0.25">
      <c r="A233" s="150">
        <v>8</v>
      </c>
      <c r="B233" s="150">
        <v>1980</v>
      </c>
      <c r="C233" s="151" t="s">
        <v>144</v>
      </c>
      <c r="D233" s="191">
        <f t="shared" si="29"/>
        <v>89392.930000000008</v>
      </c>
      <c r="E233" s="192"/>
      <c r="F233" s="192"/>
      <c r="G233" s="193">
        <f t="shared" si="31"/>
        <v>89392.930000000008</v>
      </c>
      <c r="H233" s="193"/>
      <c r="I233" s="194"/>
      <c r="J233" s="158"/>
      <c r="K233" s="195">
        <f t="shared" si="30"/>
        <v>-14173.67</v>
      </c>
      <c r="L233" s="192">
        <v>-5939.2273000000005</v>
      </c>
      <c r="M233" s="192"/>
      <c r="N233" s="193">
        <f t="shared" si="32"/>
        <v>-20112.897300000001</v>
      </c>
      <c r="O233" s="155">
        <f t="shared" si="33"/>
        <v>69280.032700000011</v>
      </c>
      <c r="P233" s="123"/>
    </row>
    <row r="234" spans="1:16" hidden="1" x14ac:dyDescent="0.25">
      <c r="A234" s="150"/>
      <c r="B234" s="150">
        <v>1985</v>
      </c>
      <c r="C234" s="151" t="s">
        <v>145</v>
      </c>
      <c r="D234" s="191">
        <f t="shared" si="29"/>
        <v>0</v>
      </c>
      <c r="E234" s="192"/>
      <c r="F234" s="192"/>
      <c r="G234" s="193">
        <f t="shared" si="31"/>
        <v>0</v>
      </c>
      <c r="H234" s="193"/>
      <c r="I234" s="194"/>
      <c r="J234" s="158"/>
      <c r="K234" s="195">
        <f t="shared" si="30"/>
        <v>0</v>
      </c>
      <c r="L234" s="192"/>
      <c r="M234" s="192"/>
      <c r="N234" s="193">
        <f t="shared" si="32"/>
        <v>0</v>
      </c>
      <c r="O234" s="155">
        <f t="shared" si="33"/>
        <v>0</v>
      </c>
      <c r="P234" s="123"/>
    </row>
    <row r="235" spans="1:16" hidden="1" x14ac:dyDescent="0.25">
      <c r="A235" s="150"/>
      <c r="B235" s="150">
        <v>1990</v>
      </c>
      <c r="C235" s="159" t="s">
        <v>146</v>
      </c>
      <c r="D235" s="191">
        <f t="shared" si="29"/>
        <v>0</v>
      </c>
      <c r="E235" s="192"/>
      <c r="F235" s="192"/>
      <c r="G235" s="193">
        <f t="shared" si="31"/>
        <v>0</v>
      </c>
      <c r="H235" s="193"/>
      <c r="I235" s="194"/>
      <c r="J235" s="158"/>
      <c r="K235" s="195">
        <f t="shared" si="30"/>
        <v>0</v>
      </c>
      <c r="L235" s="192"/>
      <c r="M235" s="192"/>
      <c r="N235" s="193">
        <f t="shared" si="32"/>
        <v>0</v>
      </c>
      <c r="O235" s="155">
        <f t="shared" si="33"/>
        <v>0</v>
      </c>
      <c r="P235" s="123"/>
    </row>
    <row r="236" spans="1:16" hidden="1" x14ac:dyDescent="0.25">
      <c r="A236" s="150"/>
      <c r="B236" s="150">
        <v>1995</v>
      </c>
      <c r="C236" s="151" t="s">
        <v>147</v>
      </c>
      <c r="D236" s="191">
        <f t="shared" si="29"/>
        <v>0</v>
      </c>
      <c r="E236" s="192"/>
      <c r="F236" s="192"/>
      <c r="G236" s="193">
        <f t="shared" si="31"/>
        <v>0</v>
      </c>
      <c r="H236" s="193"/>
      <c r="I236" s="194"/>
      <c r="J236" s="158"/>
      <c r="K236" s="195">
        <f t="shared" si="30"/>
        <v>0</v>
      </c>
      <c r="L236" s="192"/>
      <c r="M236" s="192"/>
      <c r="N236" s="193">
        <f t="shared" si="32"/>
        <v>0</v>
      </c>
      <c r="O236" s="155">
        <f t="shared" si="33"/>
        <v>0</v>
      </c>
      <c r="P236" s="123"/>
    </row>
    <row r="237" spans="1:16" hidden="1" x14ac:dyDescent="0.25">
      <c r="A237" s="150"/>
      <c r="B237" s="150">
        <v>2075</v>
      </c>
      <c r="C237" s="151" t="s">
        <v>148</v>
      </c>
      <c r="D237" s="191">
        <f t="shared" si="29"/>
        <v>0</v>
      </c>
      <c r="E237" s="192"/>
      <c r="F237" s="192"/>
      <c r="G237" s="193">
        <f t="shared" si="31"/>
        <v>0</v>
      </c>
      <c r="H237" s="193"/>
      <c r="I237" s="194"/>
      <c r="J237" s="123"/>
      <c r="K237" s="191">
        <f t="shared" si="30"/>
        <v>0</v>
      </c>
      <c r="L237" s="192"/>
      <c r="M237" s="192"/>
      <c r="N237" s="193">
        <f t="shared" si="32"/>
        <v>0</v>
      </c>
      <c r="O237" s="155">
        <f t="shared" si="33"/>
        <v>0</v>
      </c>
      <c r="P237" s="123"/>
    </row>
    <row r="238" spans="1:16" x14ac:dyDescent="0.25">
      <c r="A238" s="150">
        <v>47</v>
      </c>
      <c r="B238" s="150">
        <v>2440</v>
      </c>
      <c r="C238" s="151" t="s">
        <v>149</v>
      </c>
      <c r="D238" s="191">
        <f t="shared" si="29"/>
        <v>-4554769.99</v>
      </c>
      <c r="E238" s="192">
        <v>-958066.63</v>
      </c>
      <c r="F238" s="192"/>
      <c r="G238" s="193">
        <f t="shared" si="31"/>
        <v>-5512836.6200000001</v>
      </c>
      <c r="H238" s="193"/>
      <c r="I238" s="194"/>
      <c r="J238" s="123"/>
      <c r="K238" s="191">
        <f t="shared" si="30"/>
        <v>404848.66000000003</v>
      </c>
      <c r="L238" s="192">
        <v>491020.69779999997</v>
      </c>
      <c r="M238" s="192"/>
      <c r="N238" s="193">
        <f t="shared" si="32"/>
        <v>895869.3578</v>
      </c>
      <c r="O238" s="155">
        <f t="shared" si="33"/>
        <v>-4616967.2621999998</v>
      </c>
      <c r="P238" s="123"/>
    </row>
    <row r="239" spans="1:16" hidden="1" x14ac:dyDescent="0.25">
      <c r="A239" s="150"/>
      <c r="B239" s="150">
        <v>2005</v>
      </c>
      <c r="C239" s="151" t="s">
        <v>150</v>
      </c>
      <c r="D239" s="191">
        <f t="shared" si="29"/>
        <v>0</v>
      </c>
      <c r="E239" s="192"/>
      <c r="F239" s="192"/>
      <c r="G239" s="193">
        <f t="shared" si="31"/>
        <v>0</v>
      </c>
      <c r="H239" s="193"/>
      <c r="I239" s="194"/>
      <c r="J239" s="123"/>
      <c r="K239" s="191">
        <f t="shared" si="30"/>
        <v>0</v>
      </c>
      <c r="L239" s="192"/>
      <c r="M239" s="192"/>
      <c r="N239" s="193">
        <f t="shared" si="32"/>
        <v>0</v>
      </c>
      <c r="O239" s="155">
        <f t="shared" si="33"/>
        <v>0</v>
      </c>
      <c r="P239" s="123"/>
    </row>
    <row r="240" spans="1:16" x14ac:dyDescent="0.25">
      <c r="A240" s="160"/>
      <c r="B240" s="160"/>
      <c r="C240" s="164" t="s">
        <v>20</v>
      </c>
      <c r="D240" s="165">
        <f>SUM(D196:D239)</f>
        <v>50712574.099999987</v>
      </c>
      <c r="E240" s="165">
        <f>SUM(E196:E239)</f>
        <v>7469713.71</v>
      </c>
      <c r="F240" s="165">
        <f>SUM(F196:F239)</f>
        <v>0</v>
      </c>
      <c r="G240" s="165">
        <f>SUM(G196:G239)</f>
        <v>58182287.809999987</v>
      </c>
      <c r="H240" s="165"/>
      <c r="I240" s="196"/>
      <c r="J240" s="167"/>
      <c r="K240" s="165">
        <f>SUM(K196:K239)</f>
        <v>-2360807.5799999996</v>
      </c>
      <c r="L240" s="165">
        <f>SUM(L196:L239)</f>
        <v>-1593057.8284575001</v>
      </c>
      <c r="M240" s="165">
        <f>SUM(M196:M239)</f>
        <v>0</v>
      </c>
      <c r="N240" s="165">
        <f>SUM(N196:N239)</f>
        <v>-3953865.4084575013</v>
      </c>
      <c r="O240" s="165">
        <f>SUM(O196:O239)</f>
        <v>54228422.401542492</v>
      </c>
      <c r="P240" s="123"/>
    </row>
    <row r="241" spans="1:16" ht="25.5" x14ac:dyDescent="0.25">
      <c r="A241" s="160"/>
      <c r="B241" s="160"/>
      <c r="C241" s="168" t="s">
        <v>151</v>
      </c>
      <c r="D241" s="178">
        <f>G181</f>
        <v>0</v>
      </c>
      <c r="E241" s="162"/>
      <c r="F241" s="162"/>
      <c r="G241" s="193">
        <f>D241+E241+F241</f>
        <v>0</v>
      </c>
      <c r="H241" s="193"/>
      <c r="I241" s="194"/>
      <c r="J241" s="123"/>
      <c r="K241" s="178">
        <f>N181</f>
        <v>0</v>
      </c>
      <c r="L241" s="178"/>
      <c r="M241" s="162"/>
      <c r="N241" s="193">
        <f>K241+L241+M241</f>
        <v>0</v>
      </c>
      <c r="O241" s="155">
        <f>G241+N241</f>
        <v>0</v>
      </c>
      <c r="P241" s="123"/>
    </row>
    <row r="242" spans="1:16" ht="24.75" x14ac:dyDescent="0.25">
      <c r="A242" s="160"/>
      <c r="B242" s="160"/>
      <c r="C242" s="169" t="s">
        <v>152</v>
      </c>
      <c r="D242" s="178">
        <f>G182</f>
        <v>0</v>
      </c>
      <c r="E242" s="178">
        <f>-E237</f>
        <v>0</v>
      </c>
      <c r="F242" s="178">
        <f>-F237</f>
        <v>0</v>
      </c>
      <c r="G242" s="193">
        <f>D242+E242+F242</f>
        <v>0</v>
      </c>
      <c r="H242" s="193"/>
      <c r="I242" s="194"/>
      <c r="J242" s="123"/>
      <c r="K242" s="178">
        <f>N182</f>
        <v>0</v>
      </c>
      <c r="L242" s="178">
        <f>-L237</f>
        <v>0</v>
      </c>
      <c r="M242" s="178">
        <f>-M237</f>
        <v>0</v>
      </c>
      <c r="N242" s="193">
        <f>K242+L242+M242</f>
        <v>0</v>
      </c>
      <c r="O242" s="155">
        <f>G242+N242</f>
        <v>0</v>
      </c>
      <c r="P242" s="123"/>
    </row>
    <row r="243" spans="1:16" x14ac:dyDescent="0.25">
      <c r="A243" s="160"/>
      <c r="B243" s="160"/>
      <c r="C243" s="164" t="s">
        <v>153</v>
      </c>
      <c r="D243" s="165">
        <f>SUM(D240:D242)</f>
        <v>50712574.099999987</v>
      </c>
      <c r="E243" s="165">
        <f>SUM(E240:E242)</f>
        <v>7469713.71</v>
      </c>
      <c r="F243" s="165">
        <f>SUM(F240:F242)</f>
        <v>0</v>
      </c>
      <c r="G243" s="165">
        <f>SUM(G240:G242)</f>
        <v>58182287.809999987</v>
      </c>
      <c r="H243" s="165"/>
      <c r="I243" s="194"/>
      <c r="J243" s="167"/>
      <c r="K243" s="165">
        <f>SUM(K240:K242)</f>
        <v>-2360807.5799999996</v>
      </c>
      <c r="L243" s="165">
        <f>SUM(L240:L242)</f>
        <v>-1593057.8284575001</v>
      </c>
      <c r="M243" s="165">
        <f>SUM(M240:M242)</f>
        <v>0</v>
      </c>
      <c r="N243" s="165">
        <f>SUM(N240:N242)</f>
        <v>-3953865.4084575013</v>
      </c>
      <c r="O243" s="165">
        <f>SUM(O240:O242)</f>
        <v>54228422.401542492</v>
      </c>
      <c r="P243" s="123"/>
    </row>
    <row r="244" spans="1:16" x14ac:dyDescent="0.25">
      <c r="A244" s="160"/>
      <c r="B244" s="160"/>
      <c r="C244" s="170" t="s">
        <v>154</v>
      </c>
      <c r="D244" s="192">
        <f>G184</f>
        <v>0</v>
      </c>
      <c r="E244" s="192"/>
      <c r="F244" s="192"/>
      <c r="G244" s="193">
        <f t="shared" ref="G244" si="34">D244+E244+F244</f>
        <v>0</v>
      </c>
      <c r="H244" s="193"/>
      <c r="I244" s="194"/>
      <c r="J244" s="158"/>
      <c r="K244" s="123"/>
      <c r="L244" s="123"/>
      <c r="M244" s="123"/>
      <c r="N244" s="193">
        <f t="shared" ref="N244" si="35">K244+L244+M244</f>
        <v>0</v>
      </c>
      <c r="O244" s="155">
        <f t="shared" ref="O244" si="36">G244+N244</f>
        <v>0</v>
      </c>
      <c r="P244" s="123"/>
    </row>
    <row r="245" spans="1:16" x14ac:dyDescent="0.25">
      <c r="A245" s="160"/>
      <c r="B245" s="160"/>
      <c r="C245" s="170" t="s">
        <v>155</v>
      </c>
      <c r="D245" s="165">
        <f>SUM(D243:D244)</f>
        <v>50712574.099999987</v>
      </c>
      <c r="E245" s="165">
        <f t="shared" ref="E245:G245" si="37">SUM(E243:E244)</f>
        <v>7469713.71</v>
      </c>
      <c r="F245" s="165">
        <f t="shared" si="37"/>
        <v>0</v>
      </c>
      <c r="G245" s="165">
        <f t="shared" si="37"/>
        <v>58182287.809999987</v>
      </c>
      <c r="H245" s="165"/>
      <c r="I245" s="196"/>
      <c r="J245" s="165"/>
      <c r="K245" s="165">
        <f t="shared" ref="K245:O245" si="38">SUM(K243:K244)</f>
        <v>-2360807.5799999996</v>
      </c>
      <c r="L245" s="165">
        <f t="shared" si="38"/>
        <v>-1593057.8284575001</v>
      </c>
      <c r="M245" s="165">
        <f t="shared" si="38"/>
        <v>0</v>
      </c>
      <c r="N245" s="165">
        <f t="shared" si="38"/>
        <v>-3953865.4084575013</v>
      </c>
      <c r="O245" s="165">
        <f t="shared" si="38"/>
        <v>54228422.401542492</v>
      </c>
      <c r="P245" s="123"/>
    </row>
    <row r="246" spans="1:16" x14ac:dyDescent="0.25">
      <c r="A246" s="160"/>
      <c r="B246" s="160"/>
      <c r="C246" s="359" t="s">
        <v>156</v>
      </c>
      <c r="D246" s="360"/>
      <c r="E246" s="360"/>
      <c r="F246" s="360"/>
      <c r="G246" s="360"/>
      <c r="H246" s="360"/>
      <c r="I246" s="360"/>
      <c r="J246" s="360"/>
      <c r="K246" s="361"/>
      <c r="L246" s="162"/>
      <c r="M246" s="123"/>
      <c r="N246" s="197"/>
      <c r="O246" s="172"/>
      <c r="P246" s="123"/>
    </row>
    <row r="247" spans="1:16" x14ac:dyDescent="0.25">
      <c r="A247" s="160"/>
      <c r="B247" s="160"/>
      <c r="C247" s="359" t="s">
        <v>43</v>
      </c>
      <c r="D247" s="360"/>
      <c r="E247" s="360"/>
      <c r="F247" s="360"/>
      <c r="G247" s="360"/>
      <c r="H247" s="360"/>
      <c r="I247" s="360"/>
      <c r="J247" s="360"/>
      <c r="K247" s="361"/>
      <c r="L247" s="165">
        <f>L245+L246</f>
        <v>-1593057.8284575001</v>
      </c>
      <c r="M247" s="123"/>
      <c r="N247" s="197"/>
      <c r="O247" s="172"/>
      <c r="P247" s="123"/>
    </row>
    <row r="248" spans="1:16" x14ac:dyDescent="0.25">
      <c r="A248" s="122"/>
      <c r="B248" s="122"/>
      <c r="C248" s="123"/>
      <c r="D248" s="123"/>
      <c r="E248" s="123"/>
      <c r="F248" s="123"/>
      <c r="G248" s="123"/>
      <c r="H248" s="123"/>
      <c r="I248" s="186"/>
      <c r="J248" s="123"/>
      <c r="K248" s="123"/>
      <c r="L248" s="123"/>
      <c r="M248" s="123"/>
      <c r="N248" s="123"/>
      <c r="O248" s="123"/>
      <c r="P248" s="123"/>
    </row>
    <row r="249" spans="1:16" x14ac:dyDescent="0.25">
      <c r="A249" s="122"/>
      <c r="B249" s="122"/>
      <c r="C249" s="123"/>
      <c r="D249" s="172"/>
      <c r="E249" s="172"/>
      <c r="F249" s="172"/>
      <c r="G249" s="172"/>
      <c r="H249" s="123"/>
      <c r="I249" s="186"/>
      <c r="J249" s="123"/>
      <c r="K249" s="123"/>
      <c r="L249" s="123"/>
      <c r="M249" s="123"/>
      <c r="N249" s="123"/>
      <c r="O249" s="123"/>
      <c r="P249" s="123"/>
    </row>
    <row r="250" spans="1:16" x14ac:dyDescent="0.25">
      <c r="A250" s="122"/>
      <c r="B250" s="122"/>
      <c r="C250" s="123"/>
      <c r="D250" s="172"/>
      <c r="E250" s="172"/>
      <c r="F250" s="172"/>
      <c r="G250" s="172"/>
      <c r="H250" s="123"/>
      <c r="I250" s="186"/>
      <c r="J250" s="123"/>
      <c r="K250" s="172"/>
      <c r="L250" s="172"/>
      <c r="M250" s="172"/>
      <c r="N250" s="172"/>
      <c r="O250" s="123"/>
      <c r="P250" s="123"/>
    </row>
    <row r="251" spans="1:16" ht="15.75" thickBot="1" x14ac:dyDescent="0.3">
      <c r="A251" s="122"/>
      <c r="B251" s="122"/>
      <c r="C251" s="123"/>
      <c r="D251" s="123"/>
      <c r="E251" s="135" t="s">
        <v>94</v>
      </c>
      <c r="F251" s="187" t="s">
        <v>12</v>
      </c>
      <c r="G251" s="123"/>
      <c r="H251" s="123"/>
      <c r="I251" s="186"/>
      <c r="J251" s="123"/>
      <c r="K251" s="172"/>
      <c r="L251" s="172"/>
      <c r="M251" s="172"/>
      <c r="N251" s="172"/>
      <c r="O251" s="123"/>
      <c r="P251" s="123"/>
    </row>
    <row r="252" spans="1:16" ht="15.75" thickBot="1" x14ac:dyDescent="0.3">
      <c r="A252" s="122"/>
      <c r="B252" s="122"/>
      <c r="C252" s="123"/>
      <c r="D252" s="123"/>
      <c r="E252" s="135" t="s">
        <v>95</v>
      </c>
      <c r="F252" s="137">
        <f>+F192+1</f>
        <v>2026</v>
      </c>
      <c r="G252" s="203"/>
      <c r="H252" s="204"/>
      <c r="I252" s="188" t="b">
        <f>IF(F252=2014,4,IF(F252=2015,5,IF(F252=2016,6,IF(F252=2017,7,IF(F252=2018,8,IF(F252=2019,9,IF(F252=2020,10)))))))</f>
        <v>0</v>
      </c>
      <c r="J252" s="123"/>
      <c r="K252" s="123"/>
      <c r="L252" s="123"/>
      <c r="M252" s="123"/>
      <c r="N252" s="123"/>
      <c r="O252" s="123"/>
      <c r="P252" s="123"/>
    </row>
    <row r="253" spans="1:16" x14ac:dyDescent="0.25">
      <c r="A253" s="122"/>
      <c r="B253" s="122"/>
      <c r="C253" s="123"/>
      <c r="D253" s="123"/>
      <c r="E253" s="123"/>
      <c r="F253" s="123"/>
      <c r="G253" s="123"/>
      <c r="H253" s="123"/>
      <c r="I253" s="186"/>
      <c r="J253" s="123"/>
      <c r="K253" s="123"/>
      <c r="L253" s="123"/>
      <c r="M253" s="123"/>
      <c r="N253" s="123"/>
      <c r="O253" s="123"/>
      <c r="P253" s="123"/>
    </row>
    <row r="254" spans="1:16" x14ac:dyDescent="0.25">
      <c r="A254" s="122"/>
      <c r="B254" s="122"/>
      <c r="C254" s="123"/>
      <c r="D254" s="356" t="s">
        <v>96</v>
      </c>
      <c r="E254" s="357"/>
      <c r="F254" s="357"/>
      <c r="G254" s="357"/>
      <c r="H254" s="357"/>
      <c r="I254" s="358"/>
      <c r="J254" s="123"/>
      <c r="K254" s="140"/>
      <c r="L254" s="141" t="s">
        <v>97</v>
      </c>
      <c r="M254" s="141"/>
      <c r="N254" s="142"/>
      <c r="O254" s="123"/>
      <c r="P254" s="123"/>
    </row>
    <row r="255" spans="1:16" ht="40.5" x14ac:dyDescent="0.25">
      <c r="A255" s="143" t="s">
        <v>98</v>
      </c>
      <c r="B255" s="143" t="s">
        <v>99</v>
      </c>
      <c r="C255" s="144" t="s">
        <v>100</v>
      </c>
      <c r="D255" s="143" t="s">
        <v>101</v>
      </c>
      <c r="E255" s="145" t="s">
        <v>102</v>
      </c>
      <c r="F255" s="145" t="s">
        <v>103</v>
      </c>
      <c r="G255" s="143" t="s">
        <v>104</v>
      </c>
      <c r="H255" s="143"/>
      <c r="I255" s="189"/>
      <c r="J255" s="146"/>
      <c r="K255" s="143" t="s">
        <v>101</v>
      </c>
      <c r="L255" s="147" t="s">
        <v>106</v>
      </c>
      <c r="M255" s="147" t="s">
        <v>103</v>
      </c>
      <c r="N255" s="148" t="s">
        <v>104</v>
      </c>
      <c r="O255" s="143" t="s">
        <v>107</v>
      </c>
      <c r="P255" s="123"/>
    </row>
    <row r="256" spans="1:16" x14ac:dyDescent="0.25">
      <c r="A256" s="149">
        <v>14.1</v>
      </c>
      <c r="B256" s="150">
        <v>1609</v>
      </c>
      <c r="C256" s="151" t="s">
        <v>108</v>
      </c>
      <c r="D256" s="191">
        <f t="shared" ref="D256:D299" si="39">G196</f>
        <v>3244400.11</v>
      </c>
      <c r="E256" s="192">
        <v>17136311.646089997</v>
      </c>
      <c r="F256" s="192"/>
      <c r="G256" s="193">
        <f>D256+E256+F256</f>
        <v>20380711.756089997</v>
      </c>
      <c r="H256" s="193"/>
      <c r="I256" s="194"/>
      <c r="J256" s="146"/>
      <c r="K256" s="195">
        <f t="shared" ref="K256:K299" si="40">N196</f>
        <v>-113414.5625</v>
      </c>
      <c r="L256" s="192">
        <v>-418129.35542179993</v>
      </c>
      <c r="M256" s="192"/>
      <c r="N256" s="193">
        <f>K256+L256+M256</f>
        <v>-531543.91792179993</v>
      </c>
      <c r="O256" s="155">
        <f>G256+N256</f>
        <v>19849167.838168196</v>
      </c>
      <c r="P256" s="123"/>
    </row>
    <row r="257" spans="1:16" hidden="1" x14ac:dyDescent="0.25">
      <c r="A257" s="150"/>
      <c r="B257" s="150">
        <v>1610</v>
      </c>
      <c r="C257" s="151" t="s">
        <v>110</v>
      </c>
      <c r="D257" s="191">
        <f t="shared" si="39"/>
        <v>0</v>
      </c>
      <c r="E257" s="192"/>
      <c r="F257" s="192"/>
      <c r="G257" s="193">
        <f>D257+E257+F257</f>
        <v>0</v>
      </c>
      <c r="H257" s="193"/>
      <c r="I257" s="194"/>
      <c r="J257" s="146"/>
      <c r="K257" s="195">
        <f t="shared" si="40"/>
        <v>0</v>
      </c>
      <c r="L257" s="192"/>
      <c r="M257" s="192"/>
      <c r="N257" s="193">
        <f>K257+L257+M257</f>
        <v>0</v>
      </c>
      <c r="O257" s="155">
        <f>G257+N257</f>
        <v>0</v>
      </c>
      <c r="P257" s="123"/>
    </row>
    <row r="258" spans="1:16" x14ac:dyDescent="0.25">
      <c r="A258" s="150">
        <v>12</v>
      </c>
      <c r="B258" s="150">
        <v>1611</v>
      </c>
      <c r="C258" s="151" t="s">
        <v>111</v>
      </c>
      <c r="D258" s="191">
        <f t="shared" si="39"/>
        <v>4309904.0200000005</v>
      </c>
      <c r="E258" s="192"/>
      <c r="F258" s="192"/>
      <c r="G258" s="193">
        <f>D258+E258+F258</f>
        <v>4309904.0200000005</v>
      </c>
      <c r="H258" s="193"/>
      <c r="I258" s="194"/>
      <c r="J258" s="158"/>
      <c r="K258" s="195">
        <f t="shared" si="40"/>
        <v>-607367.10270000005</v>
      </c>
      <c r="L258" s="192">
        <v>-861884.46070000005</v>
      </c>
      <c r="M258" s="192"/>
      <c r="N258" s="193">
        <f>K258+L258+M258</f>
        <v>-1469251.5634000001</v>
      </c>
      <c r="O258" s="155">
        <f>G258+N258</f>
        <v>2840652.4566000002</v>
      </c>
      <c r="P258" s="123"/>
    </row>
    <row r="259" spans="1:16" x14ac:dyDescent="0.25">
      <c r="A259" s="150">
        <v>14.1</v>
      </c>
      <c r="B259" s="150">
        <v>1612</v>
      </c>
      <c r="C259" s="151" t="s">
        <v>112</v>
      </c>
      <c r="D259" s="191">
        <f t="shared" si="39"/>
        <v>3841402</v>
      </c>
      <c r="E259" s="192"/>
      <c r="F259" s="192"/>
      <c r="G259" s="193">
        <f>D259+E259+F259</f>
        <v>3841402</v>
      </c>
      <c r="H259" s="193"/>
      <c r="I259" s="194"/>
      <c r="J259" s="158"/>
      <c r="K259" s="195">
        <f t="shared" si="40"/>
        <v>0</v>
      </c>
      <c r="L259" s="192"/>
      <c r="M259" s="192"/>
      <c r="N259" s="193">
        <f>K259+L259+M259</f>
        <v>0</v>
      </c>
      <c r="O259" s="155">
        <f>G259+N259</f>
        <v>3841402</v>
      </c>
      <c r="P259" s="123"/>
    </row>
    <row r="260" spans="1:16" hidden="1" x14ac:dyDescent="0.25">
      <c r="A260" s="150"/>
      <c r="B260" s="150">
        <v>1805</v>
      </c>
      <c r="C260" s="151" t="s">
        <v>113</v>
      </c>
      <c r="D260" s="191">
        <f t="shared" si="39"/>
        <v>0</v>
      </c>
      <c r="E260" s="192"/>
      <c r="F260" s="192"/>
      <c r="G260" s="193">
        <f>D260+E260+F260</f>
        <v>0</v>
      </c>
      <c r="H260" s="193"/>
      <c r="I260" s="194"/>
      <c r="J260" s="158"/>
      <c r="K260" s="195">
        <f t="shared" si="40"/>
        <v>0</v>
      </c>
      <c r="L260" s="192"/>
      <c r="M260" s="192"/>
      <c r="N260" s="193">
        <f>K260+L260+M260</f>
        <v>0</v>
      </c>
      <c r="O260" s="155">
        <f>G260+N260</f>
        <v>0</v>
      </c>
      <c r="P260" s="123"/>
    </row>
    <row r="261" spans="1:16" hidden="1" x14ac:dyDescent="0.25">
      <c r="A261" s="150"/>
      <c r="B261" s="150">
        <v>1808</v>
      </c>
      <c r="C261" s="151" t="s">
        <v>114</v>
      </c>
      <c r="D261" s="191">
        <f t="shared" si="39"/>
        <v>0</v>
      </c>
      <c r="E261" s="192"/>
      <c r="F261" s="192"/>
      <c r="G261" s="193">
        <f t="shared" ref="G261:G299" si="41">D261+E261+F261</f>
        <v>0</v>
      </c>
      <c r="H261" s="193"/>
      <c r="I261" s="194"/>
      <c r="J261" s="158"/>
      <c r="K261" s="195">
        <f t="shared" si="40"/>
        <v>0</v>
      </c>
      <c r="L261" s="192"/>
      <c r="M261" s="192"/>
      <c r="N261" s="193">
        <f t="shared" ref="N261:N299" si="42">K261+L261+M261</f>
        <v>0</v>
      </c>
      <c r="O261" s="155">
        <f t="shared" ref="O261:O299" si="43">G261+N261</f>
        <v>0</v>
      </c>
      <c r="P261" s="123"/>
    </row>
    <row r="262" spans="1:16" hidden="1" x14ac:dyDescent="0.25">
      <c r="A262" s="150"/>
      <c r="B262" s="150">
        <v>1810</v>
      </c>
      <c r="C262" s="151" t="s">
        <v>115</v>
      </c>
      <c r="D262" s="191">
        <f t="shared" si="39"/>
        <v>0</v>
      </c>
      <c r="E262" s="192"/>
      <c r="F262" s="192"/>
      <c r="G262" s="193">
        <f t="shared" si="41"/>
        <v>0</v>
      </c>
      <c r="H262" s="193"/>
      <c r="I262" s="194"/>
      <c r="J262" s="158"/>
      <c r="K262" s="195">
        <f t="shared" si="40"/>
        <v>0</v>
      </c>
      <c r="L262" s="192"/>
      <c r="M262" s="192"/>
      <c r="N262" s="193">
        <f t="shared" si="42"/>
        <v>0</v>
      </c>
      <c r="O262" s="155">
        <f t="shared" si="43"/>
        <v>0</v>
      </c>
      <c r="P262" s="123"/>
    </row>
    <row r="263" spans="1:16" x14ac:dyDescent="0.25">
      <c r="A263" s="150">
        <v>47</v>
      </c>
      <c r="B263" s="150">
        <v>1815</v>
      </c>
      <c r="C263" s="151" t="s">
        <v>116</v>
      </c>
      <c r="D263" s="191">
        <f t="shared" si="39"/>
        <v>34796541.43999999</v>
      </c>
      <c r="E263" s="192"/>
      <c r="F263" s="192"/>
      <c r="G263" s="193">
        <f t="shared" si="41"/>
        <v>34796541.43999999</v>
      </c>
      <c r="H263" s="193"/>
      <c r="I263" s="194"/>
      <c r="J263" s="158"/>
      <c r="K263" s="195">
        <f t="shared" si="40"/>
        <v>-2564395.6813000003</v>
      </c>
      <c r="L263" s="192">
        <f>-301444.2772-55731.8722-108886.5916-270314.8403</f>
        <v>-736377.58129999996</v>
      </c>
      <c r="M263" s="192"/>
      <c r="N263" s="193">
        <f t="shared" si="42"/>
        <v>-3300773.2626</v>
      </c>
      <c r="O263" s="155">
        <f t="shared" si="43"/>
        <v>31495768.177399989</v>
      </c>
      <c r="P263" s="123"/>
    </row>
    <row r="264" spans="1:16" x14ac:dyDescent="0.25">
      <c r="A264" s="150">
        <v>47</v>
      </c>
      <c r="B264" s="150">
        <v>1820</v>
      </c>
      <c r="C264" s="151" t="s">
        <v>117</v>
      </c>
      <c r="D264" s="191">
        <f t="shared" si="39"/>
        <v>0</v>
      </c>
      <c r="E264" s="192">
        <v>9503060</v>
      </c>
      <c r="F264" s="192"/>
      <c r="G264" s="193">
        <f t="shared" si="41"/>
        <v>9503060</v>
      </c>
      <c r="H264" s="193"/>
      <c r="I264" s="194"/>
      <c r="J264" s="158"/>
      <c r="K264" s="195">
        <f t="shared" si="40"/>
        <v>0</v>
      </c>
      <c r="L264" s="192">
        <v>-113939.75</v>
      </c>
      <c r="M264" s="192"/>
      <c r="N264" s="193">
        <f t="shared" si="42"/>
        <v>-113939.75</v>
      </c>
      <c r="O264" s="155">
        <f t="shared" si="43"/>
        <v>9389120.25</v>
      </c>
      <c r="P264" s="123"/>
    </row>
    <row r="265" spans="1:16" hidden="1" x14ac:dyDescent="0.25">
      <c r="A265" s="150"/>
      <c r="B265" s="150">
        <v>1825</v>
      </c>
      <c r="C265" s="151" t="s">
        <v>118</v>
      </c>
      <c r="D265" s="191">
        <f t="shared" si="39"/>
        <v>0</v>
      </c>
      <c r="E265" s="192"/>
      <c r="F265" s="192"/>
      <c r="G265" s="193">
        <f t="shared" si="41"/>
        <v>0</v>
      </c>
      <c r="H265" s="193"/>
      <c r="I265" s="194"/>
      <c r="J265" s="158"/>
      <c r="K265" s="195">
        <f t="shared" si="40"/>
        <v>0</v>
      </c>
      <c r="L265" s="192"/>
      <c r="M265" s="192"/>
      <c r="N265" s="193">
        <f t="shared" si="42"/>
        <v>0</v>
      </c>
      <c r="O265" s="155">
        <f t="shared" si="43"/>
        <v>0</v>
      </c>
      <c r="P265" s="123"/>
    </row>
    <row r="266" spans="1:16" x14ac:dyDescent="0.25">
      <c r="A266" s="150">
        <v>47</v>
      </c>
      <c r="B266" s="150">
        <v>1830</v>
      </c>
      <c r="C266" s="151" t="s">
        <v>119</v>
      </c>
      <c r="D266" s="191">
        <f t="shared" si="39"/>
        <v>3648157.3421999998</v>
      </c>
      <c r="E266" s="192"/>
      <c r="F266" s="192"/>
      <c r="G266" s="193">
        <f t="shared" si="41"/>
        <v>3648157.3421999998</v>
      </c>
      <c r="H266" s="193"/>
      <c r="I266" s="194"/>
      <c r="J266" s="158"/>
      <c r="K266" s="195">
        <f t="shared" si="40"/>
        <v>-201060.20395250001</v>
      </c>
      <c r="L266" s="192">
        <v>-91150.186604999995</v>
      </c>
      <c r="M266" s="192"/>
      <c r="N266" s="193">
        <f t="shared" si="42"/>
        <v>-292210.39055750001</v>
      </c>
      <c r="O266" s="155">
        <f t="shared" si="43"/>
        <v>3355946.9516424998</v>
      </c>
      <c r="P266" s="123"/>
    </row>
    <row r="267" spans="1:16" x14ac:dyDescent="0.25">
      <c r="A267" s="150">
        <v>47</v>
      </c>
      <c r="B267" s="150">
        <v>1835</v>
      </c>
      <c r="C267" s="151" t="s">
        <v>120</v>
      </c>
      <c r="D267" s="191">
        <f t="shared" si="39"/>
        <v>2757940.8322000001</v>
      </c>
      <c r="E267" s="192"/>
      <c r="F267" s="192"/>
      <c r="G267" s="193">
        <f t="shared" si="41"/>
        <v>2757940.8322000001</v>
      </c>
      <c r="H267" s="193"/>
      <c r="I267" s="194"/>
      <c r="J267" s="158"/>
      <c r="K267" s="195">
        <f t="shared" si="40"/>
        <v>-131139.39623499999</v>
      </c>
      <c r="L267" s="192">
        <v>-62735.714670000001</v>
      </c>
      <c r="M267" s="192"/>
      <c r="N267" s="193">
        <f t="shared" si="42"/>
        <v>-193875.11090500001</v>
      </c>
      <c r="O267" s="155">
        <f t="shared" si="43"/>
        <v>2564065.7212950001</v>
      </c>
      <c r="P267" s="123"/>
    </row>
    <row r="268" spans="1:16" x14ac:dyDescent="0.25">
      <c r="A268" s="150">
        <v>47</v>
      </c>
      <c r="B268" s="150">
        <v>1840</v>
      </c>
      <c r="C268" s="151" t="s">
        <v>121</v>
      </c>
      <c r="D268" s="191">
        <f t="shared" si="39"/>
        <v>4439192.0580000002</v>
      </c>
      <c r="E268" s="192"/>
      <c r="F268" s="192"/>
      <c r="G268" s="193">
        <f t="shared" si="41"/>
        <v>4439192.0580000002</v>
      </c>
      <c r="H268" s="193"/>
      <c r="I268" s="194"/>
      <c r="J268" s="158"/>
      <c r="K268" s="195">
        <f t="shared" si="40"/>
        <v>-151514.65454999998</v>
      </c>
      <c r="L268" s="192">
        <v>-73951.491699999999</v>
      </c>
      <c r="M268" s="192"/>
      <c r="N268" s="193">
        <f t="shared" si="42"/>
        <v>-225466.14624999999</v>
      </c>
      <c r="O268" s="155">
        <f t="shared" si="43"/>
        <v>4213725.91175</v>
      </c>
      <c r="P268" s="123"/>
    </row>
    <row r="269" spans="1:16" x14ac:dyDescent="0.25">
      <c r="A269" s="150">
        <v>47</v>
      </c>
      <c r="B269" s="150">
        <v>1845</v>
      </c>
      <c r="C269" s="151" t="s">
        <v>122</v>
      </c>
      <c r="D269" s="191">
        <f t="shared" si="39"/>
        <v>3895737.8575999998</v>
      </c>
      <c r="E269" s="192"/>
      <c r="F269" s="192"/>
      <c r="G269" s="193">
        <f t="shared" si="41"/>
        <v>3895737.8575999998</v>
      </c>
      <c r="H269" s="193"/>
      <c r="I269" s="194"/>
      <c r="J269" s="158"/>
      <c r="K269" s="195">
        <f t="shared" si="40"/>
        <v>-294565.01841999998</v>
      </c>
      <c r="L269" s="192">
        <v>-107685.57814</v>
      </c>
      <c r="M269" s="192"/>
      <c r="N269" s="193">
        <f t="shared" si="42"/>
        <v>-402250.59655999998</v>
      </c>
      <c r="O269" s="155">
        <f t="shared" si="43"/>
        <v>3493487.2610399998</v>
      </c>
      <c r="P269" s="123"/>
    </row>
    <row r="270" spans="1:16" x14ac:dyDescent="0.25">
      <c r="A270" s="150">
        <v>47</v>
      </c>
      <c r="B270" s="150">
        <v>1850</v>
      </c>
      <c r="C270" s="151" t="s">
        <v>123</v>
      </c>
      <c r="D270" s="191">
        <f t="shared" si="39"/>
        <v>182782.04</v>
      </c>
      <c r="E270" s="192"/>
      <c r="F270" s="192"/>
      <c r="G270" s="193">
        <f t="shared" si="41"/>
        <v>182782.04</v>
      </c>
      <c r="H270" s="193"/>
      <c r="I270" s="194"/>
      <c r="J270" s="158"/>
      <c r="K270" s="195">
        <f t="shared" si="40"/>
        <v>-18162.3295</v>
      </c>
      <c r="L270" s="192">
        <v>-5571.1195000000007</v>
      </c>
      <c r="M270" s="192"/>
      <c r="N270" s="193">
        <f t="shared" si="42"/>
        <v>-23733.449000000001</v>
      </c>
      <c r="O270" s="155">
        <f t="shared" si="43"/>
        <v>159048.59100000001</v>
      </c>
      <c r="P270" s="123"/>
    </row>
    <row r="271" spans="1:16" x14ac:dyDescent="0.25">
      <c r="A271" s="150">
        <v>47</v>
      </c>
      <c r="B271" s="150">
        <v>1855</v>
      </c>
      <c r="C271" s="151" t="s">
        <v>124</v>
      </c>
      <c r="D271" s="191">
        <f t="shared" si="39"/>
        <v>6370.09</v>
      </c>
      <c r="E271" s="192"/>
      <c r="F271" s="192"/>
      <c r="G271" s="193">
        <f t="shared" si="41"/>
        <v>6370.09</v>
      </c>
      <c r="H271" s="193"/>
      <c r="I271" s="194"/>
      <c r="J271" s="158"/>
      <c r="K271" s="195">
        <f t="shared" si="40"/>
        <v>-319.15109999999999</v>
      </c>
      <c r="L271" s="192">
        <v>-127.3111</v>
      </c>
      <c r="M271" s="192"/>
      <c r="N271" s="193">
        <f t="shared" si="42"/>
        <v>-446.4622</v>
      </c>
      <c r="O271" s="155">
        <f t="shared" si="43"/>
        <v>5923.6278000000002</v>
      </c>
      <c r="P271" s="123"/>
    </row>
    <row r="272" spans="1:16" hidden="1" x14ac:dyDescent="0.25">
      <c r="A272" s="150"/>
      <c r="B272" s="150">
        <v>1860</v>
      </c>
      <c r="C272" s="151" t="s">
        <v>125</v>
      </c>
      <c r="D272" s="191">
        <f t="shared" si="39"/>
        <v>0</v>
      </c>
      <c r="E272" s="192"/>
      <c r="F272" s="192"/>
      <c r="G272" s="193">
        <f t="shared" si="41"/>
        <v>0</v>
      </c>
      <c r="H272" s="193"/>
      <c r="I272" s="194"/>
      <c r="J272" s="158"/>
      <c r="K272" s="195">
        <f t="shared" si="40"/>
        <v>0</v>
      </c>
      <c r="L272" s="192"/>
      <c r="M272" s="192"/>
      <c r="N272" s="193">
        <f t="shared" si="42"/>
        <v>0</v>
      </c>
      <c r="O272" s="155">
        <f t="shared" si="43"/>
        <v>0</v>
      </c>
      <c r="P272" s="123"/>
    </row>
    <row r="273" spans="1:16" hidden="1" x14ac:dyDescent="0.25">
      <c r="A273" s="150"/>
      <c r="B273" s="150">
        <v>1860</v>
      </c>
      <c r="C273" s="151" t="s">
        <v>126</v>
      </c>
      <c r="D273" s="191">
        <f t="shared" si="39"/>
        <v>0</v>
      </c>
      <c r="E273" s="192"/>
      <c r="F273" s="192"/>
      <c r="G273" s="193">
        <f t="shared" si="41"/>
        <v>0</v>
      </c>
      <c r="H273" s="193"/>
      <c r="I273" s="194"/>
      <c r="J273" s="158"/>
      <c r="K273" s="195">
        <f t="shared" si="40"/>
        <v>0</v>
      </c>
      <c r="L273" s="192"/>
      <c r="M273" s="192"/>
      <c r="N273" s="193">
        <f t="shared" si="42"/>
        <v>0</v>
      </c>
      <c r="O273" s="155">
        <f t="shared" si="43"/>
        <v>0</v>
      </c>
      <c r="P273" s="123"/>
    </row>
    <row r="274" spans="1:16" hidden="1" x14ac:dyDescent="0.25">
      <c r="A274" s="150"/>
      <c r="B274" s="150">
        <v>1865</v>
      </c>
      <c r="C274" s="151" t="s">
        <v>127</v>
      </c>
      <c r="D274" s="191">
        <f t="shared" si="39"/>
        <v>0</v>
      </c>
      <c r="E274" s="192"/>
      <c r="F274" s="192"/>
      <c r="G274" s="193">
        <f t="shared" si="41"/>
        <v>0</v>
      </c>
      <c r="H274" s="193"/>
      <c r="I274" s="194"/>
      <c r="J274" s="158"/>
      <c r="K274" s="195">
        <f t="shared" si="40"/>
        <v>0</v>
      </c>
      <c r="L274" s="192"/>
      <c r="M274" s="192"/>
      <c r="N274" s="193">
        <f t="shared" si="42"/>
        <v>0</v>
      </c>
      <c r="O274" s="155">
        <f t="shared" si="43"/>
        <v>0</v>
      </c>
      <c r="P274" s="123"/>
    </row>
    <row r="275" spans="1:16" hidden="1" x14ac:dyDescent="0.25">
      <c r="A275" s="150"/>
      <c r="B275" s="150">
        <v>1905</v>
      </c>
      <c r="C275" s="151" t="s">
        <v>113</v>
      </c>
      <c r="D275" s="191">
        <f t="shared" si="39"/>
        <v>0</v>
      </c>
      <c r="E275" s="192"/>
      <c r="F275" s="192"/>
      <c r="G275" s="193">
        <f t="shared" si="41"/>
        <v>0</v>
      </c>
      <c r="H275" s="193"/>
      <c r="I275" s="194"/>
      <c r="J275" s="158"/>
      <c r="K275" s="195">
        <f t="shared" si="40"/>
        <v>0</v>
      </c>
      <c r="L275" s="192"/>
      <c r="M275" s="192"/>
      <c r="N275" s="193">
        <f t="shared" si="42"/>
        <v>0</v>
      </c>
      <c r="O275" s="155">
        <f t="shared" si="43"/>
        <v>0</v>
      </c>
      <c r="P275" s="123"/>
    </row>
    <row r="276" spans="1:16" hidden="1" x14ac:dyDescent="0.25">
      <c r="A276" s="150"/>
      <c r="B276" s="150">
        <v>1908</v>
      </c>
      <c r="C276" s="151" t="s">
        <v>128</v>
      </c>
      <c r="D276" s="191">
        <f t="shared" si="39"/>
        <v>0</v>
      </c>
      <c r="E276" s="192"/>
      <c r="F276" s="192"/>
      <c r="G276" s="193">
        <f t="shared" si="41"/>
        <v>0</v>
      </c>
      <c r="H276" s="193"/>
      <c r="I276" s="194"/>
      <c r="J276" s="158"/>
      <c r="K276" s="195">
        <f t="shared" si="40"/>
        <v>0</v>
      </c>
      <c r="L276" s="192"/>
      <c r="M276" s="192"/>
      <c r="N276" s="193">
        <f t="shared" si="42"/>
        <v>0</v>
      </c>
      <c r="O276" s="155">
        <f t="shared" si="43"/>
        <v>0</v>
      </c>
      <c r="P276" s="123"/>
    </row>
    <row r="277" spans="1:16" hidden="1" x14ac:dyDescent="0.25">
      <c r="A277" s="150"/>
      <c r="B277" s="150">
        <v>1910</v>
      </c>
      <c r="C277" s="151" t="s">
        <v>115</v>
      </c>
      <c r="D277" s="191">
        <f t="shared" si="39"/>
        <v>0</v>
      </c>
      <c r="E277" s="192"/>
      <c r="F277" s="192"/>
      <c r="G277" s="193">
        <f t="shared" si="41"/>
        <v>0</v>
      </c>
      <c r="H277" s="193"/>
      <c r="I277" s="194"/>
      <c r="J277" s="158"/>
      <c r="K277" s="195">
        <f t="shared" si="40"/>
        <v>0</v>
      </c>
      <c r="L277" s="192"/>
      <c r="M277" s="192"/>
      <c r="N277" s="193">
        <f t="shared" si="42"/>
        <v>0</v>
      </c>
      <c r="O277" s="155">
        <f t="shared" si="43"/>
        <v>0</v>
      </c>
      <c r="P277" s="123"/>
    </row>
    <row r="278" spans="1:16" hidden="1" x14ac:dyDescent="0.25">
      <c r="A278" s="150"/>
      <c r="B278" s="150">
        <v>1915</v>
      </c>
      <c r="C278" s="151" t="s">
        <v>129</v>
      </c>
      <c r="D278" s="191">
        <f t="shared" si="39"/>
        <v>0</v>
      </c>
      <c r="E278" s="192"/>
      <c r="F278" s="192"/>
      <c r="G278" s="193">
        <f t="shared" si="41"/>
        <v>0</v>
      </c>
      <c r="H278" s="193"/>
      <c r="I278" s="194"/>
      <c r="J278" s="158"/>
      <c r="K278" s="195">
        <f t="shared" si="40"/>
        <v>0</v>
      </c>
      <c r="L278" s="192"/>
      <c r="M278" s="192"/>
      <c r="N278" s="193">
        <f t="shared" si="42"/>
        <v>0</v>
      </c>
      <c r="O278" s="155">
        <f t="shared" si="43"/>
        <v>0</v>
      </c>
      <c r="P278" s="123"/>
    </row>
    <row r="279" spans="1:16" hidden="1" x14ac:dyDescent="0.25">
      <c r="A279" s="150"/>
      <c r="B279" s="150">
        <v>1915</v>
      </c>
      <c r="C279" s="151" t="s">
        <v>130</v>
      </c>
      <c r="D279" s="191">
        <f t="shared" si="39"/>
        <v>0</v>
      </c>
      <c r="E279" s="192"/>
      <c r="F279" s="192"/>
      <c r="G279" s="193">
        <f t="shared" si="41"/>
        <v>0</v>
      </c>
      <c r="H279" s="193"/>
      <c r="I279" s="194"/>
      <c r="J279" s="158"/>
      <c r="K279" s="195">
        <f t="shared" si="40"/>
        <v>0</v>
      </c>
      <c r="L279" s="192"/>
      <c r="M279" s="192"/>
      <c r="N279" s="193">
        <f t="shared" si="42"/>
        <v>0</v>
      </c>
      <c r="O279" s="155">
        <f t="shared" si="43"/>
        <v>0</v>
      </c>
      <c r="P279" s="123"/>
    </row>
    <row r="280" spans="1:16" x14ac:dyDescent="0.25">
      <c r="A280" s="150">
        <v>50</v>
      </c>
      <c r="B280" s="150">
        <v>1920</v>
      </c>
      <c r="C280" s="151" t="s">
        <v>131</v>
      </c>
      <c r="D280" s="191">
        <f t="shared" si="39"/>
        <v>2483303.7099999995</v>
      </c>
      <c r="E280" s="192"/>
      <c r="F280" s="192"/>
      <c r="G280" s="193">
        <f t="shared" si="41"/>
        <v>2483303.7099999995</v>
      </c>
      <c r="H280" s="193"/>
      <c r="I280" s="194"/>
      <c r="J280" s="158"/>
      <c r="K280" s="195">
        <f t="shared" si="40"/>
        <v>-747683.76870000002</v>
      </c>
      <c r="L280" s="192">
        <v>-496388.16870000004</v>
      </c>
      <c r="M280" s="192"/>
      <c r="N280" s="193">
        <f t="shared" si="42"/>
        <v>-1244071.9374000002</v>
      </c>
      <c r="O280" s="155">
        <f t="shared" si="43"/>
        <v>1239231.7725999993</v>
      </c>
      <c r="P280" s="123"/>
    </row>
    <row r="281" spans="1:16" hidden="1" x14ac:dyDescent="0.25">
      <c r="A281" s="150"/>
      <c r="B281" s="150">
        <v>1920</v>
      </c>
      <c r="C281" s="151" t="s">
        <v>132</v>
      </c>
      <c r="D281" s="191">
        <f t="shared" si="39"/>
        <v>0</v>
      </c>
      <c r="E281" s="192"/>
      <c r="F281" s="192"/>
      <c r="G281" s="193">
        <f t="shared" si="41"/>
        <v>0</v>
      </c>
      <c r="H281" s="193"/>
      <c r="I281" s="194"/>
      <c r="J281" s="158"/>
      <c r="K281" s="195">
        <f t="shared" si="40"/>
        <v>0</v>
      </c>
      <c r="L281" s="192"/>
      <c r="M281" s="192"/>
      <c r="N281" s="193">
        <f t="shared" si="42"/>
        <v>0</v>
      </c>
      <c r="O281" s="155">
        <f t="shared" si="43"/>
        <v>0</v>
      </c>
      <c r="P281" s="123"/>
    </row>
    <row r="282" spans="1:16" hidden="1" x14ac:dyDescent="0.25">
      <c r="A282" s="150"/>
      <c r="B282" s="150">
        <v>1920</v>
      </c>
      <c r="C282" s="151" t="s">
        <v>133</v>
      </c>
      <c r="D282" s="191">
        <f t="shared" si="39"/>
        <v>0</v>
      </c>
      <c r="E282" s="192"/>
      <c r="F282" s="192"/>
      <c r="G282" s="193">
        <f t="shared" si="41"/>
        <v>0</v>
      </c>
      <c r="H282" s="193"/>
      <c r="I282" s="194"/>
      <c r="J282" s="158"/>
      <c r="K282" s="195">
        <f t="shared" si="40"/>
        <v>0</v>
      </c>
      <c r="L282" s="192"/>
      <c r="M282" s="192"/>
      <c r="N282" s="193">
        <f t="shared" si="42"/>
        <v>0</v>
      </c>
      <c r="O282" s="155">
        <f t="shared" si="43"/>
        <v>0</v>
      </c>
      <c r="P282" s="123"/>
    </row>
    <row r="283" spans="1:16" hidden="1" x14ac:dyDescent="0.25">
      <c r="A283" s="150"/>
      <c r="B283" s="150">
        <v>1930</v>
      </c>
      <c r="C283" s="151" t="s">
        <v>134</v>
      </c>
      <c r="D283" s="191">
        <f t="shared" si="39"/>
        <v>0</v>
      </c>
      <c r="E283" s="192"/>
      <c r="F283" s="192"/>
      <c r="G283" s="193">
        <f t="shared" si="41"/>
        <v>0</v>
      </c>
      <c r="H283" s="193"/>
      <c r="I283" s="194"/>
      <c r="J283" s="158"/>
      <c r="K283" s="195">
        <f t="shared" si="40"/>
        <v>0</v>
      </c>
      <c r="L283" s="192"/>
      <c r="M283" s="192"/>
      <c r="N283" s="193">
        <f t="shared" si="42"/>
        <v>0</v>
      </c>
      <c r="O283" s="155">
        <f t="shared" si="43"/>
        <v>0</v>
      </c>
      <c r="P283" s="123"/>
    </row>
    <row r="284" spans="1:16" hidden="1" x14ac:dyDescent="0.25">
      <c r="A284" s="150"/>
      <c r="B284" s="150">
        <v>1935</v>
      </c>
      <c r="C284" s="151" t="s">
        <v>135</v>
      </c>
      <c r="D284" s="191">
        <f t="shared" si="39"/>
        <v>0</v>
      </c>
      <c r="E284" s="192"/>
      <c r="F284" s="192"/>
      <c r="G284" s="193">
        <f t="shared" si="41"/>
        <v>0</v>
      </c>
      <c r="H284" s="193"/>
      <c r="I284" s="194"/>
      <c r="J284" s="158"/>
      <c r="K284" s="195">
        <f t="shared" si="40"/>
        <v>0</v>
      </c>
      <c r="L284" s="192"/>
      <c r="M284" s="192"/>
      <c r="N284" s="193">
        <f t="shared" si="42"/>
        <v>0</v>
      </c>
      <c r="O284" s="155">
        <f t="shared" si="43"/>
        <v>0</v>
      </c>
      <c r="P284" s="123"/>
    </row>
    <row r="285" spans="1:16" hidden="1" x14ac:dyDescent="0.25">
      <c r="A285" s="150"/>
      <c r="B285" s="150">
        <v>1940</v>
      </c>
      <c r="C285" s="151" t="s">
        <v>136</v>
      </c>
      <c r="D285" s="191">
        <f t="shared" si="39"/>
        <v>0</v>
      </c>
      <c r="E285" s="192"/>
      <c r="F285" s="192"/>
      <c r="G285" s="193">
        <f t="shared" si="41"/>
        <v>0</v>
      </c>
      <c r="H285" s="193"/>
      <c r="I285" s="194"/>
      <c r="J285" s="158"/>
      <c r="K285" s="195">
        <f t="shared" si="40"/>
        <v>0</v>
      </c>
      <c r="L285" s="192"/>
      <c r="M285" s="192"/>
      <c r="N285" s="193">
        <f t="shared" si="42"/>
        <v>0</v>
      </c>
      <c r="O285" s="155">
        <f t="shared" si="43"/>
        <v>0</v>
      </c>
      <c r="P285" s="123"/>
    </row>
    <row r="286" spans="1:16" hidden="1" x14ac:dyDescent="0.25">
      <c r="A286" s="150"/>
      <c r="B286" s="150">
        <v>1945</v>
      </c>
      <c r="C286" s="151" t="s">
        <v>137</v>
      </c>
      <c r="D286" s="191">
        <f t="shared" si="39"/>
        <v>0</v>
      </c>
      <c r="E286" s="192"/>
      <c r="F286" s="192"/>
      <c r="G286" s="193">
        <f t="shared" si="41"/>
        <v>0</v>
      </c>
      <c r="H286" s="193"/>
      <c r="I286" s="194"/>
      <c r="J286" s="158"/>
      <c r="K286" s="195">
        <f t="shared" si="40"/>
        <v>0</v>
      </c>
      <c r="L286" s="192"/>
      <c r="M286" s="192"/>
      <c r="N286" s="193">
        <f t="shared" si="42"/>
        <v>0</v>
      </c>
      <c r="O286" s="155">
        <f t="shared" si="43"/>
        <v>0</v>
      </c>
      <c r="P286" s="123"/>
    </row>
    <row r="287" spans="1:16" hidden="1" x14ac:dyDescent="0.25">
      <c r="A287" s="150"/>
      <c r="B287" s="150">
        <v>1950</v>
      </c>
      <c r="C287" s="151" t="s">
        <v>138</v>
      </c>
      <c r="D287" s="191">
        <f t="shared" si="39"/>
        <v>0</v>
      </c>
      <c r="E287" s="192"/>
      <c r="F287" s="192"/>
      <c r="G287" s="193">
        <f t="shared" si="41"/>
        <v>0</v>
      </c>
      <c r="H287" s="193"/>
      <c r="I287" s="194"/>
      <c r="J287" s="158"/>
      <c r="K287" s="195">
        <f t="shared" si="40"/>
        <v>0</v>
      </c>
      <c r="L287" s="192"/>
      <c r="M287" s="192"/>
      <c r="N287" s="193">
        <f t="shared" si="42"/>
        <v>0</v>
      </c>
      <c r="O287" s="155">
        <f t="shared" si="43"/>
        <v>0</v>
      </c>
      <c r="P287" s="123"/>
    </row>
    <row r="288" spans="1:16" hidden="1" x14ac:dyDescent="0.25">
      <c r="A288" s="150"/>
      <c r="B288" s="150">
        <v>1955</v>
      </c>
      <c r="C288" s="151" t="s">
        <v>139</v>
      </c>
      <c r="D288" s="191">
        <f t="shared" si="39"/>
        <v>0</v>
      </c>
      <c r="E288" s="192"/>
      <c r="F288" s="192"/>
      <c r="G288" s="193">
        <f t="shared" si="41"/>
        <v>0</v>
      </c>
      <c r="H288" s="193"/>
      <c r="I288" s="194"/>
      <c r="J288" s="158"/>
      <c r="K288" s="195">
        <f t="shared" si="40"/>
        <v>0</v>
      </c>
      <c r="L288" s="192"/>
      <c r="M288" s="192"/>
      <c r="N288" s="193">
        <f t="shared" si="42"/>
        <v>0</v>
      </c>
      <c r="O288" s="155">
        <f t="shared" si="43"/>
        <v>0</v>
      </c>
      <c r="P288" s="123"/>
    </row>
    <row r="289" spans="1:16" hidden="1" x14ac:dyDescent="0.25">
      <c r="A289" s="150"/>
      <c r="B289" s="150">
        <v>1955</v>
      </c>
      <c r="C289" s="151" t="s">
        <v>140</v>
      </c>
      <c r="D289" s="191">
        <f t="shared" si="39"/>
        <v>0</v>
      </c>
      <c r="E289" s="192"/>
      <c r="F289" s="192"/>
      <c r="G289" s="193">
        <f t="shared" si="41"/>
        <v>0</v>
      </c>
      <c r="H289" s="193"/>
      <c r="I289" s="194"/>
      <c r="J289" s="158"/>
      <c r="K289" s="195">
        <f t="shared" si="40"/>
        <v>0</v>
      </c>
      <c r="L289" s="192"/>
      <c r="M289" s="192"/>
      <c r="N289" s="193">
        <f t="shared" si="42"/>
        <v>0</v>
      </c>
      <c r="O289" s="155">
        <f t="shared" si="43"/>
        <v>0</v>
      </c>
      <c r="P289" s="123"/>
    </row>
    <row r="290" spans="1:16" hidden="1" x14ac:dyDescent="0.25">
      <c r="A290" s="150"/>
      <c r="B290" s="150">
        <v>1960</v>
      </c>
      <c r="C290" s="151" t="s">
        <v>141</v>
      </c>
      <c r="D290" s="191">
        <f t="shared" si="39"/>
        <v>0</v>
      </c>
      <c r="E290" s="192"/>
      <c r="F290" s="192"/>
      <c r="G290" s="193">
        <f t="shared" si="41"/>
        <v>0</v>
      </c>
      <c r="H290" s="193"/>
      <c r="I290" s="194"/>
      <c r="J290" s="158"/>
      <c r="K290" s="195">
        <f t="shared" si="40"/>
        <v>0</v>
      </c>
      <c r="L290" s="192"/>
      <c r="M290" s="192"/>
      <c r="N290" s="193">
        <f t="shared" si="42"/>
        <v>0</v>
      </c>
      <c r="O290" s="155">
        <f t="shared" si="43"/>
        <v>0</v>
      </c>
      <c r="P290" s="123"/>
    </row>
    <row r="291" spans="1:16" hidden="1" x14ac:dyDescent="0.25">
      <c r="A291" s="150"/>
      <c r="B291" s="150">
        <v>1970</v>
      </c>
      <c r="C291" s="151" t="s">
        <v>142</v>
      </c>
      <c r="D291" s="191">
        <f t="shared" si="39"/>
        <v>0</v>
      </c>
      <c r="E291" s="192"/>
      <c r="F291" s="192"/>
      <c r="G291" s="193">
        <f t="shared" si="41"/>
        <v>0</v>
      </c>
      <c r="H291" s="193"/>
      <c r="I291" s="194"/>
      <c r="J291" s="158"/>
      <c r="K291" s="195">
        <f t="shared" si="40"/>
        <v>0</v>
      </c>
      <c r="L291" s="192"/>
      <c r="M291" s="192"/>
      <c r="N291" s="193">
        <f t="shared" si="42"/>
        <v>0</v>
      </c>
      <c r="O291" s="155">
        <f t="shared" si="43"/>
        <v>0</v>
      </c>
      <c r="P291" s="123"/>
    </row>
    <row r="292" spans="1:16" hidden="1" x14ac:dyDescent="0.25">
      <c r="A292" s="150"/>
      <c r="B292" s="150">
        <v>1975</v>
      </c>
      <c r="C292" s="151" t="s">
        <v>143</v>
      </c>
      <c r="D292" s="191">
        <f t="shared" si="39"/>
        <v>0</v>
      </c>
      <c r="E292" s="192"/>
      <c r="F292" s="192"/>
      <c r="G292" s="193">
        <f t="shared" si="41"/>
        <v>0</v>
      </c>
      <c r="H292" s="193"/>
      <c r="I292" s="194"/>
      <c r="J292" s="158"/>
      <c r="K292" s="195">
        <f t="shared" si="40"/>
        <v>0</v>
      </c>
      <c r="L292" s="192"/>
      <c r="M292" s="192"/>
      <c r="N292" s="193">
        <f t="shared" si="42"/>
        <v>0</v>
      </c>
      <c r="O292" s="155">
        <f t="shared" si="43"/>
        <v>0</v>
      </c>
      <c r="P292" s="123"/>
    </row>
    <row r="293" spans="1:16" x14ac:dyDescent="0.25">
      <c r="A293" s="150">
        <v>8</v>
      </c>
      <c r="B293" s="150">
        <v>1980</v>
      </c>
      <c r="C293" s="151" t="s">
        <v>144</v>
      </c>
      <c r="D293" s="191">
        <f t="shared" si="39"/>
        <v>89392.930000000008</v>
      </c>
      <c r="E293" s="192">
        <v>193940</v>
      </c>
      <c r="F293" s="192"/>
      <c r="G293" s="193">
        <f t="shared" si="41"/>
        <v>283332.93</v>
      </c>
      <c r="H293" s="193"/>
      <c r="I293" s="194"/>
      <c r="J293" s="158"/>
      <c r="K293" s="195">
        <f t="shared" si="40"/>
        <v>-20112.897300000001</v>
      </c>
      <c r="L293" s="192">
        <v>-12403.893966666667</v>
      </c>
      <c r="M293" s="192"/>
      <c r="N293" s="193">
        <f t="shared" si="42"/>
        <v>-32516.791266666667</v>
      </c>
      <c r="O293" s="155">
        <f t="shared" si="43"/>
        <v>250816.13873333333</v>
      </c>
      <c r="P293" s="123"/>
    </row>
    <row r="294" spans="1:16" hidden="1" x14ac:dyDescent="0.25">
      <c r="A294" s="150"/>
      <c r="B294" s="150">
        <v>1985</v>
      </c>
      <c r="C294" s="151" t="s">
        <v>145</v>
      </c>
      <c r="D294" s="191">
        <f t="shared" si="39"/>
        <v>0</v>
      </c>
      <c r="E294" s="192"/>
      <c r="F294" s="192"/>
      <c r="G294" s="193">
        <f t="shared" si="41"/>
        <v>0</v>
      </c>
      <c r="H294" s="193"/>
      <c r="I294" s="194"/>
      <c r="J294" s="158"/>
      <c r="K294" s="195">
        <f t="shared" si="40"/>
        <v>0</v>
      </c>
      <c r="L294" s="192"/>
      <c r="M294" s="192"/>
      <c r="N294" s="193">
        <f t="shared" si="42"/>
        <v>0</v>
      </c>
      <c r="O294" s="155">
        <f t="shared" si="43"/>
        <v>0</v>
      </c>
      <c r="P294" s="123"/>
    </row>
    <row r="295" spans="1:16" hidden="1" x14ac:dyDescent="0.25">
      <c r="A295" s="150"/>
      <c r="B295" s="150">
        <v>1990</v>
      </c>
      <c r="C295" s="159" t="s">
        <v>146</v>
      </c>
      <c r="D295" s="191">
        <f t="shared" si="39"/>
        <v>0</v>
      </c>
      <c r="E295" s="192"/>
      <c r="F295" s="192"/>
      <c r="G295" s="193">
        <f t="shared" si="41"/>
        <v>0</v>
      </c>
      <c r="H295" s="193"/>
      <c r="I295" s="194"/>
      <c r="J295" s="158"/>
      <c r="K295" s="195">
        <f t="shared" si="40"/>
        <v>0</v>
      </c>
      <c r="L295" s="192"/>
      <c r="M295" s="192"/>
      <c r="N295" s="193">
        <f t="shared" si="42"/>
        <v>0</v>
      </c>
      <c r="O295" s="155">
        <f t="shared" si="43"/>
        <v>0</v>
      </c>
      <c r="P295" s="123"/>
    </row>
    <row r="296" spans="1:16" hidden="1" x14ac:dyDescent="0.25">
      <c r="A296" s="150"/>
      <c r="B296" s="150">
        <v>1995</v>
      </c>
      <c r="C296" s="151" t="s">
        <v>147</v>
      </c>
      <c r="D296" s="191">
        <f t="shared" si="39"/>
        <v>0</v>
      </c>
      <c r="E296" s="192"/>
      <c r="F296" s="192"/>
      <c r="G296" s="193">
        <f t="shared" si="41"/>
        <v>0</v>
      </c>
      <c r="H296" s="193"/>
      <c r="I296" s="194"/>
      <c r="J296" s="158"/>
      <c r="K296" s="195">
        <f t="shared" si="40"/>
        <v>0</v>
      </c>
      <c r="L296" s="192"/>
      <c r="M296" s="192"/>
      <c r="N296" s="193">
        <f t="shared" si="42"/>
        <v>0</v>
      </c>
      <c r="O296" s="155">
        <f t="shared" si="43"/>
        <v>0</v>
      </c>
      <c r="P296" s="123"/>
    </row>
    <row r="297" spans="1:16" hidden="1" x14ac:dyDescent="0.25">
      <c r="A297" s="150"/>
      <c r="B297" s="150">
        <v>2075</v>
      </c>
      <c r="C297" s="151" t="s">
        <v>148</v>
      </c>
      <c r="D297" s="191">
        <f t="shared" si="39"/>
        <v>0</v>
      </c>
      <c r="E297" s="192"/>
      <c r="F297" s="192"/>
      <c r="G297" s="193">
        <f t="shared" si="41"/>
        <v>0</v>
      </c>
      <c r="H297" s="193"/>
      <c r="I297" s="194"/>
      <c r="J297" s="123"/>
      <c r="K297" s="191">
        <f t="shared" si="40"/>
        <v>0</v>
      </c>
      <c r="L297" s="192"/>
      <c r="M297" s="192"/>
      <c r="N297" s="193">
        <f t="shared" si="42"/>
        <v>0</v>
      </c>
      <c r="O297" s="155">
        <f t="shared" si="43"/>
        <v>0</v>
      </c>
      <c r="P297" s="123"/>
    </row>
    <row r="298" spans="1:16" x14ac:dyDescent="0.25">
      <c r="A298" s="150">
        <v>47</v>
      </c>
      <c r="B298" s="150">
        <v>2440</v>
      </c>
      <c r="C298" s="151" t="s">
        <v>149</v>
      </c>
      <c r="D298" s="191">
        <f t="shared" si="39"/>
        <v>-5512836.6200000001</v>
      </c>
      <c r="E298" s="192">
        <v>-371150.16000000003</v>
      </c>
      <c r="F298" s="192"/>
      <c r="G298" s="193">
        <f t="shared" si="41"/>
        <v>-5883986.7800000003</v>
      </c>
      <c r="H298" s="193"/>
      <c r="I298" s="194"/>
      <c r="J298" s="123"/>
      <c r="K298" s="191">
        <f t="shared" si="40"/>
        <v>895869.3578</v>
      </c>
      <c r="L298" s="192">
        <v>594250.36399999994</v>
      </c>
      <c r="M298" s="192"/>
      <c r="N298" s="193">
        <f t="shared" si="42"/>
        <v>1490119.7217999999</v>
      </c>
      <c r="O298" s="155">
        <f t="shared" si="43"/>
        <v>-4393867.0581999999</v>
      </c>
      <c r="P298" s="123"/>
    </row>
    <row r="299" spans="1:16" hidden="1" x14ac:dyDescent="0.25">
      <c r="A299" s="150"/>
      <c r="B299" s="150">
        <v>2005</v>
      </c>
      <c r="C299" s="151" t="s">
        <v>150</v>
      </c>
      <c r="D299" s="191">
        <f t="shared" si="39"/>
        <v>0</v>
      </c>
      <c r="E299" s="192"/>
      <c r="F299" s="192"/>
      <c r="G299" s="193">
        <f t="shared" si="41"/>
        <v>0</v>
      </c>
      <c r="H299" s="193"/>
      <c r="I299" s="194"/>
      <c r="J299" s="123"/>
      <c r="K299" s="191">
        <f t="shared" si="40"/>
        <v>0</v>
      </c>
      <c r="L299" s="192"/>
      <c r="M299" s="192"/>
      <c r="N299" s="193">
        <f t="shared" si="42"/>
        <v>0</v>
      </c>
      <c r="O299" s="155">
        <f t="shared" si="43"/>
        <v>0</v>
      </c>
      <c r="P299" s="123"/>
    </row>
    <row r="300" spans="1:16" x14ac:dyDescent="0.25">
      <c r="A300" s="160"/>
      <c r="B300" s="160"/>
      <c r="C300" s="164" t="s">
        <v>20</v>
      </c>
      <c r="D300" s="165">
        <f>SUM(D256:D299)</f>
        <v>58182287.809999987</v>
      </c>
      <c r="E300" s="165">
        <f>SUM(E256:E299)</f>
        <v>26462161.486089997</v>
      </c>
      <c r="F300" s="165">
        <f>SUM(F256:F299)</f>
        <v>0</v>
      </c>
      <c r="G300" s="165">
        <f>SUM(G256:G299)</f>
        <v>84644449.296090007</v>
      </c>
      <c r="H300" s="165"/>
      <c r="I300" s="196"/>
      <c r="J300" s="167"/>
      <c r="K300" s="165">
        <f>SUM(K256:K299)</f>
        <v>-3953865.4084575013</v>
      </c>
      <c r="L300" s="165">
        <f>SUM(L256:L299)</f>
        <v>-2386094.2478034669</v>
      </c>
      <c r="M300" s="165">
        <f>SUM(M256:M299)</f>
        <v>0</v>
      </c>
      <c r="N300" s="165">
        <f>SUM(N256:N299)</f>
        <v>-6339959.6562609673</v>
      </c>
      <c r="O300" s="165">
        <f>SUM(O256:O299)</f>
        <v>78304489.63982901</v>
      </c>
      <c r="P300" s="123"/>
    </row>
    <row r="301" spans="1:16" ht="25.5" x14ac:dyDescent="0.25">
      <c r="A301" s="160"/>
      <c r="B301" s="160"/>
      <c r="C301" s="168" t="s">
        <v>151</v>
      </c>
      <c r="D301" s="178">
        <f>G241</f>
        <v>0</v>
      </c>
      <c r="E301" s="162"/>
      <c r="F301" s="162"/>
      <c r="G301" s="193">
        <f>D301+E301+F301</f>
        <v>0</v>
      </c>
      <c r="H301" s="193"/>
      <c r="I301" s="194"/>
      <c r="J301" s="123"/>
      <c r="K301" s="178">
        <f>N241</f>
        <v>0</v>
      </c>
      <c r="L301" s="178"/>
      <c r="M301" s="162"/>
      <c r="N301" s="193">
        <f>K301+L301+M301</f>
        <v>0</v>
      </c>
      <c r="O301" s="155">
        <f>G301+N301</f>
        <v>0</v>
      </c>
      <c r="P301" s="123"/>
    </row>
    <row r="302" spans="1:16" ht="24.75" x14ac:dyDescent="0.25">
      <c r="A302" s="160"/>
      <c r="B302" s="160"/>
      <c r="C302" s="169" t="s">
        <v>152</v>
      </c>
      <c r="D302" s="178">
        <f>G242</f>
        <v>0</v>
      </c>
      <c r="E302" s="178">
        <f>-E297</f>
        <v>0</v>
      </c>
      <c r="F302" s="178">
        <f>-F297</f>
        <v>0</v>
      </c>
      <c r="G302" s="193">
        <f>D302+E302+F302</f>
        <v>0</v>
      </c>
      <c r="H302" s="193"/>
      <c r="I302" s="194"/>
      <c r="J302" s="123"/>
      <c r="K302" s="178">
        <f>N242</f>
        <v>0</v>
      </c>
      <c r="L302" s="178">
        <f>-L297</f>
        <v>0</v>
      </c>
      <c r="M302" s="178">
        <f>-M297</f>
        <v>0</v>
      </c>
      <c r="N302" s="193">
        <f>K302+L302+M302</f>
        <v>0</v>
      </c>
      <c r="O302" s="155">
        <f>G302+N302</f>
        <v>0</v>
      </c>
      <c r="P302" s="123"/>
    </row>
    <row r="303" spans="1:16" x14ac:dyDescent="0.25">
      <c r="A303" s="160"/>
      <c r="B303" s="160"/>
      <c r="C303" s="164" t="s">
        <v>153</v>
      </c>
      <c r="D303" s="165">
        <f>SUM(D300:D302)</f>
        <v>58182287.809999987</v>
      </c>
      <c r="E303" s="165">
        <f>SUM(E300:E302)</f>
        <v>26462161.486089997</v>
      </c>
      <c r="F303" s="165">
        <f>SUM(F300:F302)</f>
        <v>0</v>
      </c>
      <c r="G303" s="165">
        <f>SUM(G300:G302)</f>
        <v>84644449.296090007</v>
      </c>
      <c r="H303" s="165"/>
      <c r="I303" s="194"/>
      <c r="J303" s="167"/>
      <c r="K303" s="165">
        <f>SUM(K300:K302)</f>
        <v>-3953865.4084575013</v>
      </c>
      <c r="L303" s="165">
        <f>SUM(L300:L302)</f>
        <v>-2386094.2478034669</v>
      </c>
      <c r="M303" s="165">
        <f>SUM(M300:M302)</f>
        <v>0</v>
      </c>
      <c r="N303" s="165">
        <f>SUM(N300:N302)</f>
        <v>-6339959.6562609673</v>
      </c>
      <c r="O303" s="165">
        <f>SUM(O300:O302)</f>
        <v>78304489.63982901</v>
      </c>
      <c r="P303" s="123"/>
    </row>
    <row r="304" spans="1:16" x14ac:dyDescent="0.25">
      <c r="A304" s="160"/>
      <c r="B304" s="160"/>
      <c r="C304" s="170" t="s">
        <v>154</v>
      </c>
      <c r="D304" s="192">
        <f>G244</f>
        <v>0</v>
      </c>
      <c r="E304" s="192"/>
      <c r="F304" s="192"/>
      <c r="G304" s="193">
        <f t="shared" ref="G304" si="44">D304+E304+F304</f>
        <v>0</v>
      </c>
      <c r="H304" s="193"/>
      <c r="I304" s="194"/>
      <c r="J304" s="158"/>
      <c r="K304" s="123"/>
      <c r="L304" s="123"/>
      <c r="M304" s="123"/>
      <c r="N304" s="193">
        <f t="shared" ref="N304" si="45">K304+L304+M304</f>
        <v>0</v>
      </c>
      <c r="O304" s="155">
        <f>G304+N304</f>
        <v>0</v>
      </c>
      <c r="P304" s="123"/>
    </row>
    <row r="305" spans="1:16" x14ac:dyDescent="0.25">
      <c r="A305" s="160"/>
      <c r="B305" s="160"/>
      <c r="C305" s="170" t="s">
        <v>155</v>
      </c>
      <c r="D305" s="165">
        <f>SUM(D303:D304)</f>
        <v>58182287.809999987</v>
      </c>
      <c r="E305" s="165">
        <f t="shared" ref="E305:G305" si="46">SUM(E303:E304)</f>
        <v>26462161.486089997</v>
      </c>
      <c r="F305" s="165">
        <f t="shared" si="46"/>
        <v>0</v>
      </c>
      <c r="G305" s="165">
        <f t="shared" si="46"/>
        <v>84644449.296090007</v>
      </c>
      <c r="H305" s="165"/>
      <c r="I305" s="196"/>
      <c r="J305" s="165"/>
      <c r="K305" s="165">
        <f t="shared" ref="K305:O305" si="47">SUM(K303:K304)</f>
        <v>-3953865.4084575013</v>
      </c>
      <c r="L305" s="165">
        <f t="shared" si="47"/>
        <v>-2386094.2478034669</v>
      </c>
      <c r="M305" s="165">
        <f t="shared" si="47"/>
        <v>0</v>
      </c>
      <c r="N305" s="165">
        <f t="shared" si="47"/>
        <v>-6339959.6562609673</v>
      </c>
      <c r="O305" s="165">
        <f t="shared" si="47"/>
        <v>78304489.63982901</v>
      </c>
      <c r="P305" s="123"/>
    </row>
    <row r="306" spans="1:16" x14ac:dyDescent="0.25">
      <c r="A306" s="160"/>
      <c r="B306" s="160"/>
      <c r="C306" s="359" t="s">
        <v>156</v>
      </c>
      <c r="D306" s="360"/>
      <c r="E306" s="360"/>
      <c r="F306" s="360"/>
      <c r="G306" s="360"/>
      <c r="H306" s="360"/>
      <c r="I306" s="360"/>
      <c r="J306" s="360"/>
      <c r="K306" s="361"/>
      <c r="L306" s="162"/>
      <c r="M306" s="123"/>
      <c r="N306" s="197"/>
      <c r="O306" s="172"/>
      <c r="P306" s="123"/>
    </row>
    <row r="307" spans="1:16" x14ac:dyDescent="0.25">
      <c r="A307" s="160"/>
      <c r="B307" s="160"/>
      <c r="C307" s="359" t="s">
        <v>43</v>
      </c>
      <c r="D307" s="360"/>
      <c r="E307" s="360"/>
      <c r="F307" s="360"/>
      <c r="G307" s="360"/>
      <c r="H307" s="360"/>
      <c r="I307" s="360"/>
      <c r="J307" s="360"/>
      <c r="K307" s="361"/>
      <c r="L307" s="165">
        <f>L305+L306</f>
        <v>-2386094.2478034669</v>
      </c>
      <c r="M307" s="123"/>
      <c r="N307" s="197"/>
      <c r="O307" s="172"/>
      <c r="P307" s="123"/>
    </row>
    <row r="308" spans="1:16" x14ac:dyDescent="0.25">
      <c r="A308" s="122"/>
      <c r="B308" s="122"/>
      <c r="C308" s="123"/>
      <c r="D308" s="123"/>
      <c r="E308" s="123"/>
      <c r="F308" s="123"/>
      <c r="G308" s="123"/>
      <c r="H308" s="123"/>
      <c r="I308" s="186"/>
      <c r="J308" s="123"/>
      <c r="K308" s="123"/>
      <c r="L308" s="123"/>
      <c r="M308" s="123"/>
      <c r="N308" s="123"/>
      <c r="O308" s="123"/>
      <c r="P308" s="123"/>
    </row>
    <row r="309" spans="1:16" x14ac:dyDescent="0.25">
      <c r="A309" s="122"/>
      <c r="B309" s="122"/>
      <c r="C309" s="123"/>
      <c r="D309" s="123"/>
      <c r="E309" s="123"/>
      <c r="F309" s="123"/>
      <c r="G309" s="123"/>
      <c r="H309" s="123"/>
      <c r="I309" s="186"/>
      <c r="J309" s="123"/>
      <c r="K309" s="123"/>
      <c r="L309" s="123"/>
      <c r="M309" s="123"/>
      <c r="N309" s="123"/>
      <c r="O309" s="123"/>
      <c r="P309" s="123"/>
    </row>
  </sheetData>
  <mergeCells count="17">
    <mergeCell ref="D74:I74"/>
    <mergeCell ref="K74:O74"/>
    <mergeCell ref="A8:O8"/>
    <mergeCell ref="A9:O9"/>
    <mergeCell ref="D14:I14"/>
    <mergeCell ref="C66:K66"/>
    <mergeCell ref="C67:K67"/>
    <mergeCell ref="C247:K247"/>
    <mergeCell ref="D254:I254"/>
    <mergeCell ref="C306:K306"/>
    <mergeCell ref="C307:K307"/>
    <mergeCell ref="C126:K126"/>
    <mergeCell ref="D134:I134"/>
    <mergeCell ref="C186:K186"/>
    <mergeCell ref="C187:K187"/>
    <mergeCell ref="D194:I194"/>
    <mergeCell ref="C246:K246"/>
  </mergeCells>
  <dataValidations count="1">
    <dataValidation type="list" allowBlank="1" showErrorMessage="1" error="Use the following date format when inserting a date:_x000a__x000a_Eg:  &quot;January 1, 2013&quot;" prompt="Use the following format eg: January 1, 2013" sqref="F11 F71 F131 F191 F251" xr:uid="{CABE65E3-ADE8-41EF-9708-5127CD5A014A}">
      <formula1>"CGAAP, MIFRS,USGAAP, ASPE"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FEC4-95D1-423D-BD97-DBDC6DD13F2A}">
  <dimension ref="A1:R130"/>
  <sheetViews>
    <sheetView workbookViewId="0">
      <selection activeCell="K29" sqref="K29"/>
    </sheetView>
  </sheetViews>
  <sheetFormatPr defaultColWidth="9.42578125" defaultRowHeight="12.75" x14ac:dyDescent="0.2"/>
  <cols>
    <col min="1" max="1" width="9.42578125" style="123"/>
    <col min="2" max="2" width="6.5703125" style="123" customWidth="1"/>
    <col min="3" max="3" width="27.42578125" style="123" customWidth="1"/>
    <col min="4" max="4" width="19.5703125" style="123" customWidth="1"/>
    <col min="5" max="5" width="10.5703125" style="123" customWidth="1"/>
    <col min="6" max="6" width="7.5703125" style="123" customWidth="1"/>
    <col min="7" max="7" width="7.42578125" style="123" customWidth="1"/>
    <col min="8" max="8" width="8.42578125" style="123" customWidth="1"/>
    <col min="9" max="9" width="1" style="123" customWidth="1"/>
    <col min="10" max="10" width="10.5703125" style="123" customWidth="1"/>
    <col min="11" max="11" width="34" style="123" customWidth="1"/>
    <col min="12" max="12" width="8" style="123" customWidth="1"/>
    <col min="13" max="13" width="8.5703125" style="123" customWidth="1"/>
    <col min="14" max="14" width="8.42578125" style="123" customWidth="1"/>
    <col min="15" max="15" width="7.5703125" style="123" customWidth="1"/>
    <col min="16" max="16" width="11" style="122" customWidth="1"/>
    <col min="17" max="17" width="11.5703125" style="122" customWidth="1"/>
    <col min="18" max="16384" width="9.42578125" style="123"/>
  </cols>
  <sheetData>
    <row r="1" spans="1:18" x14ac:dyDescent="0.2">
      <c r="A1" s="122"/>
      <c r="B1" s="122"/>
      <c r="C1" s="122"/>
      <c r="O1" s="124" t="s">
        <v>0</v>
      </c>
      <c r="P1" s="123"/>
      <c r="Q1" s="205" t="s">
        <v>1</v>
      </c>
      <c r="R1" s="122"/>
    </row>
    <row r="2" spans="1:18" x14ac:dyDescent="0.2">
      <c r="A2" s="122"/>
      <c r="B2" s="122"/>
      <c r="C2" s="122"/>
      <c r="O2" s="124" t="s">
        <v>2</v>
      </c>
      <c r="P2" s="123"/>
      <c r="Q2" s="206" t="s">
        <v>3</v>
      </c>
      <c r="R2" s="122"/>
    </row>
    <row r="3" spans="1:18" x14ac:dyDescent="0.2">
      <c r="A3" s="122"/>
      <c r="B3" s="122"/>
      <c r="C3" s="122"/>
      <c r="O3" s="124" t="s">
        <v>4</v>
      </c>
      <c r="P3" s="123"/>
      <c r="Q3" s="206">
        <v>1</v>
      </c>
      <c r="R3" s="122"/>
    </row>
    <row r="4" spans="1:18" x14ac:dyDescent="0.2">
      <c r="A4" s="122"/>
      <c r="B4" s="122"/>
      <c r="C4" s="122"/>
      <c r="O4" s="124" t="s">
        <v>5</v>
      </c>
      <c r="P4" s="123"/>
      <c r="Q4" s="206">
        <v>1</v>
      </c>
      <c r="R4" s="122"/>
    </row>
    <row r="5" spans="1:18" x14ac:dyDescent="0.2">
      <c r="A5" s="122"/>
      <c r="B5" s="122"/>
      <c r="C5" s="122"/>
      <c r="O5" s="124" t="s">
        <v>6</v>
      </c>
      <c r="P5" s="123"/>
      <c r="Q5" s="206"/>
      <c r="R5" s="122"/>
    </row>
    <row r="6" spans="1:18" ht="9" customHeight="1" x14ac:dyDescent="0.2">
      <c r="A6" s="122"/>
      <c r="B6" s="122"/>
      <c r="C6" s="122"/>
      <c r="O6" s="124"/>
      <c r="P6" s="123"/>
      <c r="Q6" s="127"/>
      <c r="R6" s="122"/>
    </row>
    <row r="7" spans="1:18" x14ac:dyDescent="0.2">
      <c r="A7" s="122"/>
      <c r="B7" s="122"/>
      <c r="C7" s="122"/>
      <c r="O7" s="124" t="s">
        <v>7</v>
      </c>
      <c r="P7" s="123"/>
      <c r="Q7" s="207">
        <v>46010</v>
      </c>
      <c r="R7" s="122"/>
    </row>
    <row r="8" spans="1:18" ht="9" customHeight="1" x14ac:dyDescent="0.2">
      <c r="A8" s="122"/>
      <c r="B8" s="122"/>
      <c r="C8" s="122"/>
    </row>
    <row r="9" spans="1:18" ht="20.25" customHeight="1" x14ac:dyDescent="0.2">
      <c r="A9" s="451" t="s">
        <v>172</v>
      </c>
      <c r="B9" s="451"/>
      <c r="C9" s="451"/>
      <c r="D9" s="451"/>
      <c r="E9" s="451"/>
      <c r="F9" s="451"/>
      <c r="G9" s="451"/>
      <c r="H9" s="451"/>
      <c r="I9" s="451"/>
      <c r="J9" s="451"/>
      <c r="K9" s="451"/>
      <c r="L9" s="451"/>
      <c r="M9" s="451"/>
      <c r="N9" s="451"/>
      <c r="O9" s="451"/>
      <c r="P9" s="451"/>
      <c r="Q9" s="451"/>
    </row>
    <row r="10" spans="1:18" ht="18" customHeight="1" x14ac:dyDescent="0.2">
      <c r="A10" s="400" t="s">
        <v>173</v>
      </c>
      <c r="B10" s="400"/>
      <c r="C10" s="400"/>
      <c r="D10" s="400"/>
      <c r="E10" s="400"/>
      <c r="F10" s="400"/>
      <c r="G10" s="400"/>
      <c r="H10" s="400"/>
      <c r="I10" s="400"/>
      <c r="J10" s="400"/>
      <c r="K10" s="400"/>
      <c r="L10" s="400"/>
      <c r="M10" s="400"/>
      <c r="N10" s="400"/>
      <c r="O10" s="400"/>
      <c r="P10" s="400"/>
      <c r="Q10" s="400"/>
    </row>
    <row r="11" spans="1:18" ht="18" customHeight="1" x14ac:dyDescent="0.2">
      <c r="A11" s="400" t="s">
        <v>174</v>
      </c>
      <c r="B11" s="400"/>
      <c r="C11" s="400"/>
      <c r="D11" s="400"/>
      <c r="E11" s="400"/>
      <c r="F11" s="400"/>
      <c r="G11" s="400"/>
      <c r="H11" s="400"/>
      <c r="I11" s="400"/>
      <c r="J11" s="400"/>
      <c r="K11" s="400"/>
      <c r="L11" s="400"/>
      <c r="M11" s="400"/>
      <c r="N11" s="400"/>
      <c r="O11" s="400"/>
      <c r="P11" s="400"/>
      <c r="Q11" s="400"/>
    </row>
    <row r="12" spans="1:18" ht="9" customHeight="1" x14ac:dyDescent="0.2">
      <c r="A12" s="208"/>
      <c r="B12" s="208"/>
      <c r="C12" s="208"/>
      <c r="D12" s="208"/>
      <c r="E12" s="208"/>
      <c r="F12" s="208"/>
      <c r="G12" s="208"/>
      <c r="H12" s="208"/>
      <c r="I12" s="129"/>
      <c r="J12" s="209"/>
      <c r="K12" s="210"/>
      <c r="L12" s="210"/>
      <c r="M12" s="210"/>
      <c r="N12" s="210"/>
    </row>
    <row r="13" spans="1:18" ht="8.25" customHeight="1" x14ac:dyDescent="0.2">
      <c r="A13" s="208"/>
      <c r="B13" s="208"/>
      <c r="C13" s="208"/>
      <c r="D13" s="208"/>
      <c r="E13" s="208"/>
      <c r="F13" s="208"/>
      <c r="G13" s="208"/>
      <c r="H13" s="208"/>
      <c r="I13" s="129"/>
      <c r="J13" s="209"/>
      <c r="K13" s="210"/>
      <c r="L13" s="210"/>
      <c r="M13" s="210"/>
      <c r="N13" s="210"/>
    </row>
    <row r="14" spans="1:18" ht="7.5" customHeight="1" x14ac:dyDescent="0.2"/>
    <row r="15" spans="1:18" ht="33.75" customHeight="1" x14ac:dyDescent="0.2">
      <c r="A15" s="211"/>
      <c r="B15" s="211"/>
      <c r="C15" s="399" t="s">
        <v>175</v>
      </c>
      <c r="D15" s="399"/>
      <c r="E15" s="399"/>
      <c r="F15" s="399" t="s">
        <v>176</v>
      </c>
      <c r="G15" s="399"/>
      <c r="H15" s="452"/>
      <c r="I15" s="213"/>
      <c r="J15" s="407" t="s">
        <v>177</v>
      </c>
      <c r="K15" s="407" t="s">
        <v>178</v>
      </c>
      <c r="L15" s="398" t="s">
        <v>179</v>
      </c>
      <c r="M15" s="398"/>
      <c r="N15" s="396" t="s">
        <v>180</v>
      </c>
      <c r="O15" s="396"/>
      <c r="P15" s="398" t="s">
        <v>181</v>
      </c>
      <c r="Q15" s="398"/>
    </row>
    <row r="16" spans="1:18" ht="30.75" thickBot="1" x14ac:dyDescent="0.25">
      <c r="A16" s="215" t="s">
        <v>182</v>
      </c>
      <c r="B16" s="215" t="s">
        <v>183</v>
      </c>
      <c r="C16" s="446" t="s">
        <v>184</v>
      </c>
      <c r="D16" s="446"/>
      <c r="E16" s="446"/>
      <c r="F16" s="215" t="s">
        <v>185</v>
      </c>
      <c r="G16" s="215" t="s">
        <v>186</v>
      </c>
      <c r="H16" s="216" t="s">
        <v>187</v>
      </c>
      <c r="I16" s="217"/>
      <c r="J16" s="408"/>
      <c r="K16" s="408"/>
      <c r="L16" s="218" t="s">
        <v>188</v>
      </c>
      <c r="M16" s="218" t="s">
        <v>189</v>
      </c>
      <c r="N16" s="219" t="s">
        <v>188</v>
      </c>
      <c r="O16" s="220" t="s">
        <v>189</v>
      </c>
      <c r="P16" s="214" t="s">
        <v>190</v>
      </c>
      <c r="Q16" s="214" t="s">
        <v>191</v>
      </c>
    </row>
    <row r="17" spans="1:17" ht="15" x14ac:dyDescent="0.2">
      <c r="A17" s="447" t="s">
        <v>192</v>
      </c>
      <c r="B17" s="449">
        <v>1</v>
      </c>
      <c r="C17" s="441" t="s">
        <v>193</v>
      </c>
      <c r="D17" s="450" t="s">
        <v>194</v>
      </c>
      <c r="E17" s="450"/>
      <c r="F17" s="221">
        <v>35</v>
      </c>
      <c r="G17" s="221">
        <v>45</v>
      </c>
      <c r="H17" s="222">
        <v>75</v>
      </c>
      <c r="I17" s="223"/>
      <c r="J17" s="224">
        <v>1830</v>
      </c>
      <c r="K17" s="225" t="s">
        <v>119</v>
      </c>
      <c r="L17" s="226">
        <v>40</v>
      </c>
      <c r="M17" s="227">
        <f>IF(ISERROR(1/L17), "", 1/L17)</f>
        <v>2.5000000000000001E-2</v>
      </c>
      <c r="N17" s="226">
        <v>40</v>
      </c>
      <c r="O17" s="228">
        <f>IF(ISERROR(1/N17), "", 1/N17)</f>
        <v>2.5000000000000001E-2</v>
      </c>
      <c r="P17" s="229" t="str">
        <f>IF(ISBLANK(N17),"",IF(N17&lt;F17,"Yes","No"))</f>
        <v>No</v>
      </c>
      <c r="Q17" s="229" t="str">
        <f>IF(ISBLANK(N17),"",IF(N17&gt;H17,"Yes","No"))</f>
        <v>No</v>
      </c>
    </row>
    <row r="18" spans="1:17" ht="15" x14ac:dyDescent="0.2">
      <c r="A18" s="448"/>
      <c r="B18" s="444"/>
      <c r="C18" s="409"/>
      <c r="D18" s="409" t="s">
        <v>195</v>
      </c>
      <c r="E18" s="230" t="s">
        <v>196</v>
      </c>
      <c r="F18" s="150">
        <v>20</v>
      </c>
      <c r="G18" s="150">
        <v>40</v>
      </c>
      <c r="H18" s="231">
        <v>55</v>
      </c>
      <c r="I18" s="223"/>
      <c r="J18" s="224">
        <v>1830</v>
      </c>
      <c r="K18" s="225" t="s">
        <v>119</v>
      </c>
      <c r="L18" s="226">
        <v>40</v>
      </c>
      <c r="M18" s="227">
        <f t="shared" ref="M18:M80" si="0">IF(ISERROR(1/L18), "", 1/L18)</f>
        <v>2.5000000000000001E-2</v>
      </c>
      <c r="N18" s="226">
        <v>40</v>
      </c>
      <c r="O18" s="228">
        <f t="shared" ref="O18:O80" si="1">IF(ISERROR(1/N18), "", 1/N18)</f>
        <v>2.5000000000000001E-2</v>
      </c>
      <c r="P18" s="229" t="str">
        <f t="shared" ref="P18:P80" si="2">IF(ISBLANK(N18),"",IF(N18&lt;F18,"Yes","No"))</f>
        <v>No</v>
      </c>
      <c r="Q18" s="229" t="str">
        <f t="shared" ref="Q18:Q80" si="3">IF(ISBLANK(N18),"",IF(N18&gt;H18,"Yes","No"))</f>
        <v>No</v>
      </c>
    </row>
    <row r="19" spans="1:17" ht="15" x14ac:dyDescent="0.2">
      <c r="A19" s="448"/>
      <c r="B19" s="444"/>
      <c r="C19" s="409"/>
      <c r="D19" s="409"/>
      <c r="E19" s="230" t="s">
        <v>197</v>
      </c>
      <c r="F19" s="150">
        <v>30</v>
      </c>
      <c r="G19" s="150">
        <v>70</v>
      </c>
      <c r="H19" s="231">
        <v>95</v>
      </c>
      <c r="I19" s="223"/>
      <c r="J19" s="224">
        <v>1830</v>
      </c>
      <c r="K19" s="225" t="s">
        <v>119</v>
      </c>
      <c r="L19" s="226">
        <v>40</v>
      </c>
      <c r="M19" s="227">
        <f t="shared" si="0"/>
        <v>2.5000000000000001E-2</v>
      </c>
      <c r="N19" s="226">
        <v>40</v>
      </c>
      <c r="O19" s="228">
        <f t="shared" si="1"/>
        <v>2.5000000000000001E-2</v>
      </c>
      <c r="P19" s="229" t="str">
        <f t="shared" si="2"/>
        <v>No</v>
      </c>
      <c r="Q19" s="229" t="str">
        <f t="shared" si="3"/>
        <v>No</v>
      </c>
    </row>
    <row r="20" spans="1:17" ht="15" x14ac:dyDescent="0.2">
      <c r="A20" s="448"/>
      <c r="B20" s="444">
        <v>2</v>
      </c>
      <c r="C20" s="409" t="s">
        <v>198</v>
      </c>
      <c r="D20" s="445" t="s">
        <v>194</v>
      </c>
      <c r="E20" s="445"/>
      <c r="F20" s="150">
        <v>50</v>
      </c>
      <c r="G20" s="150">
        <v>60</v>
      </c>
      <c r="H20" s="231">
        <v>80</v>
      </c>
      <c r="I20" s="223"/>
      <c r="J20" s="224">
        <v>1830</v>
      </c>
      <c r="K20" s="225" t="s">
        <v>119</v>
      </c>
      <c r="L20" s="226">
        <v>60</v>
      </c>
      <c r="M20" s="227">
        <f t="shared" si="0"/>
        <v>1.6666666666666666E-2</v>
      </c>
      <c r="N20" s="226">
        <v>60</v>
      </c>
      <c r="O20" s="228">
        <f t="shared" si="1"/>
        <v>1.6666666666666666E-2</v>
      </c>
      <c r="P20" s="229" t="str">
        <f t="shared" si="2"/>
        <v>No</v>
      </c>
      <c r="Q20" s="229" t="str">
        <f t="shared" si="3"/>
        <v>No</v>
      </c>
    </row>
    <row r="21" spans="1:17" ht="15" x14ac:dyDescent="0.2">
      <c r="A21" s="448"/>
      <c r="B21" s="444"/>
      <c r="C21" s="409"/>
      <c r="D21" s="409" t="s">
        <v>195</v>
      </c>
      <c r="E21" s="230" t="s">
        <v>196</v>
      </c>
      <c r="F21" s="150">
        <v>20</v>
      </c>
      <c r="G21" s="150">
        <v>40</v>
      </c>
      <c r="H21" s="231">
        <v>55</v>
      </c>
      <c r="I21" s="223"/>
      <c r="J21" s="224"/>
      <c r="K21" s="225"/>
      <c r="L21" s="226"/>
      <c r="M21" s="227" t="str">
        <f t="shared" si="0"/>
        <v/>
      </c>
      <c r="N21" s="226"/>
      <c r="O21" s="228" t="str">
        <f t="shared" si="1"/>
        <v/>
      </c>
      <c r="P21" s="229" t="str">
        <f t="shared" si="2"/>
        <v/>
      </c>
      <c r="Q21" s="229" t="str">
        <f t="shared" si="3"/>
        <v/>
      </c>
    </row>
    <row r="22" spans="1:17" ht="15" x14ac:dyDescent="0.2">
      <c r="A22" s="448"/>
      <c r="B22" s="444"/>
      <c r="C22" s="409"/>
      <c r="D22" s="409"/>
      <c r="E22" s="230" t="s">
        <v>197</v>
      </c>
      <c r="F22" s="150">
        <v>30</v>
      </c>
      <c r="G22" s="150">
        <v>70</v>
      </c>
      <c r="H22" s="231">
        <v>95</v>
      </c>
      <c r="I22" s="223"/>
      <c r="J22" s="224">
        <v>1830</v>
      </c>
      <c r="K22" s="225" t="s">
        <v>119</v>
      </c>
      <c r="L22" s="226">
        <v>60</v>
      </c>
      <c r="M22" s="227">
        <f t="shared" si="0"/>
        <v>1.6666666666666666E-2</v>
      </c>
      <c r="N22" s="226">
        <v>60</v>
      </c>
      <c r="O22" s="228">
        <f t="shared" si="1"/>
        <v>1.6666666666666666E-2</v>
      </c>
      <c r="P22" s="229" t="str">
        <f t="shared" si="2"/>
        <v>No</v>
      </c>
      <c r="Q22" s="229" t="str">
        <f t="shared" si="3"/>
        <v>No</v>
      </c>
    </row>
    <row r="23" spans="1:17" ht="15" x14ac:dyDescent="0.2">
      <c r="A23" s="448"/>
      <c r="B23" s="444">
        <v>3</v>
      </c>
      <c r="C23" s="409" t="s">
        <v>199</v>
      </c>
      <c r="D23" s="445" t="s">
        <v>194</v>
      </c>
      <c r="E23" s="445"/>
      <c r="F23" s="150">
        <v>60</v>
      </c>
      <c r="G23" s="150">
        <v>60</v>
      </c>
      <c r="H23" s="231">
        <v>80</v>
      </c>
      <c r="I23" s="223"/>
      <c r="J23" s="224">
        <v>1830</v>
      </c>
      <c r="K23" s="225" t="s">
        <v>119</v>
      </c>
      <c r="L23" s="226">
        <v>60</v>
      </c>
      <c r="M23" s="227">
        <f t="shared" si="0"/>
        <v>1.6666666666666666E-2</v>
      </c>
      <c r="N23" s="226">
        <v>60</v>
      </c>
      <c r="O23" s="228">
        <f t="shared" si="1"/>
        <v>1.6666666666666666E-2</v>
      </c>
      <c r="P23" s="229" t="str">
        <f t="shared" si="2"/>
        <v>No</v>
      </c>
      <c r="Q23" s="229" t="str">
        <f t="shared" si="3"/>
        <v>No</v>
      </c>
    </row>
    <row r="24" spans="1:17" ht="15" x14ac:dyDescent="0.2">
      <c r="A24" s="448"/>
      <c r="B24" s="444"/>
      <c r="C24" s="409"/>
      <c r="D24" s="409" t="s">
        <v>195</v>
      </c>
      <c r="E24" s="230" t="s">
        <v>196</v>
      </c>
      <c r="F24" s="150">
        <v>20</v>
      </c>
      <c r="G24" s="150">
        <v>40</v>
      </c>
      <c r="H24" s="231">
        <v>55</v>
      </c>
      <c r="I24" s="223"/>
      <c r="J24" s="224"/>
      <c r="K24" s="225"/>
      <c r="L24" s="226"/>
      <c r="M24" s="227" t="str">
        <f t="shared" si="0"/>
        <v/>
      </c>
      <c r="N24" s="226"/>
      <c r="O24" s="228" t="str">
        <f t="shared" si="1"/>
        <v/>
      </c>
      <c r="P24" s="229" t="str">
        <f t="shared" si="2"/>
        <v/>
      </c>
      <c r="Q24" s="229" t="str">
        <f t="shared" si="3"/>
        <v/>
      </c>
    </row>
    <row r="25" spans="1:17" ht="15" x14ac:dyDescent="0.2">
      <c r="A25" s="448"/>
      <c r="B25" s="444"/>
      <c r="C25" s="409"/>
      <c r="D25" s="409"/>
      <c r="E25" s="230" t="s">
        <v>197</v>
      </c>
      <c r="F25" s="150">
        <v>30</v>
      </c>
      <c r="G25" s="150">
        <v>70</v>
      </c>
      <c r="H25" s="231">
        <v>95</v>
      </c>
      <c r="I25" s="223"/>
      <c r="J25" s="224">
        <v>1830</v>
      </c>
      <c r="K25" s="225" t="s">
        <v>119</v>
      </c>
      <c r="L25" s="226">
        <v>60</v>
      </c>
      <c r="M25" s="227">
        <f t="shared" si="0"/>
        <v>1.6666666666666666E-2</v>
      </c>
      <c r="N25" s="226">
        <v>60</v>
      </c>
      <c r="O25" s="228">
        <f t="shared" si="1"/>
        <v>1.6666666666666666E-2</v>
      </c>
      <c r="P25" s="229" t="str">
        <f t="shared" si="2"/>
        <v>No</v>
      </c>
      <c r="Q25" s="229" t="str">
        <f t="shared" si="3"/>
        <v>No</v>
      </c>
    </row>
    <row r="26" spans="1:17" ht="15" x14ac:dyDescent="0.2">
      <c r="A26" s="448"/>
      <c r="B26" s="150">
        <v>4</v>
      </c>
      <c r="C26" s="412" t="s">
        <v>200</v>
      </c>
      <c r="D26" s="432"/>
      <c r="E26" s="413"/>
      <c r="F26" s="150">
        <v>30</v>
      </c>
      <c r="G26" s="150">
        <v>45</v>
      </c>
      <c r="H26" s="231">
        <v>55</v>
      </c>
      <c r="I26" s="223"/>
      <c r="J26" s="224">
        <v>1835</v>
      </c>
      <c r="K26" s="225" t="s">
        <v>120</v>
      </c>
      <c r="L26" s="226">
        <v>40</v>
      </c>
      <c r="M26" s="227">
        <f t="shared" si="0"/>
        <v>2.5000000000000001E-2</v>
      </c>
      <c r="N26" s="226">
        <v>40</v>
      </c>
      <c r="O26" s="228">
        <f t="shared" si="1"/>
        <v>2.5000000000000001E-2</v>
      </c>
      <c r="P26" s="229" t="str">
        <f t="shared" si="2"/>
        <v>No</v>
      </c>
      <c r="Q26" s="229" t="str">
        <f t="shared" si="3"/>
        <v>No</v>
      </c>
    </row>
    <row r="27" spans="1:17" ht="15" x14ac:dyDescent="0.2">
      <c r="A27" s="448"/>
      <c r="B27" s="150">
        <v>5</v>
      </c>
      <c r="C27" s="412" t="s">
        <v>201</v>
      </c>
      <c r="D27" s="432"/>
      <c r="E27" s="413"/>
      <c r="F27" s="150">
        <v>15</v>
      </c>
      <c r="G27" s="150">
        <v>25</v>
      </c>
      <c r="H27" s="231">
        <v>25</v>
      </c>
      <c r="I27" s="223"/>
      <c r="J27" s="224"/>
      <c r="K27" s="225"/>
      <c r="L27" s="226"/>
      <c r="M27" s="227" t="str">
        <f t="shared" si="0"/>
        <v/>
      </c>
      <c r="N27" s="226"/>
      <c r="O27" s="228" t="str">
        <f t="shared" si="1"/>
        <v/>
      </c>
      <c r="P27" s="229" t="str">
        <f t="shared" si="2"/>
        <v/>
      </c>
      <c r="Q27" s="229" t="str">
        <f t="shared" si="3"/>
        <v/>
      </c>
    </row>
    <row r="28" spans="1:17" ht="15" x14ac:dyDescent="0.2">
      <c r="A28" s="448"/>
      <c r="B28" s="150">
        <v>6</v>
      </c>
      <c r="C28" s="412" t="s">
        <v>202</v>
      </c>
      <c r="D28" s="432"/>
      <c r="E28" s="413"/>
      <c r="F28" s="150">
        <v>15</v>
      </c>
      <c r="G28" s="150">
        <v>20</v>
      </c>
      <c r="H28" s="231">
        <v>20</v>
      </c>
      <c r="I28" s="223"/>
      <c r="J28" s="224"/>
      <c r="K28" s="225"/>
      <c r="L28" s="226"/>
      <c r="M28" s="227" t="str">
        <f t="shared" si="0"/>
        <v/>
      </c>
      <c r="N28" s="226"/>
      <c r="O28" s="228" t="str">
        <f t="shared" si="1"/>
        <v/>
      </c>
      <c r="P28" s="229" t="str">
        <f t="shared" si="2"/>
        <v/>
      </c>
      <c r="Q28" s="229" t="str">
        <f t="shared" si="3"/>
        <v/>
      </c>
    </row>
    <row r="29" spans="1:17" ht="15" x14ac:dyDescent="0.2">
      <c r="A29" s="448"/>
      <c r="B29" s="150">
        <v>7</v>
      </c>
      <c r="C29" s="412" t="s">
        <v>203</v>
      </c>
      <c r="D29" s="432"/>
      <c r="E29" s="413"/>
      <c r="F29" s="150">
        <v>35</v>
      </c>
      <c r="G29" s="150">
        <v>45</v>
      </c>
      <c r="H29" s="231">
        <v>60</v>
      </c>
      <c r="I29" s="223"/>
      <c r="J29" s="224">
        <v>1835</v>
      </c>
      <c r="K29" s="225" t="s">
        <v>120</v>
      </c>
      <c r="L29" s="226">
        <v>20</v>
      </c>
      <c r="M29" s="227">
        <f t="shared" si="0"/>
        <v>0.05</v>
      </c>
      <c r="N29" s="226">
        <v>20</v>
      </c>
      <c r="O29" s="228">
        <f t="shared" si="1"/>
        <v>0.05</v>
      </c>
      <c r="P29" s="229" t="str">
        <f t="shared" si="2"/>
        <v>Yes</v>
      </c>
      <c r="Q29" s="229" t="str">
        <f t="shared" si="3"/>
        <v>No</v>
      </c>
    </row>
    <row r="30" spans="1:17" ht="15" x14ac:dyDescent="0.2">
      <c r="A30" s="448"/>
      <c r="B30" s="371">
        <v>8</v>
      </c>
      <c r="C30" s="377" t="s">
        <v>204</v>
      </c>
      <c r="D30" s="393"/>
      <c r="E30" s="378"/>
      <c r="F30" s="371">
        <v>50</v>
      </c>
      <c r="G30" s="371">
        <v>60</v>
      </c>
      <c r="H30" s="414">
        <v>75</v>
      </c>
      <c r="I30" s="223"/>
      <c r="J30" s="224">
        <v>1835</v>
      </c>
      <c r="K30" s="225" t="s">
        <v>120</v>
      </c>
      <c r="L30" s="226">
        <v>60</v>
      </c>
      <c r="M30" s="227">
        <f t="shared" si="0"/>
        <v>1.6666666666666666E-2</v>
      </c>
      <c r="N30" s="226">
        <v>60</v>
      </c>
      <c r="O30" s="228">
        <f t="shared" si="1"/>
        <v>1.6666666666666666E-2</v>
      </c>
      <c r="P30" s="229" t="str">
        <f t="shared" si="2"/>
        <v>No</v>
      </c>
      <c r="Q30" s="229" t="str">
        <f t="shared" si="3"/>
        <v>No</v>
      </c>
    </row>
    <row r="31" spans="1:17" ht="15" x14ac:dyDescent="0.2">
      <c r="A31" s="448"/>
      <c r="B31" s="372"/>
      <c r="C31" s="379"/>
      <c r="D31" s="395"/>
      <c r="E31" s="380"/>
      <c r="F31" s="372"/>
      <c r="G31" s="372"/>
      <c r="H31" s="415"/>
      <c r="I31" s="223"/>
      <c r="J31" s="224">
        <v>1855</v>
      </c>
      <c r="K31" s="225" t="s">
        <v>124</v>
      </c>
      <c r="L31" s="226">
        <v>50</v>
      </c>
      <c r="M31" s="227">
        <f t="shared" si="0"/>
        <v>0.02</v>
      </c>
      <c r="N31" s="226">
        <v>50</v>
      </c>
      <c r="O31" s="228">
        <f t="shared" si="1"/>
        <v>0.02</v>
      </c>
      <c r="P31" s="229" t="str">
        <f>IF(ISBLANK(N31),"",IF(N31&lt;F30,"Yes","No"))</f>
        <v>No</v>
      </c>
      <c r="Q31" s="229" t="str">
        <f>IF(ISBLANK(N31),"",IF(N31&gt;H30,"Yes","No"))</f>
        <v>No</v>
      </c>
    </row>
    <row r="32" spans="1:17" ht="15" x14ac:dyDescent="0.2">
      <c r="A32" s="448"/>
      <c r="B32" s="150">
        <v>9</v>
      </c>
      <c r="C32" s="412" t="s">
        <v>205</v>
      </c>
      <c r="D32" s="432"/>
      <c r="E32" s="413"/>
      <c r="F32" s="150">
        <v>30</v>
      </c>
      <c r="G32" s="150">
        <v>40</v>
      </c>
      <c r="H32" s="231">
        <v>60</v>
      </c>
      <c r="I32" s="223"/>
      <c r="J32" s="224">
        <v>1850</v>
      </c>
      <c r="K32" s="225" t="s">
        <v>123</v>
      </c>
      <c r="L32" s="226">
        <v>40</v>
      </c>
      <c r="M32" s="227">
        <f t="shared" si="0"/>
        <v>2.5000000000000001E-2</v>
      </c>
      <c r="N32" s="226">
        <v>40</v>
      </c>
      <c r="O32" s="228">
        <f t="shared" si="1"/>
        <v>2.5000000000000001E-2</v>
      </c>
      <c r="P32" s="229" t="str">
        <f t="shared" si="2"/>
        <v>No</v>
      </c>
      <c r="Q32" s="229" t="str">
        <f t="shared" si="3"/>
        <v>No</v>
      </c>
    </row>
    <row r="33" spans="1:17" ht="15" x14ac:dyDescent="0.2">
      <c r="A33" s="448"/>
      <c r="B33" s="150">
        <v>10</v>
      </c>
      <c r="C33" s="412" t="s">
        <v>206</v>
      </c>
      <c r="D33" s="432"/>
      <c r="E33" s="413"/>
      <c r="F33" s="150">
        <v>25</v>
      </c>
      <c r="G33" s="150">
        <v>30</v>
      </c>
      <c r="H33" s="231">
        <v>40</v>
      </c>
      <c r="I33" s="223"/>
      <c r="J33" s="224">
        <v>1850</v>
      </c>
      <c r="K33" s="225" t="s">
        <v>123</v>
      </c>
      <c r="L33" s="226">
        <v>40</v>
      </c>
      <c r="M33" s="227">
        <f t="shared" si="0"/>
        <v>2.5000000000000001E-2</v>
      </c>
      <c r="N33" s="226">
        <v>40</v>
      </c>
      <c r="O33" s="228">
        <f t="shared" si="1"/>
        <v>2.5000000000000001E-2</v>
      </c>
      <c r="P33" s="229" t="str">
        <f t="shared" si="2"/>
        <v>No</v>
      </c>
      <c r="Q33" s="229" t="str">
        <f t="shared" si="3"/>
        <v>No</v>
      </c>
    </row>
    <row r="34" spans="1:17" ht="15.75" thickBot="1" x14ac:dyDescent="0.25">
      <c r="A34" s="448"/>
      <c r="B34" s="232">
        <v>11</v>
      </c>
      <c r="C34" s="433" t="s">
        <v>207</v>
      </c>
      <c r="D34" s="434"/>
      <c r="E34" s="435"/>
      <c r="F34" s="232">
        <v>25</v>
      </c>
      <c r="G34" s="232">
        <v>40</v>
      </c>
      <c r="H34" s="233">
        <v>55</v>
      </c>
      <c r="I34" s="223"/>
      <c r="J34" s="224">
        <v>1835</v>
      </c>
      <c r="K34" s="225" t="s">
        <v>120</v>
      </c>
      <c r="L34" s="226">
        <v>20</v>
      </c>
      <c r="M34" s="227">
        <f t="shared" si="0"/>
        <v>0.05</v>
      </c>
      <c r="N34" s="226">
        <v>20</v>
      </c>
      <c r="O34" s="228">
        <f t="shared" si="1"/>
        <v>0.05</v>
      </c>
      <c r="P34" s="229" t="str">
        <f t="shared" si="2"/>
        <v>Yes</v>
      </c>
      <c r="Q34" s="229" t="str">
        <f t="shared" si="3"/>
        <v>No</v>
      </c>
    </row>
    <row r="35" spans="1:17" ht="15" x14ac:dyDescent="0.2">
      <c r="A35" s="416" t="s">
        <v>208</v>
      </c>
      <c r="B35" s="440">
        <v>12</v>
      </c>
      <c r="C35" s="441" t="s">
        <v>209</v>
      </c>
      <c r="D35" s="442" t="s">
        <v>194</v>
      </c>
      <c r="E35" s="443"/>
      <c r="F35" s="440">
        <v>30</v>
      </c>
      <c r="G35" s="440">
        <v>45</v>
      </c>
      <c r="H35" s="431">
        <v>60</v>
      </c>
      <c r="I35" s="223"/>
      <c r="J35" s="224">
        <v>1815</v>
      </c>
      <c r="K35" s="225" t="s">
        <v>116</v>
      </c>
      <c r="L35" s="226">
        <v>45</v>
      </c>
      <c r="M35" s="227">
        <f t="shared" si="0"/>
        <v>2.2222222222222223E-2</v>
      </c>
      <c r="N35" s="226">
        <v>45</v>
      </c>
      <c r="O35" s="228">
        <f t="shared" si="1"/>
        <v>2.2222222222222223E-2</v>
      </c>
      <c r="P35" s="229" t="str">
        <f t="shared" si="2"/>
        <v>No</v>
      </c>
      <c r="Q35" s="229" t="str">
        <f t="shared" si="3"/>
        <v>No</v>
      </c>
    </row>
    <row r="36" spans="1:17" ht="15" x14ac:dyDescent="0.2">
      <c r="A36" s="436"/>
      <c r="B36" s="375"/>
      <c r="C36" s="374"/>
      <c r="D36" s="379"/>
      <c r="E36" s="380"/>
      <c r="F36" s="372"/>
      <c r="G36" s="372"/>
      <c r="H36" s="415"/>
      <c r="I36" s="223"/>
      <c r="J36" s="224">
        <v>1820</v>
      </c>
      <c r="K36" s="225" t="s">
        <v>117</v>
      </c>
      <c r="L36" s="226">
        <v>40</v>
      </c>
      <c r="M36" s="227">
        <f t="shared" si="0"/>
        <v>2.5000000000000001E-2</v>
      </c>
      <c r="N36" s="226">
        <v>40</v>
      </c>
      <c r="O36" s="228">
        <f t="shared" si="1"/>
        <v>2.5000000000000001E-2</v>
      </c>
      <c r="P36" s="229" t="str">
        <f>IF(ISBLANK(N36),"",IF(N36&lt;F35,"Yes","No"))</f>
        <v>No</v>
      </c>
      <c r="Q36" s="229" t="str">
        <f>IF(ISBLANK(N36),"",IF(N36&gt;H35,"Yes","No"))</f>
        <v>No</v>
      </c>
    </row>
    <row r="37" spans="1:17" ht="15" x14ac:dyDescent="0.2">
      <c r="A37" s="437"/>
      <c r="B37" s="375"/>
      <c r="C37" s="409"/>
      <c r="D37" s="377" t="s">
        <v>210</v>
      </c>
      <c r="E37" s="378"/>
      <c r="F37" s="371">
        <v>10</v>
      </c>
      <c r="G37" s="371">
        <v>20</v>
      </c>
      <c r="H37" s="414">
        <v>30</v>
      </c>
      <c r="I37" s="223"/>
      <c r="J37" s="224">
        <v>1815</v>
      </c>
      <c r="K37" s="225" t="s">
        <v>116</v>
      </c>
      <c r="L37" s="226">
        <v>45</v>
      </c>
      <c r="M37" s="227">
        <f t="shared" si="0"/>
        <v>2.2222222222222223E-2</v>
      </c>
      <c r="N37" s="226">
        <v>45</v>
      </c>
      <c r="O37" s="228">
        <f t="shared" si="1"/>
        <v>2.2222222222222223E-2</v>
      </c>
      <c r="P37" s="229" t="str">
        <f t="shared" si="2"/>
        <v>No</v>
      </c>
      <c r="Q37" s="229" t="str">
        <f t="shared" si="3"/>
        <v>Yes</v>
      </c>
    </row>
    <row r="38" spans="1:17" ht="15" x14ac:dyDescent="0.2">
      <c r="A38" s="437"/>
      <c r="B38" s="375"/>
      <c r="C38" s="409"/>
      <c r="D38" s="379"/>
      <c r="E38" s="380"/>
      <c r="F38" s="372"/>
      <c r="G38" s="372"/>
      <c r="H38" s="415"/>
      <c r="I38" s="223"/>
      <c r="J38" s="224">
        <v>1820</v>
      </c>
      <c r="K38" s="225" t="s">
        <v>117</v>
      </c>
      <c r="L38" s="226">
        <v>40</v>
      </c>
      <c r="M38" s="227">
        <f t="shared" si="0"/>
        <v>2.5000000000000001E-2</v>
      </c>
      <c r="N38" s="226">
        <v>40</v>
      </c>
      <c r="O38" s="228">
        <f t="shared" si="1"/>
        <v>2.5000000000000001E-2</v>
      </c>
      <c r="P38" s="229" t="str">
        <f>IF(ISBLANK(N38),"",IF(N38&lt;F37,"Yes","No"))</f>
        <v>No</v>
      </c>
      <c r="Q38" s="229" t="str">
        <f>IF(ISBLANK(N38),"",IF(N38&gt;H37,"Yes","No"))</f>
        <v>Yes</v>
      </c>
    </row>
    <row r="39" spans="1:17" ht="15" x14ac:dyDescent="0.2">
      <c r="A39" s="437"/>
      <c r="B39" s="372"/>
      <c r="C39" s="409"/>
      <c r="D39" s="365" t="s">
        <v>211</v>
      </c>
      <c r="E39" s="367"/>
      <c r="F39" s="150">
        <v>20</v>
      </c>
      <c r="G39" s="150">
        <v>30</v>
      </c>
      <c r="H39" s="231">
        <v>60</v>
      </c>
      <c r="I39" s="223"/>
      <c r="J39" s="224"/>
      <c r="K39" s="225"/>
      <c r="L39" s="226"/>
      <c r="M39" s="227" t="str">
        <f t="shared" si="0"/>
        <v/>
      </c>
      <c r="N39" s="226"/>
      <c r="O39" s="228" t="str">
        <f t="shared" si="1"/>
        <v/>
      </c>
      <c r="P39" s="229" t="str">
        <f t="shared" si="2"/>
        <v/>
      </c>
      <c r="Q39" s="229" t="str">
        <f t="shared" si="3"/>
        <v/>
      </c>
    </row>
    <row r="40" spans="1:17" ht="15" x14ac:dyDescent="0.2">
      <c r="A40" s="437"/>
      <c r="B40" s="160">
        <v>13</v>
      </c>
      <c r="C40" s="365" t="s">
        <v>212</v>
      </c>
      <c r="D40" s="366"/>
      <c r="E40" s="367"/>
      <c r="F40" s="150">
        <v>30</v>
      </c>
      <c r="G40" s="150">
        <v>45</v>
      </c>
      <c r="H40" s="231">
        <v>55</v>
      </c>
      <c r="I40" s="223"/>
      <c r="J40" s="224">
        <v>1820</v>
      </c>
      <c r="K40" s="225" t="s">
        <v>117</v>
      </c>
      <c r="L40" s="226">
        <v>40</v>
      </c>
      <c r="M40" s="227">
        <f t="shared" si="0"/>
        <v>2.5000000000000001E-2</v>
      </c>
      <c r="N40" s="226">
        <v>40</v>
      </c>
      <c r="O40" s="228">
        <f t="shared" si="1"/>
        <v>2.5000000000000001E-2</v>
      </c>
      <c r="P40" s="229" t="str">
        <f t="shared" si="2"/>
        <v>No</v>
      </c>
      <c r="Q40" s="229" t="str">
        <f t="shared" si="3"/>
        <v>No</v>
      </c>
    </row>
    <row r="41" spans="1:17" ht="15" x14ac:dyDescent="0.2">
      <c r="A41" s="437"/>
      <c r="B41" s="160">
        <v>14</v>
      </c>
      <c r="C41" s="365" t="s">
        <v>213</v>
      </c>
      <c r="D41" s="366"/>
      <c r="E41" s="367"/>
      <c r="F41" s="150">
        <v>30</v>
      </c>
      <c r="G41" s="150">
        <v>40</v>
      </c>
      <c r="H41" s="231">
        <v>40</v>
      </c>
      <c r="I41" s="223"/>
      <c r="J41" s="224"/>
      <c r="K41" s="225"/>
      <c r="L41" s="226"/>
      <c r="M41" s="227" t="str">
        <f t="shared" si="0"/>
        <v/>
      </c>
      <c r="N41" s="226"/>
      <c r="O41" s="228" t="str">
        <f t="shared" si="1"/>
        <v/>
      </c>
      <c r="P41" s="229" t="str">
        <f t="shared" si="2"/>
        <v/>
      </c>
      <c r="Q41" s="229" t="str">
        <f t="shared" si="3"/>
        <v/>
      </c>
    </row>
    <row r="42" spans="1:17" ht="15" x14ac:dyDescent="0.2">
      <c r="A42" s="437"/>
      <c r="B42" s="371">
        <v>15</v>
      </c>
      <c r="C42" s="409" t="s">
        <v>214</v>
      </c>
      <c r="D42" s="365" t="s">
        <v>194</v>
      </c>
      <c r="E42" s="367"/>
      <c r="F42" s="150">
        <v>10</v>
      </c>
      <c r="G42" s="150">
        <v>20</v>
      </c>
      <c r="H42" s="231">
        <v>30</v>
      </c>
      <c r="I42" s="223"/>
      <c r="J42" s="224">
        <v>1820</v>
      </c>
      <c r="K42" s="225" t="s">
        <v>117</v>
      </c>
      <c r="L42" s="226">
        <v>25</v>
      </c>
      <c r="M42" s="227">
        <f t="shared" si="0"/>
        <v>0.04</v>
      </c>
      <c r="N42" s="226">
        <v>25</v>
      </c>
      <c r="O42" s="228">
        <f t="shared" si="1"/>
        <v>0.04</v>
      </c>
      <c r="P42" s="229" t="str">
        <f t="shared" si="2"/>
        <v>No</v>
      </c>
      <c r="Q42" s="229" t="str">
        <f t="shared" si="3"/>
        <v>No</v>
      </c>
    </row>
    <row r="43" spans="1:17" ht="15" x14ac:dyDescent="0.2">
      <c r="A43" s="437"/>
      <c r="B43" s="375"/>
      <c r="C43" s="409"/>
      <c r="D43" s="365" t="s">
        <v>215</v>
      </c>
      <c r="E43" s="367"/>
      <c r="F43" s="150">
        <v>10</v>
      </c>
      <c r="G43" s="150">
        <v>15</v>
      </c>
      <c r="H43" s="231">
        <v>15</v>
      </c>
      <c r="I43" s="223"/>
      <c r="J43" s="224">
        <v>1820</v>
      </c>
      <c r="K43" s="225" t="s">
        <v>117</v>
      </c>
      <c r="L43" s="226">
        <v>25</v>
      </c>
      <c r="M43" s="227">
        <f t="shared" si="0"/>
        <v>0.04</v>
      </c>
      <c r="N43" s="226">
        <v>25</v>
      </c>
      <c r="O43" s="228">
        <f t="shared" si="1"/>
        <v>0.04</v>
      </c>
      <c r="P43" s="229" t="str">
        <f t="shared" si="2"/>
        <v>No</v>
      </c>
      <c r="Q43" s="229" t="str">
        <f t="shared" si="3"/>
        <v>Yes</v>
      </c>
    </row>
    <row r="44" spans="1:17" ht="15" x14ac:dyDescent="0.2">
      <c r="A44" s="437"/>
      <c r="B44" s="372"/>
      <c r="C44" s="409"/>
      <c r="D44" s="365" t="s">
        <v>216</v>
      </c>
      <c r="E44" s="367"/>
      <c r="F44" s="150">
        <v>20</v>
      </c>
      <c r="G44" s="150">
        <v>20</v>
      </c>
      <c r="H44" s="231">
        <v>30</v>
      </c>
      <c r="I44" s="223"/>
      <c r="J44" s="224">
        <v>1820</v>
      </c>
      <c r="K44" s="225" t="s">
        <v>117</v>
      </c>
      <c r="L44" s="226">
        <v>25</v>
      </c>
      <c r="M44" s="227">
        <f t="shared" si="0"/>
        <v>0.04</v>
      </c>
      <c r="N44" s="226">
        <v>25</v>
      </c>
      <c r="O44" s="228">
        <f t="shared" si="1"/>
        <v>0.04</v>
      </c>
      <c r="P44" s="229" t="str">
        <f t="shared" si="2"/>
        <v>No</v>
      </c>
      <c r="Q44" s="229" t="str">
        <f t="shared" si="3"/>
        <v>No</v>
      </c>
    </row>
    <row r="45" spans="1:17" ht="15" x14ac:dyDescent="0.2">
      <c r="A45" s="437"/>
      <c r="B45" s="371">
        <v>16</v>
      </c>
      <c r="C45" s="373" t="s">
        <v>217</v>
      </c>
      <c r="D45" s="377" t="s">
        <v>194</v>
      </c>
      <c r="E45" s="378"/>
      <c r="F45" s="371">
        <v>30</v>
      </c>
      <c r="G45" s="371">
        <v>40</v>
      </c>
      <c r="H45" s="414">
        <v>60</v>
      </c>
      <c r="I45" s="223"/>
      <c r="J45" s="224">
        <v>1820</v>
      </c>
      <c r="K45" s="225" t="s">
        <v>117</v>
      </c>
      <c r="L45" s="226">
        <v>40</v>
      </c>
      <c r="M45" s="227">
        <f t="shared" si="0"/>
        <v>2.5000000000000001E-2</v>
      </c>
      <c r="N45" s="226">
        <v>40</v>
      </c>
      <c r="O45" s="228">
        <f t="shared" si="1"/>
        <v>2.5000000000000001E-2</v>
      </c>
      <c r="P45" s="229" t="str">
        <f t="shared" si="2"/>
        <v>No</v>
      </c>
      <c r="Q45" s="229" t="str">
        <f t="shared" si="3"/>
        <v>No</v>
      </c>
    </row>
    <row r="46" spans="1:17" ht="15" x14ac:dyDescent="0.2">
      <c r="A46" s="437"/>
      <c r="B46" s="375"/>
      <c r="C46" s="376"/>
      <c r="D46" s="379"/>
      <c r="E46" s="380"/>
      <c r="F46" s="372"/>
      <c r="G46" s="372"/>
      <c r="H46" s="415"/>
      <c r="I46" s="223"/>
      <c r="J46" s="224">
        <v>1820</v>
      </c>
      <c r="K46" s="225" t="s">
        <v>117</v>
      </c>
      <c r="L46" s="226">
        <v>40</v>
      </c>
      <c r="M46" s="227">
        <f t="shared" si="0"/>
        <v>2.5000000000000001E-2</v>
      </c>
      <c r="N46" s="226">
        <v>40</v>
      </c>
      <c r="O46" s="228">
        <f t="shared" si="1"/>
        <v>2.5000000000000001E-2</v>
      </c>
      <c r="P46" s="229" t="str">
        <f>IF(ISBLANK(N46),"",IF(N46&lt;F45,"Yes","No"))</f>
        <v>No</v>
      </c>
      <c r="Q46" s="229" t="str">
        <f>IF(ISBLANK(N46),"",IF(N46&gt;H45,"Yes","No"))</f>
        <v>No</v>
      </c>
    </row>
    <row r="47" spans="1:17" ht="15" x14ac:dyDescent="0.2">
      <c r="A47" s="437"/>
      <c r="B47" s="372"/>
      <c r="C47" s="374"/>
      <c r="D47" s="365" t="s">
        <v>218</v>
      </c>
      <c r="E47" s="367"/>
      <c r="F47" s="150">
        <v>25</v>
      </c>
      <c r="G47" s="150">
        <v>40</v>
      </c>
      <c r="H47" s="231">
        <v>60</v>
      </c>
      <c r="I47" s="223"/>
      <c r="J47" s="224"/>
      <c r="K47" s="225"/>
      <c r="L47" s="226"/>
      <c r="M47" s="227" t="str">
        <f t="shared" si="0"/>
        <v/>
      </c>
      <c r="N47" s="226"/>
      <c r="O47" s="228" t="str">
        <f t="shared" si="1"/>
        <v/>
      </c>
      <c r="P47" s="229" t="str">
        <f t="shared" si="2"/>
        <v/>
      </c>
      <c r="Q47" s="229" t="str">
        <f t="shared" si="3"/>
        <v/>
      </c>
    </row>
    <row r="48" spans="1:17" ht="15" x14ac:dyDescent="0.2">
      <c r="A48" s="437"/>
      <c r="B48" s="150">
        <v>17</v>
      </c>
      <c r="C48" s="365" t="s">
        <v>219</v>
      </c>
      <c r="D48" s="366"/>
      <c r="E48" s="367"/>
      <c r="F48" s="150">
        <v>35</v>
      </c>
      <c r="G48" s="150">
        <v>45</v>
      </c>
      <c r="H48" s="231">
        <v>65</v>
      </c>
      <c r="I48" s="223"/>
      <c r="J48" s="224">
        <v>1820</v>
      </c>
      <c r="K48" s="225" t="s">
        <v>117</v>
      </c>
      <c r="L48" s="226">
        <v>40</v>
      </c>
      <c r="M48" s="227">
        <f t="shared" si="0"/>
        <v>2.5000000000000001E-2</v>
      </c>
      <c r="N48" s="226">
        <v>40</v>
      </c>
      <c r="O48" s="228">
        <f t="shared" si="1"/>
        <v>2.5000000000000001E-2</v>
      </c>
      <c r="P48" s="229" t="str">
        <f t="shared" si="2"/>
        <v>No</v>
      </c>
      <c r="Q48" s="229" t="str">
        <f t="shared" si="3"/>
        <v>No</v>
      </c>
    </row>
    <row r="49" spans="1:17" ht="15" x14ac:dyDescent="0.2">
      <c r="A49" s="437"/>
      <c r="B49" s="150">
        <v>18</v>
      </c>
      <c r="C49" s="365" t="s">
        <v>220</v>
      </c>
      <c r="D49" s="366"/>
      <c r="E49" s="367"/>
      <c r="F49" s="150">
        <v>30</v>
      </c>
      <c r="G49" s="150">
        <v>50</v>
      </c>
      <c r="H49" s="231">
        <v>60</v>
      </c>
      <c r="I49" s="238"/>
      <c r="J49" s="224">
        <v>1820</v>
      </c>
      <c r="K49" s="225" t="s">
        <v>117</v>
      </c>
      <c r="L49" s="226">
        <v>40</v>
      </c>
      <c r="M49" s="227">
        <f t="shared" si="0"/>
        <v>2.5000000000000001E-2</v>
      </c>
      <c r="N49" s="226">
        <v>40</v>
      </c>
      <c r="O49" s="228">
        <f t="shared" si="1"/>
        <v>2.5000000000000001E-2</v>
      </c>
      <c r="P49" s="229" t="str">
        <f t="shared" si="2"/>
        <v>No</v>
      </c>
      <c r="Q49" s="229" t="str">
        <f t="shared" si="3"/>
        <v>No</v>
      </c>
    </row>
    <row r="50" spans="1:17" ht="15" x14ac:dyDescent="0.2">
      <c r="A50" s="437"/>
      <c r="B50" s="150">
        <v>19</v>
      </c>
      <c r="C50" s="365" t="s">
        <v>221</v>
      </c>
      <c r="D50" s="366"/>
      <c r="E50" s="367"/>
      <c r="F50" s="150">
        <v>25</v>
      </c>
      <c r="G50" s="150">
        <v>35</v>
      </c>
      <c r="H50" s="231">
        <v>50</v>
      </c>
      <c r="I50" s="239"/>
      <c r="J50" s="224"/>
      <c r="K50" s="225"/>
      <c r="L50" s="226"/>
      <c r="M50" s="227" t="str">
        <f t="shared" si="0"/>
        <v/>
      </c>
      <c r="N50" s="226"/>
      <c r="O50" s="228" t="str">
        <f t="shared" si="1"/>
        <v/>
      </c>
      <c r="P50" s="229" t="str">
        <f t="shared" si="2"/>
        <v/>
      </c>
      <c r="Q50" s="229" t="str">
        <f t="shared" si="3"/>
        <v/>
      </c>
    </row>
    <row r="51" spans="1:17" ht="15" x14ac:dyDescent="0.2">
      <c r="A51" s="437"/>
      <c r="B51" s="150">
        <v>20</v>
      </c>
      <c r="C51" s="365" t="s">
        <v>222</v>
      </c>
      <c r="D51" s="366"/>
      <c r="E51" s="367"/>
      <c r="F51" s="150">
        <v>10</v>
      </c>
      <c r="G51" s="150">
        <v>30</v>
      </c>
      <c r="H51" s="231">
        <v>45</v>
      </c>
      <c r="I51" s="239"/>
      <c r="J51" s="224">
        <v>1820</v>
      </c>
      <c r="K51" s="225" t="s">
        <v>117</v>
      </c>
      <c r="L51" s="226">
        <v>25</v>
      </c>
      <c r="M51" s="227">
        <f t="shared" si="0"/>
        <v>0.04</v>
      </c>
      <c r="N51" s="226">
        <v>25</v>
      </c>
      <c r="O51" s="228">
        <f t="shared" si="1"/>
        <v>0.04</v>
      </c>
      <c r="P51" s="229" t="str">
        <f t="shared" si="2"/>
        <v>No</v>
      </c>
      <c r="Q51" s="229" t="str">
        <f t="shared" si="3"/>
        <v>No</v>
      </c>
    </row>
    <row r="52" spans="1:17" ht="15" x14ac:dyDescent="0.2">
      <c r="A52" s="437"/>
      <c r="B52" s="150">
        <v>21</v>
      </c>
      <c r="C52" s="365" t="s">
        <v>223</v>
      </c>
      <c r="D52" s="366"/>
      <c r="E52" s="367"/>
      <c r="F52" s="150">
        <v>15</v>
      </c>
      <c r="G52" s="150">
        <v>20</v>
      </c>
      <c r="H52" s="231">
        <v>20</v>
      </c>
      <c r="I52" s="239"/>
      <c r="J52" s="224">
        <v>1820</v>
      </c>
      <c r="K52" s="225" t="s">
        <v>117</v>
      </c>
      <c r="L52" s="226">
        <v>25</v>
      </c>
      <c r="M52" s="227">
        <f t="shared" si="0"/>
        <v>0.04</v>
      </c>
      <c r="N52" s="226">
        <v>25</v>
      </c>
      <c r="O52" s="228">
        <f t="shared" si="1"/>
        <v>0.04</v>
      </c>
      <c r="P52" s="229" t="str">
        <f t="shared" si="2"/>
        <v>No</v>
      </c>
      <c r="Q52" s="229" t="str">
        <f t="shared" si="3"/>
        <v>Yes</v>
      </c>
    </row>
    <row r="53" spans="1:17" ht="15" x14ac:dyDescent="0.2">
      <c r="A53" s="437"/>
      <c r="B53" s="371">
        <v>22</v>
      </c>
      <c r="C53" s="377" t="s">
        <v>224</v>
      </c>
      <c r="D53" s="393"/>
      <c r="E53" s="378"/>
      <c r="F53" s="371">
        <v>30</v>
      </c>
      <c r="G53" s="371">
        <v>55</v>
      </c>
      <c r="H53" s="414">
        <v>60</v>
      </c>
      <c r="I53" s="239"/>
      <c r="J53" s="224">
        <v>1815</v>
      </c>
      <c r="K53" s="225" t="s">
        <v>116</v>
      </c>
      <c r="L53" s="226">
        <v>40</v>
      </c>
      <c r="M53" s="227">
        <f t="shared" si="0"/>
        <v>2.5000000000000001E-2</v>
      </c>
      <c r="N53" s="226">
        <v>40</v>
      </c>
      <c r="O53" s="228">
        <f t="shared" si="1"/>
        <v>2.5000000000000001E-2</v>
      </c>
      <c r="P53" s="229" t="str">
        <f t="shared" si="2"/>
        <v>No</v>
      </c>
      <c r="Q53" s="229" t="str">
        <f t="shared" si="3"/>
        <v>No</v>
      </c>
    </row>
    <row r="54" spans="1:17" ht="15" x14ac:dyDescent="0.2">
      <c r="A54" s="438"/>
      <c r="B54" s="375"/>
      <c r="C54" s="387"/>
      <c r="D54" s="394"/>
      <c r="E54" s="388"/>
      <c r="F54" s="375"/>
      <c r="G54" s="375"/>
      <c r="H54" s="425"/>
      <c r="I54" s="239"/>
      <c r="J54" s="224">
        <v>1815</v>
      </c>
      <c r="K54" s="225" t="s">
        <v>116</v>
      </c>
      <c r="L54" s="226">
        <v>40</v>
      </c>
      <c r="M54" s="227">
        <f t="shared" si="0"/>
        <v>2.5000000000000001E-2</v>
      </c>
      <c r="N54" s="226">
        <v>40</v>
      </c>
      <c r="O54" s="228">
        <f t="shared" si="1"/>
        <v>2.5000000000000001E-2</v>
      </c>
      <c r="P54" s="229" t="str">
        <f>IF(ISBLANK(N54),"",IF(N54&lt;F53,"Yes","No"))</f>
        <v>No</v>
      </c>
      <c r="Q54" s="229" t="str">
        <f>IF(ISBLANK(N54),"",IF(N54&gt;H53,"Yes","No"))</f>
        <v>No</v>
      </c>
    </row>
    <row r="55" spans="1:17" ht="15" x14ac:dyDescent="0.2">
      <c r="A55" s="438"/>
      <c r="B55" s="372"/>
      <c r="C55" s="379"/>
      <c r="D55" s="395"/>
      <c r="E55" s="380"/>
      <c r="F55" s="372"/>
      <c r="G55" s="372"/>
      <c r="H55" s="415"/>
      <c r="I55" s="239"/>
      <c r="J55" s="224">
        <v>1820</v>
      </c>
      <c r="K55" s="225" t="s">
        <v>117</v>
      </c>
      <c r="L55" s="226">
        <v>40</v>
      </c>
      <c r="M55" s="227">
        <f t="shared" si="0"/>
        <v>2.5000000000000001E-2</v>
      </c>
      <c r="N55" s="226">
        <v>40</v>
      </c>
      <c r="O55" s="228">
        <f t="shared" si="1"/>
        <v>2.5000000000000001E-2</v>
      </c>
      <c r="P55" s="229" t="str">
        <f>IF(ISBLANK(N55),"",IF(N55&lt;F53,"Yes","No"))</f>
        <v>No</v>
      </c>
      <c r="Q55" s="229" t="str">
        <f>IF(ISBLANK(N55),"",IF(N55&gt;H53,"Yes","No"))</f>
        <v>No</v>
      </c>
    </row>
    <row r="56" spans="1:17" ht="15" x14ac:dyDescent="0.2">
      <c r="A56" s="438"/>
      <c r="B56" s="371">
        <v>23</v>
      </c>
      <c r="C56" s="377" t="s">
        <v>225</v>
      </c>
      <c r="D56" s="393"/>
      <c r="E56" s="378"/>
      <c r="F56" s="371">
        <v>35</v>
      </c>
      <c r="G56" s="371">
        <v>50</v>
      </c>
      <c r="H56" s="414">
        <v>90</v>
      </c>
      <c r="I56" s="239"/>
      <c r="J56" s="224">
        <v>1815</v>
      </c>
      <c r="K56" s="225" t="s">
        <v>116</v>
      </c>
      <c r="L56" s="226">
        <v>45</v>
      </c>
      <c r="M56" s="227">
        <f t="shared" si="0"/>
        <v>2.2222222222222223E-2</v>
      </c>
      <c r="N56" s="226">
        <v>45</v>
      </c>
      <c r="O56" s="228">
        <f t="shared" si="1"/>
        <v>2.2222222222222223E-2</v>
      </c>
      <c r="P56" s="229" t="str">
        <f>IF(ISBLANK(N56),"",IF(N56&lt;F56,"Yes","No"))</f>
        <v>No</v>
      </c>
      <c r="Q56" s="229" t="str">
        <f>IF(ISBLANK(N56),"",IF(N56&gt;H56,"Yes","No"))</f>
        <v>No</v>
      </c>
    </row>
    <row r="57" spans="1:17" ht="15.75" thickBot="1" x14ac:dyDescent="0.25">
      <c r="A57" s="439"/>
      <c r="B57" s="426"/>
      <c r="C57" s="427"/>
      <c r="D57" s="428"/>
      <c r="E57" s="429"/>
      <c r="F57" s="426"/>
      <c r="G57" s="426"/>
      <c r="H57" s="430"/>
      <c r="I57" s="239"/>
      <c r="J57" s="224">
        <v>1820</v>
      </c>
      <c r="K57" s="225" t="s">
        <v>117</v>
      </c>
      <c r="L57" s="226">
        <v>60</v>
      </c>
      <c r="M57" s="227">
        <f t="shared" si="0"/>
        <v>1.6666666666666666E-2</v>
      </c>
      <c r="N57" s="226">
        <v>60</v>
      </c>
      <c r="O57" s="228">
        <f t="shared" si="1"/>
        <v>1.6666666666666666E-2</v>
      </c>
      <c r="P57" s="229" t="str">
        <f>IF(ISBLANK(N57),"",IF(N57&lt;F56,"Yes","No"))</f>
        <v>No</v>
      </c>
      <c r="Q57" s="229" t="str">
        <f>IF(ISBLANK(N57),"",IF(N57&gt;H56,"Yes","No"))</f>
        <v>No</v>
      </c>
    </row>
    <row r="58" spans="1:17" ht="15" x14ac:dyDescent="0.2">
      <c r="A58" s="416" t="s">
        <v>226</v>
      </c>
      <c r="B58" s="221">
        <v>24</v>
      </c>
      <c r="C58" s="419" t="s">
        <v>227</v>
      </c>
      <c r="D58" s="420"/>
      <c r="E58" s="421"/>
      <c r="F58" s="221">
        <v>60</v>
      </c>
      <c r="G58" s="221">
        <v>65</v>
      </c>
      <c r="H58" s="222">
        <v>75</v>
      </c>
      <c r="I58" s="239"/>
      <c r="J58" s="224"/>
      <c r="K58" s="225"/>
      <c r="L58" s="226"/>
      <c r="M58" s="227" t="str">
        <f t="shared" si="0"/>
        <v/>
      </c>
      <c r="N58" s="226"/>
      <c r="O58" s="228" t="str">
        <f t="shared" si="1"/>
        <v/>
      </c>
      <c r="P58" s="229" t="str">
        <f>IF(ISBLANK(N58),"",IF(N58&lt;F58,"Yes","No"))</f>
        <v/>
      </c>
      <c r="Q58" s="229" t="str">
        <f>IF(ISBLANK(N58),"",IF(N58&gt;H58,"Yes","No"))</f>
        <v/>
      </c>
    </row>
    <row r="59" spans="1:17" ht="15" x14ac:dyDescent="0.2">
      <c r="A59" s="417"/>
      <c r="B59" s="150">
        <v>25</v>
      </c>
      <c r="C59" s="365" t="s">
        <v>228</v>
      </c>
      <c r="D59" s="366"/>
      <c r="E59" s="367"/>
      <c r="F59" s="150">
        <v>20</v>
      </c>
      <c r="G59" s="150">
        <v>25</v>
      </c>
      <c r="H59" s="231">
        <v>25</v>
      </c>
      <c r="I59" s="239"/>
      <c r="J59" s="224"/>
      <c r="K59" s="225"/>
      <c r="L59" s="226"/>
      <c r="M59" s="227" t="str">
        <f t="shared" si="0"/>
        <v/>
      </c>
      <c r="N59" s="226"/>
      <c r="O59" s="228" t="str">
        <f t="shared" si="1"/>
        <v/>
      </c>
      <c r="P59" s="229" t="str">
        <f t="shared" si="2"/>
        <v/>
      </c>
      <c r="Q59" s="229" t="str">
        <f t="shared" si="3"/>
        <v/>
      </c>
    </row>
    <row r="60" spans="1:17" s="242" customFormat="1" ht="27" customHeight="1" x14ac:dyDescent="0.25">
      <c r="A60" s="417"/>
      <c r="B60" s="150">
        <v>26</v>
      </c>
      <c r="C60" s="422" t="s">
        <v>229</v>
      </c>
      <c r="D60" s="423"/>
      <c r="E60" s="424"/>
      <c r="F60" s="150">
        <v>20</v>
      </c>
      <c r="G60" s="150">
        <v>25</v>
      </c>
      <c r="H60" s="231">
        <v>30</v>
      </c>
      <c r="I60" s="240"/>
      <c r="J60" s="224">
        <v>1845</v>
      </c>
      <c r="K60" s="225" t="s">
        <v>122</v>
      </c>
      <c r="L60" s="226">
        <v>40</v>
      </c>
      <c r="M60" s="227">
        <f t="shared" si="0"/>
        <v>2.5000000000000001E-2</v>
      </c>
      <c r="N60" s="226">
        <v>40</v>
      </c>
      <c r="O60" s="228">
        <f t="shared" si="1"/>
        <v>2.5000000000000001E-2</v>
      </c>
      <c r="P60" s="241" t="str">
        <f t="shared" si="2"/>
        <v>No</v>
      </c>
      <c r="Q60" s="241" t="str">
        <f t="shared" si="3"/>
        <v>Yes</v>
      </c>
    </row>
    <row r="61" spans="1:17" ht="15" x14ac:dyDescent="0.2">
      <c r="A61" s="417"/>
      <c r="B61" s="150">
        <v>27</v>
      </c>
      <c r="C61" s="365" t="s">
        <v>230</v>
      </c>
      <c r="D61" s="366"/>
      <c r="E61" s="367"/>
      <c r="F61" s="150">
        <v>20</v>
      </c>
      <c r="G61" s="150">
        <v>25</v>
      </c>
      <c r="H61" s="231">
        <v>30</v>
      </c>
      <c r="I61" s="239"/>
      <c r="J61" s="224">
        <v>1845</v>
      </c>
      <c r="K61" s="225" t="s">
        <v>122</v>
      </c>
      <c r="L61" s="226">
        <v>40</v>
      </c>
      <c r="M61" s="227">
        <f t="shared" si="0"/>
        <v>2.5000000000000001E-2</v>
      </c>
      <c r="N61" s="226">
        <v>40</v>
      </c>
      <c r="O61" s="228">
        <f t="shared" si="1"/>
        <v>2.5000000000000001E-2</v>
      </c>
      <c r="P61" s="229" t="str">
        <f t="shared" si="2"/>
        <v>No</v>
      </c>
      <c r="Q61" s="229" t="str">
        <f t="shared" si="3"/>
        <v>Yes</v>
      </c>
    </row>
    <row r="62" spans="1:17" ht="15" x14ac:dyDescent="0.2">
      <c r="A62" s="417"/>
      <c r="B62" s="150">
        <v>28</v>
      </c>
      <c r="C62" s="235" t="s">
        <v>231</v>
      </c>
      <c r="D62" s="237"/>
      <c r="E62" s="236"/>
      <c r="F62" s="150">
        <v>25</v>
      </c>
      <c r="G62" s="150">
        <v>30</v>
      </c>
      <c r="H62" s="231">
        <v>35</v>
      </c>
      <c r="I62" s="239"/>
      <c r="J62" s="224">
        <v>1845</v>
      </c>
      <c r="K62" s="225" t="s">
        <v>122</v>
      </c>
      <c r="L62" s="226">
        <v>40</v>
      </c>
      <c r="M62" s="227">
        <f t="shared" si="0"/>
        <v>2.5000000000000001E-2</v>
      </c>
      <c r="N62" s="226">
        <v>40</v>
      </c>
      <c r="O62" s="228">
        <f t="shared" si="1"/>
        <v>2.5000000000000001E-2</v>
      </c>
      <c r="P62" s="229" t="str">
        <f t="shared" si="2"/>
        <v>No</v>
      </c>
      <c r="Q62" s="229" t="str">
        <f t="shared" si="3"/>
        <v>Yes</v>
      </c>
    </row>
    <row r="63" spans="1:17" ht="15" x14ac:dyDescent="0.2">
      <c r="A63" s="417"/>
      <c r="B63" s="371">
        <v>29</v>
      </c>
      <c r="C63" s="377" t="s">
        <v>232</v>
      </c>
      <c r="D63" s="393"/>
      <c r="E63" s="378"/>
      <c r="F63" s="371">
        <v>35</v>
      </c>
      <c r="G63" s="371">
        <v>40</v>
      </c>
      <c r="H63" s="414">
        <v>55</v>
      </c>
      <c r="I63" s="239"/>
      <c r="J63" s="224">
        <v>1845</v>
      </c>
      <c r="K63" s="225" t="s">
        <v>122</v>
      </c>
      <c r="L63" s="226">
        <v>40</v>
      </c>
      <c r="M63" s="227">
        <f t="shared" si="0"/>
        <v>2.5000000000000001E-2</v>
      </c>
      <c r="N63" s="226">
        <v>40</v>
      </c>
      <c r="O63" s="228">
        <f t="shared" si="1"/>
        <v>2.5000000000000001E-2</v>
      </c>
      <c r="P63" s="229" t="str">
        <f t="shared" si="2"/>
        <v>No</v>
      </c>
      <c r="Q63" s="229" t="str">
        <f t="shared" si="3"/>
        <v>No</v>
      </c>
    </row>
    <row r="64" spans="1:17" ht="15" x14ac:dyDescent="0.2">
      <c r="A64" s="417"/>
      <c r="B64" s="372"/>
      <c r="C64" s="379"/>
      <c r="D64" s="395"/>
      <c r="E64" s="380"/>
      <c r="F64" s="372"/>
      <c r="G64" s="372"/>
      <c r="H64" s="415"/>
      <c r="I64" s="239"/>
      <c r="J64" s="224">
        <v>1820</v>
      </c>
      <c r="K64" s="225" t="s">
        <v>117</v>
      </c>
      <c r="L64" s="226">
        <v>40</v>
      </c>
      <c r="M64" s="227">
        <f t="shared" si="0"/>
        <v>2.5000000000000001E-2</v>
      </c>
      <c r="N64" s="226">
        <v>40</v>
      </c>
      <c r="O64" s="228">
        <f t="shared" si="1"/>
        <v>2.5000000000000001E-2</v>
      </c>
      <c r="P64" s="229" t="str">
        <f>IF(ISBLANK(N64),"",IF(N64&lt;F63,"Yes","No"))</f>
        <v>No</v>
      </c>
      <c r="Q64" s="229" t="str">
        <f>IF(ISBLANK(N64),"",IF(N64&gt;H63,"Yes","No"))</f>
        <v>No</v>
      </c>
    </row>
    <row r="65" spans="1:17" ht="15" x14ac:dyDescent="0.2">
      <c r="A65" s="417"/>
      <c r="B65" s="150">
        <v>30</v>
      </c>
      <c r="C65" s="409" t="s">
        <v>233</v>
      </c>
      <c r="D65" s="409"/>
      <c r="E65" s="409"/>
      <c r="F65" s="150">
        <v>70</v>
      </c>
      <c r="G65" s="150">
        <v>75</v>
      </c>
      <c r="H65" s="231">
        <v>80</v>
      </c>
      <c r="I65" s="239"/>
      <c r="J65" s="224"/>
      <c r="K65" s="225"/>
      <c r="L65" s="226"/>
      <c r="M65" s="227" t="str">
        <f t="shared" si="0"/>
        <v/>
      </c>
      <c r="N65" s="226"/>
      <c r="O65" s="228" t="str">
        <f t="shared" si="1"/>
        <v/>
      </c>
      <c r="P65" s="229" t="str">
        <f t="shared" si="2"/>
        <v/>
      </c>
      <c r="Q65" s="229" t="str">
        <f t="shared" si="3"/>
        <v/>
      </c>
    </row>
    <row r="66" spans="1:17" ht="15" x14ac:dyDescent="0.2">
      <c r="A66" s="417"/>
      <c r="B66" s="150">
        <v>31</v>
      </c>
      <c r="C66" s="409" t="s">
        <v>234</v>
      </c>
      <c r="D66" s="409"/>
      <c r="E66" s="409"/>
      <c r="F66" s="150">
        <v>25</v>
      </c>
      <c r="G66" s="150">
        <v>35</v>
      </c>
      <c r="H66" s="231">
        <v>40</v>
      </c>
      <c r="I66" s="239"/>
      <c r="J66" s="224">
        <v>1845</v>
      </c>
      <c r="K66" s="225" t="s">
        <v>122</v>
      </c>
      <c r="L66" s="226">
        <v>40</v>
      </c>
      <c r="M66" s="227">
        <f t="shared" si="0"/>
        <v>2.5000000000000001E-2</v>
      </c>
      <c r="N66" s="226">
        <v>40</v>
      </c>
      <c r="O66" s="228">
        <f t="shared" si="1"/>
        <v>2.5000000000000001E-2</v>
      </c>
      <c r="P66" s="229" t="str">
        <f t="shared" si="2"/>
        <v>No</v>
      </c>
      <c r="Q66" s="229" t="str">
        <f t="shared" si="3"/>
        <v>No</v>
      </c>
    </row>
    <row r="67" spans="1:17" ht="15" x14ac:dyDescent="0.2">
      <c r="A67" s="417"/>
      <c r="B67" s="150">
        <v>32</v>
      </c>
      <c r="C67" s="409" t="s">
        <v>235</v>
      </c>
      <c r="D67" s="409"/>
      <c r="E67" s="409"/>
      <c r="F67" s="150">
        <v>35</v>
      </c>
      <c r="G67" s="150">
        <v>40</v>
      </c>
      <c r="H67" s="231">
        <v>60</v>
      </c>
      <c r="I67" s="239"/>
      <c r="J67" s="224">
        <v>1855</v>
      </c>
      <c r="K67" s="225" t="s">
        <v>124</v>
      </c>
      <c r="L67" s="226">
        <v>40</v>
      </c>
      <c r="M67" s="227">
        <f t="shared" si="0"/>
        <v>2.5000000000000001E-2</v>
      </c>
      <c r="N67" s="226">
        <v>40</v>
      </c>
      <c r="O67" s="228">
        <f t="shared" si="1"/>
        <v>2.5000000000000001E-2</v>
      </c>
      <c r="P67" s="229" t="str">
        <f t="shared" si="2"/>
        <v>No</v>
      </c>
      <c r="Q67" s="229" t="str">
        <f t="shared" si="3"/>
        <v>No</v>
      </c>
    </row>
    <row r="68" spans="1:17" ht="15" x14ac:dyDescent="0.2">
      <c r="A68" s="417"/>
      <c r="B68" s="371">
        <v>33</v>
      </c>
      <c r="C68" s="409" t="s">
        <v>236</v>
      </c>
      <c r="D68" s="412" t="s">
        <v>194</v>
      </c>
      <c r="E68" s="413"/>
      <c r="F68" s="150">
        <v>20</v>
      </c>
      <c r="G68" s="150">
        <v>35</v>
      </c>
      <c r="H68" s="231">
        <v>50</v>
      </c>
      <c r="I68" s="239"/>
      <c r="J68" s="224"/>
      <c r="K68" s="225"/>
      <c r="L68" s="226"/>
      <c r="M68" s="227" t="str">
        <f t="shared" si="0"/>
        <v/>
      </c>
      <c r="N68" s="226"/>
      <c r="O68" s="228" t="str">
        <f t="shared" si="1"/>
        <v/>
      </c>
      <c r="P68" s="229" t="str">
        <f t="shared" si="2"/>
        <v/>
      </c>
      <c r="Q68" s="229" t="str">
        <f t="shared" si="3"/>
        <v/>
      </c>
    </row>
    <row r="69" spans="1:17" ht="15" x14ac:dyDescent="0.2">
      <c r="A69" s="417"/>
      <c r="B69" s="372"/>
      <c r="C69" s="409"/>
      <c r="D69" s="412" t="s">
        <v>237</v>
      </c>
      <c r="E69" s="413"/>
      <c r="F69" s="150">
        <v>20</v>
      </c>
      <c r="G69" s="150">
        <v>35</v>
      </c>
      <c r="H69" s="231">
        <v>40</v>
      </c>
      <c r="I69" s="239"/>
      <c r="J69" s="224"/>
      <c r="K69" s="225"/>
      <c r="L69" s="226"/>
      <c r="M69" s="227" t="str">
        <f t="shared" si="0"/>
        <v/>
      </c>
      <c r="N69" s="226"/>
      <c r="O69" s="228" t="str">
        <f t="shared" si="1"/>
        <v/>
      </c>
      <c r="P69" s="229" t="str">
        <f t="shared" si="2"/>
        <v/>
      </c>
      <c r="Q69" s="229" t="str">
        <f t="shared" si="3"/>
        <v/>
      </c>
    </row>
    <row r="70" spans="1:17" ht="15" x14ac:dyDescent="0.2">
      <c r="A70" s="417"/>
      <c r="B70" s="150">
        <v>34</v>
      </c>
      <c r="C70" s="365" t="s">
        <v>238</v>
      </c>
      <c r="D70" s="366"/>
      <c r="E70" s="367"/>
      <c r="F70" s="150">
        <v>25</v>
      </c>
      <c r="G70" s="150">
        <v>40</v>
      </c>
      <c r="H70" s="231">
        <v>45</v>
      </c>
      <c r="I70" s="239"/>
      <c r="J70" s="224">
        <v>1850</v>
      </c>
      <c r="K70" s="225" t="s">
        <v>123</v>
      </c>
      <c r="L70" s="226">
        <v>30</v>
      </c>
      <c r="M70" s="227">
        <f t="shared" si="0"/>
        <v>3.3333333333333333E-2</v>
      </c>
      <c r="N70" s="226">
        <v>30</v>
      </c>
      <c r="O70" s="228">
        <f t="shared" si="1"/>
        <v>3.3333333333333333E-2</v>
      </c>
      <c r="P70" s="229" t="str">
        <f t="shared" si="2"/>
        <v>No</v>
      </c>
      <c r="Q70" s="229" t="str">
        <f t="shared" si="3"/>
        <v>No</v>
      </c>
    </row>
    <row r="71" spans="1:17" ht="15" x14ac:dyDescent="0.2">
      <c r="A71" s="417"/>
      <c r="B71" s="150">
        <v>35</v>
      </c>
      <c r="C71" s="365" t="s">
        <v>239</v>
      </c>
      <c r="D71" s="366"/>
      <c r="E71" s="367"/>
      <c r="F71" s="150">
        <v>25</v>
      </c>
      <c r="G71" s="150">
        <v>35</v>
      </c>
      <c r="H71" s="231">
        <v>45</v>
      </c>
      <c r="I71" s="239"/>
      <c r="J71" s="224">
        <v>1850</v>
      </c>
      <c r="K71" s="225" t="s">
        <v>123</v>
      </c>
      <c r="L71" s="226">
        <v>30</v>
      </c>
      <c r="M71" s="227">
        <f t="shared" si="0"/>
        <v>3.3333333333333333E-2</v>
      </c>
      <c r="N71" s="226">
        <v>30</v>
      </c>
      <c r="O71" s="228">
        <f t="shared" si="1"/>
        <v>3.3333333333333333E-2</v>
      </c>
      <c r="P71" s="229" t="str">
        <f t="shared" si="2"/>
        <v>No</v>
      </c>
      <c r="Q71" s="229" t="str">
        <f t="shared" si="3"/>
        <v>No</v>
      </c>
    </row>
    <row r="72" spans="1:17" ht="15" x14ac:dyDescent="0.2">
      <c r="A72" s="417"/>
      <c r="B72" s="150">
        <v>36</v>
      </c>
      <c r="C72" s="365" t="s">
        <v>240</v>
      </c>
      <c r="D72" s="366"/>
      <c r="E72" s="367"/>
      <c r="F72" s="150">
        <v>35</v>
      </c>
      <c r="G72" s="150">
        <v>55</v>
      </c>
      <c r="H72" s="231">
        <v>70</v>
      </c>
      <c r="I72" s="239"/>
      <c r="J72" s="224">
        <v>1840</v>
      </c>
      <c r="K72" s="225" t="s">
        <v>121</v>
      </c>
      <c r="L72" s="226">
        <v>60</v>
      </c>
      <c r="M72" s="227">
        <f t="shared" si="0"/>
        <v>1.6666666666666666E-2</v>
      </c>
      <c r="N72" s="226">
        <v>60</v>
      </c>
      <c r="O72" s="228">
        <f t="shared" si="1"/>
        <v>1.6666666666666666E-2</v>
      </c>
      <c r="P72" s="229" t="str">
        <f t="shared" si="2"/>
        <v>No</v>
      </c>
      <c r="Q72" s="229" t="str">
        <f t="shared" si="3"/>
        <v>No</v>
      </c>
    </row>
    <row r="73" spans="1:17" ht="15" x14ac:dyDescent="0.2">
      <c r="A73" s="417"/>
      <c r="B73" s="371">
        <v>37</v>
      </c>
      <c r="C73" s="373" t="s">
        <v>241</v>
      </c>
      <c r="D73" s="412" t="s">
        <v>194</v>
      </c>
      <c r="E73" s="413"/>
      <c r="F73" s="150">
        <v>40</v>
      </c>
      <c r="G73" s="150">
        <v>60</v>
      </c>
      <c r="H73" s="231">
        <v>80</v>
      </c>
      <c r="I73" s="239"/>
      <c r="J73" s="224">
        <v>1840</v>
      </c>
      <c r="K73" s="225" t="s">
        <v>121</v>
      </c>
      <c r="L73" s="226">
        <v>60</v>
      </c>
      <c r="M73" s="227">
        <f t="shared" si="0"/>
        <v>1.6666666666666666E-2</v>
      </c>
      <c r="N73" s="226">
        <v>60</v>
      </c>
      <c r="O73" s="228">
        <f t="shared" si="1"/>
        <v>1.6666666666666666E-2</v>
      </c>
      <c r="P73" s="229" t="str">
        <f t="shared" si="2"/>
        <v>No</v>
      </c>
      <c r="Q73" s="229" t="str">
        <f t="shared" si="3"/>
        <v>No</v>
      </c>
    </row>
    <row r="74" spans="1:17" ht="15" x14ac:dyDescent="0.2">
      <c r="A74" s="417"/>
      <c r="B74" s="372"/>
      <c r="C74" s="374"/>
      <c r="D74" s="412" t="s">
        <v>242</v>
      </c>
      <c r="E74" s="413"/>
      <c r="F74" s="150">
        <v>20</v>
      </c>
      <c r="G74" s="150">
        <v>30</v>
      </c>
      <c r="H74" s="231">
        <v>45</v>
      </c>
      <c r="I74" s="239"/>
      <c r="J74" s="224">
        <v>1840</v>
      </c>
      <c r="K74" s="225" t="s">
        <v>121</v>
      </c>
      <c r="L74" s="226">
        <v>60</v>
      </c>
      <c r="M74" s="227">
        <f t="shared" si="0"/>
        <v>1.6666666666666666E-2</v>
      </c>
      <c r="N74" s="226">
        <v>60</v>
      </c>
      <c r="O74" s="228">
        <f t="shared" si="1"/>
        <v>1.6666666666666666E-2</v>
      </c>
      <c r="P74" s="229" t="str">
        <f t="shared" si="2"/>
        <v>No</v>
      </c>
      <c r="Q74" s="229" t="str">
        <f t="shared" si="3"/>
        <v>Yes</v>
      </c>
    </row>
    <row r="75" spans="1:17" ht="15" x14ac:dyDescent="0.2">
      <c r="A75" s="417"/>
      <c r="B75" s="150">
        <v>38</v>
      </c>
      <c r="C75" s="409" t="s">
        <v>243</v>
      </c>
      <c r="D75" s="409"/>
      <c r="E75" s="409"/>
      <c r="F75" s="150">
        <v>20</v>
      </c>
      <c r="G75" s="150">
        <v>35</v>
      </c>
      <c r="H75" s="231">
        <v>50</v>
      </c>
      <c r="I75" s="239"/>
      <c r="J75" s="224">
        <v>1845</v>
      </c>
      <c r="K75" s="225" t="s">
        <v>122</v>
      </c>
      <c r="L75" s="226">
        <v>25</v>
      </c>
      <c r="M75" s="227">
        <f t="shared" si="0"/>
        <v>0.04</v>
      </c>
      <c r="N75" s="226">
        <v>25</v>
      </c>
      <c r="O75" s="228">
        <f t="shared" si="1"/>
        <v>0.04</v>
      </c>
      <c r="P75" s="229" t="str">
        <f t="shared" si="2"/>
        <v>No</v>
      </c>
      <c r="Q75" s="229" t="str">
        <f t="shared" si="3"/>
        <v>No</v>
      </c>
    </row>
    <row r="76" spans="1:17" ht="15" x14ac:dyDescent="0.2">
      <c r="A76" s="417"/>
      <c r="B76" s="150">
        <v>39</v>
      </c>
      <c r="C76" s="409" t="s">
        <v>244</v>
      </c>
      <c r="D76" s="409"/>
      <c r="E76" s="409"/>
      <c r="F76" s="150">
        <v>20</v>
      </c>
      <c r="G76" s="150">
        <v>30</v>
      </c>
      <c r="H76" s="231">
        <v>45</v>
      </c>
      <c r="I76" s="239"/>
      <c r="J76" s="224">
        <v>1845</v>
      </c>
      <c r="K76" s="225" t="s">
        <v>122</v>
      </c>
      <c r="L76" s="226">
        <v>25</v>
      </c>
      <c r="M76" s="227">
        <f t="shared" si="0"/>
        <v>0.04</v>
      </c>
      <c r="N76" s="226">
        <v>25</v>
      </c>
      <c r="O76" s="228">
        <f t="shared" si="1"/>
        <v>0.04</v>
      </c>
      <c r="P76" s="229" t="str">
        <f t="shared" si="2"/>
        <v>No</v>
      </c>
      <c r="Q76" s="229" t="str">
        <f t="shared" si="3"/>
        <v>No</v>
      </c>
    </row>
    <row r="77" spans="1:17" ht="15" x14ac:dyDescent="0.2">
      <c r="A77" s="417"/>
      <c r="B77" s="150">
        <v>40</v>
      </c>
      <c r="C77" s="409" t="s">
        <v>245</v>
      </c>
      <c r="D77" s="409"/>
      <c r="E77" s="409"/>
      <c r="F77" s="150">
        <v>30</v>
      </c>
      <c r="G77" s="150">
        <v>50</v>
      </c>
      <c r="H77" s="231">
        <v>85</v>
      </c>
      <c r="I77" s="239"/>
      <c r="J77" s="224">
        <v>1840</v>
      </c>
      <c r="K77" s="225" t="s">
        <v>121</v>
      </c>
      <c r="L77" s="226">
        <v>60</v>
      </c>
      <c r="M77" s="227">
        <f t="shared" si="0"/>
        <v>1.6666666666666666E-2</v>
      </c>
      <c r="N77" s="226">
        <v>60</v>
      </c>
      <c r="O77" s="228">
        <f t="shared" si="1"/>
        <v>1.6666666666666666E-2</v>
      </c>
      <c r="P77" s="229" t="str">
        <f t="shared" si="2"/>
        <v>No</v>
      </c>
      <c r="Q77" s="229" t="str">
        <f t="shared" si="3"/>
        <v>No</v>
      </c>
    </row>
    <row r="78" spans="1:17" ht="15" x14ac:dyDescent="0.2">
      <c r="A78" s="417"/>
      <c r="B78" s="150">
        <v>41</v>
      </c>
      <c r="C78" s="409" t="s">
        <v>246</v>
      </c>
      <c r="D78" s="409"/>
      <c r="E78" s="409"/>
      <c r="F78" s="150">
        <v>35</v>
      </c>
      <c r="G78" s="150">
        <v>55</v>
      </c>
      <c r="H78" s="231">
        <v>80</v>
      </c>
      <c r="I78" s="239"/>
      <c r="J78" s="224">
        <v>1840</v>
      </c>
      <c r="K78" s="225" t="s">
        <v>121</v>
      </c>
      <c r="L78" s="226">
        <v>60</v>
      </c>
      <c r="M78" s="227">
        <f t="shared" si="0"/>
        <v>1.6666666666666666E-2</v>
      </c>
      <c r="N78" s="226">
        <v>60</v>
      </c>
      <c r="O78" s="228">
        <f t="shared" si="1"/>
        <v>1.6666666666666666E-2</v>
      </c>
      <c r="P78" s="229" t="str">
        <f t="shared" si="2"/>
        <v>No</v>
      </c>
      <c r="Q78" s="229" t="str">
        <f t="shared" si="3"/>
        <v>No</v>
      </c>
    </row>
    <row r="79" spans="1:17" ht="15.75" thickBot="1" x14ac:dyDescent="0.25">
      <c r="A79" s="418"/>
      <c r="B79" s="243">
        <v>42</v>
      </c>
      <c r="C79" s="410" t="s">
        <v>247</v>
      </c>
      <c r="D79" s="410"/>
      <c r="E79" s="410"/>
      <c r="F79" s="243">
        <v>50</v>
      </c>
      <c r="G79" s="243">
        <v>60</v>
      </c>
      <c r="H79" s="244">
        <v>80</v>
      </c>
      <c r="I79" s="239"/>
      <c r="J79" s="224">
        <v>1840</v>
      </c>
      <c r="K79" s="225" t="s">
        <v>121</v>
      </c>
      <c r="L79" s="226">
        <v>60</v>
      </c>
      <c r="M79" s="227">
        <f t="shared" si="0"/>
        <v>1.6666666666666666E-2</v>
      </c>
      <c r="N79" s="226">
        <v>60</v>
      </c>
      <c r="O79" s="228">
        <f t="shared" si="1"/>
        <v>1.6666666666666666E-2</v>
      </c>
      <c r="P79" s="229" t="str">
        <f t="shared" si="2"/>
        <v>No</v>
      </c>
      <c r="Q79" s="229" t="str">
        <f t="shared" si="3"/>
        <v>No</v>
      </c>
    </row>
    <row r="80" spans="1:17" ht="15.75" thickBot="1" x14ac:dyDescent="0.25">
      <c r="A80" s="245" t="s">
        <v>248</v>
      </c>
      <c r="B80" s="246">
        <v>43</v>
      </c>
      <c r="C80" s="411" t="s">
        <v>249</v>
      </c>
      <c r="D80" s="411"/>
      <c r="E80" s="411"/>
      <c r="F80" s="246">
        <v>15</v>
      </c>
      <c r="G80" s="246">
        <v>20</v>
      </c>
      <c r="H80" s="247">
        <v>30</v>
      </c>
      <c r="I80" s="239"/>
      <c r="J80" s="224">
        <v>1980</v>
      </c>
      <c r="K80" s="225" t="s">
        <v>144</v>
      </c>
      <c r="L80" s="226">
        <v>15</v>
      </c>
      <c r="M80" s="227">
        <f t="shared" si="0"/>
        <v>6.6666666666666666E-2</v>
      </c>
      <c r="N80" s="226">
        <v>15</v>
      </c>
      <c r="O80" s="228">
        <f t="shared" si="1"/>
        <v>6.6666666666666666E-2</v>
      </c>
      <c r="P80" s="229" t="str">
        <f t="shared" si="2"/>
        <v>No</v>
      </c>
      <c r="Q80" s="229" t="str">
        <f t="shared" si="3"/>
        <v>No</v>
      </c>
    </row>
    <row r="81" spans="1:17" x14ac:dyDescent="0.2">
      <c r="I81" s="239"/>
    </row>
    <row r="82" spans="1:17" x14ac:dyDescent="0.2">
      <c r="I82" s="239"/>
    </row>
    <row r="83" spans="1:17" ht="18" customHeight="1" x14ac:dyDescent="0.2">
      <c r="A83" s="400" t="s">
        <v>250</v>
      </c>
      <c r="B83" s="400"/>
      <c r="C83" s="400"/>
      <c r="D83" s="400"/>
      <c r="E83" s="400"/>
      <c r="F83" s="400"/>
      <c r="G83" s="400"/>
      <c r="H83" s="400"/>
      <c r="I83" s="239"/>
    </row>
    <row r="84" spans="1:17" x14ac:dyDescent="0.2">
      <c r="I84" s="239"/>
    </row>
    <row r="85" spans="1:17" ht="30.75" customHeight="1" x14ac:dyDescent="0.2">
      <c r="B85" s="211"/>
      <c r="C85" s="399" t="s">
        <v>175</v>
      </c>
      <c r="D85" s="399"/>
      <c r="E85" s="399"/>
      <c r="F85" s="401" t="s">
        <v>251</v>
      </c>
      <c r="G85" s="402"/>
      <c r="H85" s="403"/>
      <c r="I85" s="239"/>
      <c r="J85" s="407" t="s">
        <v>177</v>
      </c>
      <c r="K85" s="407" t="s">
        <v>178</v>
      </c>
      <c r="L85" s="398" t="s">
        <v>179</v>
      </c>
      <c r="M85" s="398"/>
      <c r="N85" s="396" t="s">
        <v>180</v>
      </c>
      <c r="O85" s="397"/>
      <c r="P85" s="398" t="s">
        <v>181</v>
      </c>
      <c r="Q85" s="398"/>
    </row>
    <row r="86" spans="1:17" ht="30" x14ac:dyDescent="0.2">
      <c r="B86" s="212" t="s">
        <v>183</v>
      </c>
      <c r="C86" s="399" t="s">
        <v>184</v>
      </c>
      <c r="D86" s="399"/>
      <c r="E86" s="399"/>
      <c r="F86" s="404"/>
      <c r="G86" s="405"/>
      <c r="H86" s="406"/>
      <c r="I86" s="239"/>
      <c r="J86" s="408"/>
      <c r="K86" s="408"/>
      <c r="L86" s="218" t="s">
        <v>188</v>
      </c>
      <c r="M86" s="218" t="s">
        <v>189</v>
      </c>
      <c r="N86" s="219" t="s">
        <v>188</v>
      </c>
      <c r="O86" s="248" t="s">
        <v>189</v>
      </c>
      <c r="P86" s="214" t="s">
        <v>252</v>
      </c>
      <c r="Q86" s="214" t="s">
        <v>253</v>
      </c>
    </row>
    <row r="87" spans="1:17" ht="15" x14ac:dyDescent="0.2">
      <c r="B87" s="150">
        <v>1</v>
      </c>
      <c r="C87" s="365" t="s">
        <v>254</v>
      </c>
      <c r="D87" s="366"/>
      <c r="E87" s="367"/>
      <c r="F87" s="249">
        <v>5</v>
      </c>
      <c r="G87" s="368">
        <v>15</v>
      </c>
      <c r="H87" s="368"/>
      <c r="I87" s="239"/>
      <c r="J87" s="224">
        <v>1915</v>
      </c>
      <c r="K87" s="225" t="s">
        <v>255</v>
      </c>
      <c r="L87" s="226">
        <v>10</v>
      </c>
      <c r="M87" s="227">
        <f>IF(ISERROR(1/L87), "", 1/L87)</f>
        <v>0.1</v>
      </c>
      <c r="N87" s="226">
        <v>10</v>
      </c>
      <c r="O87" s="227">
        <f>IF(ISERROR(1/N87), "", 1/N87)</f>
        <v>0.1</v>
      </c>
      <c r="P87" s="229" t="str">
        <f>IF(ISBLANK(N87),"",IF(N87&lt;F87,"Yes","No"))</f>
        <v>No</v>
      </c>
      <c r="Q87" s="229" t="str">
        <f>IF(ISBLANK(N87),"",IF(N87&gt;G87,"Yes","No"))</f>
        <v>No</v>
      </c>
    </row>
    <row r="88" spans="1:17" ht="15" x14ac:dyDescent="0.2">
      <c r="B88" s="371">
        <v>2</v>
      </c>
      <c r="C88" s="373" t="s">
        <v>256</v>
      </c>
      <c r="D88" s="377" t="s">
        <v>257</v>
      </c>
      <c r="E88" s="378"/>
      <c r="F88" s="381">
        <v>5</v>
      </c>
      <c r="G88" s="383">
        <v>15</v>
      </c>
      <c r="H88" s="384"/>
      <c r="I88" s="239"/>
      <c r="J88" s="224">
        <v>1930</v>
      </c>
      <c r="K88" s="225" t="s">
        <v>134</v>
      </c>
      <c r="L88" s="226">
        <v>12</v>
      </c>
      <c r="M88" s="227">
        <f t="shared" ref="M88:M121" si="4">IF(ISERROR(1/L88), "", 1/L88)</f>
        <v>8.3333333333333329E-2</v>
      </c>
      <c r="N88" s="226">
        <v>12</v>
      </c>
      <c r="O88" s="227">
        <f t="shared" ref="O88:O121" si="5">IF(ISERROR(1/N88), "", 1/N88)</f>
        <v>8.3333333333333329E-2</v>
      </c>
      <c r="P88" s="229" t="str">
        <f t="shared" ref="P88:P121" si="6">IF(ISBLANK(N88),"",IF(N88&lt;F88,"Yes","No"))</f>
        <v>No</v>
      </c>
      <c r="Q88" s="229" t="str">
        <f t="shared" ref="Q88:Q121" si="7">IF(ISBLANK(N88),"",IF(N88&gt;G88,"Yes","No"))</f>
        <v>No</v>
      </c>
    </row>
    <row r="89" spans="1:17" ht="15" x14ac:dyDescent="0.2">
      <c r="B89" s="375"/>
      <c r="C89" s="376"/>
      <c r="D89" s="387"/>
      <c r="E89" s="388"/>
      <c r="F89" s="389"/>
      <c r="G89" s="390"/>
      <c r="H89" s="391"/>
      <c r="I89" s="239"/>
      <c r="J89" s="224">
        <v>1930</v>
      </c>
      <c r="K89" s="225" t="s">
        <v>134</v>
      </c>
      <c r="L89" s="226">
        <v>15</v>
      </c>
      <c r="M89" s="227">
        <f t="shared" si="4"/>
        <v>6.6666666666666666E-2</v>
      </c>
      <c r="N89" s="226">
        <v>15</v>
      </c>
      <c r="O89" s="227">
        <f t="shared" si="5"/>
        <v>6.6666666666666666E-2</v>
      </c>
      <c r="P89" s="229" t="str">
        <f>IF(ISBLANK(N89),"",IF(N89&lt;F88,"Yes","No"))</f>
        <v>No</v>
      </c>
      <c r="Q89" s="229" t="str">
        <f>IF(ISBLANK(N89),"",IF(N89&gt;G88,"Yes","No"))</f>
        <v>No</v>
      </c>
    </row>
    <row r="90" spans="1:17" ht="15" x14ac:dyDescent="0.2">
      <c r="B90" s="375"/>
      <c r="C90" s="376"/>
      <c r="D90" s="379"/>
      <c r="E90" s="380"/>
      <c r="F90" s="382"/>
      <c r="G90" s="385"/>
      <c r="H90" s="386"/>
      <c r="I90" s="239"/>
      <c r="J90" s="224">
        <v>1930</v>
      </c>
      <c r="K90" s="225" t="s">
        <v>134</v>
      </c>
      <c r="L90" s="226">
        <v>15</v>
      </c>
      <c r="M90" s="227">
        <f t="shared" si="4"/>
        <v>6.6666666666666666E-2</v>
      </c>
      <c r="N90" s="226">
        <v>15</v>
      </c>
      <c r="O90" s="227">
        <f t="shared" si="5"/>
        <v>6.6666666666666666E-2</v>
      </c>
      <c r="P90" s="229" t="str">
        <f>IF(ISBLANK(N90),"",IF(N90&lt;F88,"Yes","No"))</f>
        <v>No</v>
      </c>
      <c r="Q90" s="229" t="str">
        <f>IF(ISBLANK(N90),"",IF(N90&gt;G88,"Yes","No"))</f>
        <v>No</v>
      </c>
    </row>
    <row r="91" spans="1:17" ht="15" x14ac:dyDescent="0.2">
      <c r="B91" s="375"/>
      <c r="C91" s="376"/>
      <c r="D91" s="365" t="s">
        <v>258</v>
      </c>
      <c r="E91" s="367"/>
      <c r="F91" s="249">
        <v>5</v>
      </c>
      <c r="G91" s="368">
        <v>20</v>
      </c>
      <c r="H91" s="368"/>
      <c r="I91" s="239"/>
      <c r="J91" s="224"/>
      <c r="K91" s="225"/>
      <c r="L91" s="226"/>
      <c r="M91" s="227" t="str">
        <f t="shared" si="4"/>
        <v/>
      </c>
      <c r="N91" s="226"/>
      <c r="O91" s="227" t="str">
        <f t="shared" si="5"/>
        <v/>
      </c>
      <c r="P91" s="229" t="str">
        <f t="shared" si="6"/>
        <v/>
      </c>
      <c r="Q91" s="229" t="str">
        <f t="shared" si="7"/>
        <v/>
      </c>
    </row>
    <row r="92" spans="1:17" ht="15" x14ac:dyDescent="0.2">
      <c r="B92" s="372"/>
      <c r="C92" s="374"/>
      <c r="D92" s="365" t="s">
        <v>259</v>
      </c>
      <c r="E92" s="367"/>
      <c r="F92" s="249">
        <v>5</v>
      </c>
      <c r="G92" s="368">
        <v>10</v>
      </c>
      <c r="H92" s="368"/>
      <c r="I92" s="239"/>
      <c r="J92" s="224">
        <v>1930</v>
      </c>
      <c r="K92" s="225" t="s">
        <v>134</v>
      </c>
      <c r="L92" s="226">
        <v>6</v>
      </c>
      <c r="M92" s="227">
        <f t="shared" si="4"/>
        <v>0.16666666666666666</v>
      </c>
      <c r="N92" s="226">
        <v>6</v>
      </c>
      <c r="O92" s="227">
        <f t="shared" si="5"/>
        <v>0.16666666666666666</v>
      </c>
      <c r="P92" s="229" t="str">
        <f t="shared" si="6"/>
        <v>No</v>
      </c>
      <c r="Q92" s="229" t="str">
        <f t="shared" si="7"/>
        <v>No</v>
      </c>
    </row>
    <row r="93" spans="1:17" ht="15" x14ac:dyDescent="0.2">
      <c r="B93" s="371">
        <v>3</v>
      </c>
      <c r="C93" s="377" t="s">
        <v>260</v>
      </c>
      <c r="D93" s="393"/>
      <c r="E93" s="378"/>
      <c r="F93" s="381">
        <v>50</v>
      </c>
      <c r="G93" s="383">
        <v>75</v>
      </c>
      <c r="H93" s="384"/>
      <c r="I93" s="239"/>
      <c r="J93" s="224">
        <v>1908</v>
      </c>
      <c r="K93" s="225" t="s">
        <v>128</v>
      </c>
      <c r="L93" s="226">
        <v>25</v>
      </c>
      <c r="M93" s="227">
        <f t="shared" si="4"/>
        <v>0.04</v>
      </c>
      <c r="N93" s="226">
        <v>25</v>
      </c>
      <c r="O93" s="227">
        <f t="shared" si="5"/>
        <v>0.04</v>
      </c>
      <c r="P93" s="229" t="str">
        <f t="shared" si="6"/>
        <v>Yes</v>
      </c>
      <c r="Q93" s="229" t="str">
        <f t="shared" si="7"/>
        <v>No</v>
      </c>
    </row>
    <row r="94" spans="1:17" ht="15" x14ac:dyDescent="0.2">
      <c r="B94" s="375"/>
      <c r="C94" s="387"/>
      <c r="D94" s="394"/>
      <c r="E94" s="388"/>
      <c r="F94" s="389"/>
      <c r="G94" s="390"/>
      <c r="H94" s="391"/>
      <c r="I94" s="239"/>
      <c r="J94" s="224">
        <v>1908</v>
      </c>
      <c r="K94" s="225" t="s">
        <v>128</v>
      </c>
      <c r="L94" s="226">
        <v>15</v>
      </c>
      <c r="M94" s="227">
        <f t="shared" si="4"/>
        <v>6.6666666666666666E-2</v>
      </c>
      <c r="N94" s="226">
        <v>15</v>
      </c>
      <c r="O94" s="227">
        <f t="shared" si="5"/>
        <v>6.6666666666666666E-2</v>
      </c>
      <c r="P94" s="229" t="str">
        <f>IF(ISBLANK(N94),"",IF(N94&lt;F93,"Yes","No"))</f>
        <v>Yes</v>
      </c>
      <c r="Q94" s="229" t="str">
        <f>IF(ISBLANK(N94),"",IF(N94&gt;G93,"Yes","No"))</f>
        <v>No</v>
      </c>
    </row>
    <row r="95" spans="1:17" ht="15" x14ac:dyDescent="0.2">
      <c r="B95" s="375"/>
      <c r="C95" s="387"/>
      <c r="D95" s="394"/>
      <c r="E95" s="388"/>
      <c r="F95" s="389"/>
      <c r="G95" s="390"/>
      <c r="H95" s="391"/>
      <c r="I95" s="239"/>
      <c r="J95" s="224">
        <v>1908</v>
      </c>
      <c r="K95" s="225" t="s">
        <v>128</v>
      </c>
      <c r="L95" s="226">
        <v>50</v>
      </c>
      <c r="M95" s="227">
        <f t="shared" si="4"/>
        <v>0.02</v>
      </c>
      <c r="N95" s="226">
        <v>50</v>
      </c>
      <c r="O95" s="227">
        <f t="shared" si="5"/>
        <v>0.02</v>
      </c>
      <c r="P95" s="229" t="str">
        <f>IF(ISBLANK(N95),"",IF(N95&lt;F93,"Yes","No"))</f>
        <v>No</v>
      </c>
      <c r="Q95" s="229" t="str">
        <f>IF(ISBLANK(N95),"",IF(N95&gt;G93,"Yes","No"))</f>
        <v>No</v>
      </c>
    </row>
    <row r="96" spans="1:17" ht="15" x14ac:dyDescent="0.2">
      <c r="B96" s="372"/>
      <c r="C96" s="379"/>
      <c r="D96" s="395"/>
      <c r="E96" s="380"/>
      <c r="F96" s="382"/>
      <c r="G96" s="385"/>
      <c r="H96" s="386"/>
      <c r="I96" s="239"/>
      <c r="J96" s="224">
        <v>1908</v>
      </c>
      <c r="K96" s="225" t="s">
        <v>128</v>
      </c>
      <c r="L96" s="226">
        <v>25</v>
      </c>
      <c r="M96" s="227">
        <f t="shared" si="4"/>
        <v>0.04</v>
      </c>
      <c r="N96" s="226">
        <v>25</v>
      </c>
      <c r="O96" s="227">
        <f t="shared" si="5"/>
        <v>0.04</v>
      </c>
      <c r="P96" s="229" t="str">
        <f>IF(ISBLANK(N96),"",IF(N96&lt;F93,"Yes","No"))</f>
        <v>Yes</v>
      </c>
      <c r="Q96" s="229" t="str">
        <f>IF(ISBLANK(N96),"",IF(N96&gt;G93,"Yes","No"))</f>
        <v>No</v>
      </c>
    </row>
    <row r="97" spans="2:17" ht="15" x14ac:dyDescent="0.2">
      <c r="B97" s="160">
        <v>4</v>
      </c>
      <c r="C97" s="365" t="s">
        <v>115</v>
      </c>
      <c r="D97" s="366"/>
      <c r="E97" s="367"/>
      <c r="F97" s="392" t="s">
        <v>261</v>
      </c>
      <c r="G97" s="392"/>
      <c r="H97" s="392"/>
      <c r="I97" s="239"/>
      <c r="J97" s="224"/>
      <c r="K97" s="225"/>
      <c r="L97" s="226"/>
      <c r="M97" s="227" t="str">
        <f t="shared" si="4"/>
        <v/>
      </c>
      <c r="N97" s="226"/>
      <c r="O97" s="227" t="str">
        <f t="shared" si="5"/>
        <v/>
      </c>
      <c r="P97" s="229" t="str">
        <f>IF(ISBLANK(N97),"",IF(N97&lt;F97,"Yes","No"))</f>
        <v/>
      </c>
      <c r="Q97" s="229" t="str">
        <f>IF(ISBLANK(N97),"",IF(N97&gt;G97,"Yes","No"))</f>
        <v/>
      </c>
    </row>
    <row r="98" spans="2:17" ht="15" x14ac:dyDescent="0.2">
      <c r="B98" s="371">
        <v>5</v>
      </c>
      <c r="C98" s="373" t="s">
        <v>262</v>
      </c>
      <c r="D98" s="365" t="s">
        <v>262</v>
      </c>
      <c r="E98" s="367"/>
      <c r="F98" s="249">
        <v>50</v>
      </c>
      <c r="G98" s="368">
        <v>75</v>
      </c>
      <c r="H98" s="368"/>
      <c r="I98" s="239"/>
      <c r="J98" s="224">
        <v>1808</v>
      </c>
      <c r="K98" s="225" t="s">
        <v>114</v>
      </c>
      <c r="L98" s="226">
        <v>50</v>
      </c>
      <c r="M98" s="227">
        <f t="shared" si="4"/>
        <v>0.02</v>
      </c>
      <c r="N98" s="226">
        <v>50</v>
      </c>
      <c r="O98" s="227">
        <f t="shared" si="5"/>
        <v>0.02</v>
      </c>
      <c r="P98" s="229" t="str">
        <f t="shared" si="6"/>
        <v>No</v>
      </c>
      <c r="Q98" s="229" t="str">
        <f t="shared" si="7"/>
        <v>No</v>
      </c>
    </row>
    <row r="99" spans="2:17" ht="15" x14ac:dyDescent="0.2">
      <c r="B99" s="375"/>
      <c r="C99" s="376"/>
      <c r="D99" s="365" t="s">
        <v>263</v>
      </c>
      <c r="E99" s="367"/>
      <c r="F99" s="249">
        <v>25</v>
      </c>
      <c r="G99" s="368">
        <v>30</v>
      </c>
      <c r="H99" s="368"/>
      <c r="I99" s="239"/>
      <c r="J99" s="224">
        <v>1808</v>
      </c>
      <c r="K99" s="225" t="s">
        <v>114</v>
      </c>
      <c r="L99" s="226">
        <v>50</v>
      </c>
      <c r="M99" s="227">
        <f t="shared" si="4"/>
        <v>0.02</v>
      </c>
      <c r="N99" s="226">
        <v>50</v>
      </c>
      <c r="O99" s="227">
        <f t="shared" si="5"/>
        <v>0.02</v>
      </c>
      <c r="P99" s="229" t="str">
        <f t="shared" si="6"/>
        <v>No</v>
      </c>
      <c r="Q99" s="229" t="str">
        <f t="shared" si="7"/>
        <v>Yes</v>
      </c>
    </row>
    <row r="100" spans="2:17" ht="15" x14ac:dyDescent="0.2">
      <c r="B100" s="375"/>
      <c r="C100" s="376"/>
      <c r="D100" s="365" t="s">
        <v>264</v>
      </c>
      <c r="E100" s="367"/>
      <c r="F100" s="249">
        <v>25</v>
      </c>
      <c r="G100" s="368">
        <v>60</v>
      </c>
      <c r="H100" s="368"/>
      <c r="I100" s="239"/>
      <c r="J100" s="224">
        <v>1808</v>
      </c>
      <c r="K100" s="225" t="s">
        <v>114</v>
      </c>
      <c r="L100" s="226">
        <v>50</v>
      </c>
      <c r="M100" s="227">
        <f t="shared" si="4"/>
        <v>0.02</v>
      </c>
      <c r="N100" s="226">
        <v>50</v>
      </c>
      <c r="O100" s="227">
        <f t="shared" si="5"/>
        <v>0.02</v>
      </c>
      <c r="P100" s="229" t="str">
        <f t="shared" si="6"/>
        <v>No</v>
      </c>
      <c r="Q100" s="229" t="str">
        <f t="shared" si="7"/>
        <v>No</v>
      </c>
    </row>
    <row r="101" spans="2:17" ht="15" x14ac:dyDescent="0.2">
      <c r="B101" s="372"/>
      <c r="C101" s="374"/>
      <c r="D101" s="365" t="s">
        <v>242</v>
      </c>
      <c r="E101" s="367"/>
      <c r="F101" s="249">
        <v>20</v>
      </c>
      <c r="G101" s="368">
        <v>30</v>
      </c>
      <c r="H101" s="368"/>
      <c r="I101" s="239"/>
      <c r="J101" s="224">
        <v>1808</v>
      </c>
      <c r="K101" s="225" t="s">
        <v>114</v>
      </c>
      <c r="L101" s="226">
        <v>50</v>
      </c>
      <c r="M101" s="227">
        <f t="shared" si="4"/>
        <v>0.02</v>
      </c>
      <c r="N101" s="226">
        <v>50</v>
      </c>
      <c r="O101" s="227">
        <f t="shared" si="5"/>
        <v>0.02</v>
      </c>
      <c r="P101" s="229" t="str">
        <f t="shared" si="6"/>
        <v>No</v>
      </c>
      <c r="Q101" s="229" t="str">
        <f t="shared" si="7"/>
        <v>Yes</v>
      </c>
    </row>
    <row r="102" spans="2:17" ht="15" x14ac:dyDescent="0.2">
      <c r="B102" s="371">
        <v>6</v>
      </c>
      <c r="C102" s="373" t="s">
        <v>265</v>
      </c>
      <c r="D102" s="377" t="s">
        <v>266</v>
      </c>
      <c r="E102" s="378"/>
      <c r="F102" s="381">
        <v>3</v>
      </c>
      <c r="G102" s="383">
        <v>5</v>
      </c>
      <c r="H102" s="384"/>
      <c r="I102" s="239"/>
      <c r="J102" s="224">
        <v>1920</v>
      </c>
      <c r="K102" s="225" t="s">
        <v>131</v>
      </c>
      <c r="L102" s="226">
        <v>5</v>
      </c>
      <c r="M102" s="227">
        <f t="shared" si="4"/>
        <v>0.2</v>
      </c>
      <c r="N102" s="226">
        <v>5</v>
      </c>
      <c r="O102" s="227">
        <f t="shared" si="5"/>
        <v>0.2</v>
      </c>
      <c r="P102" s="229" t="str">
        <f t="shared" si="6"/>
        <v>No</v>
      </c>
      <c r="Q102" s="229" t="str">
        <f t="shared" si="7"/>
        <v>No</v>
      </c>
    </row>
    <row r="103" spans="2:17" ht="15" x14ac:dyDescent="0.2">
      <c r="B103" s="375"/>
      <c r="C103" s="376"/>
      <c r="D103" s="387"/>
      <c r="E103" s="388"/>
      <c r="F103" s="389"/>
      <c r="G103" s="390"/>
      <c r="H103" s="391"/>
      <c r="I103" s="239"/>
      <c r="J103" s="224">
        <v>1920</v>
      </c>
      <c r="K103" s="225" t="s">
        <v>131</v>
      </c>
      <c r="L103" s="226">
        <v>4</v>
      </c>
      <c r="M103" s="227">
        <f t="shared" si="4"/>
        <v>0.25</v>
      </c>
      <c r="N103" s="226">
        <v>4</v>
      </c>
      <c r="O103" s="227">
        <f t="shared" si="5"/>
        <v>0.25</v>
      </c>
      <c r="P103" s="229" t="str">
        <f>IF(ISBLANK(N103),"",IF(N103&lt;F102,"Yes","No"))</f>
        <v>No</v>
      </c>
      <c r="Q103" s="229" t="str">
        <f>IF(ISBLANK(N103),"",IF(N103&gt;G102,"Yes","No"))</f>
        <v>No</v>
      </c>
    </row>
    <row r="104" spans="2:17" ht="15" x14ac:dyDescent="0.2">
      <c r="B104" s="375"/>
      <c r="C104" s="376"/>
      <c r="D104" s="379"/>
      <c r="E104" s="380"/>
      <c r="F104" s="382"/>
      <c r="G104" s="385"/>
      <c r="H104" s="386"/>
      <c r="I104" s="239"/>
      <c r="J104" s="224">
        <v>1920</v>
      </c>
      <c r="K104" s="225" t="s">
        <v>131</v>
      </c>
      <c r="L104" s="226">
        <v>3</v>
      </c>
      <c r="M104" s="227">
        <f t="shared" si="4"/>
        <v>0.33333333333333331</v>
      </c>
      <c r="N104" s="226">
        <v>3</v>
      </c>
      <c r="O104" s="227">
        <f t="shared" si="5"/>
        <v>0.33333333333333331</v>
      </c>
      <c r="P104" s="229" t="str">
        <f>IF(ISBLANK(N104),"",IF(N104&lt;F102,"Yes","No"))</f>
        <v>No</v>
      </c>
      <c r="Q104" s="229" t="str">
        <f>IF(ISBLANK(N104),"",IF(N104&gt;G102,"Yes","No"))</f>
        <v>No</v>
      </c>
    </row>
    <row r="105" spans="2:17" ht="15" x14ac:dyDescent="0.2">
      <c r="B105" s="375"/>
      <c r="C105" s="376"/>
      <c r="D105" s="377" t="s">
        <v>267</v>
      </c>
      <c r="E105" s="378"/>
      <c r="F105" s="381">
        <v>2</v>
      </c>
      <c r="G105" s="383">
        <v>5</v>
      </c>
      <c r="H105" s="384"/>
      <c r="I105" s="239"/>
      <c r="J105" s="224">
        <v>1611</v>
      </c>
      <c r="K105" s="225" t="s">
        <v>268</v>
      </c>
      <c r="L105" s="226">
        <v>3</v>
      </c>
      <c r="M105" s="227">
        <f t="shared" si="4"/>
        <v>0.33333333333333331</v>
      </c>
      <c r="N105" s="226">
        <v>3</v>
      </c>
      <c r="O105" s="227">
        <f t="shared" si="5"/>
        <v>0.33333333333333331</v>
      </c>
      <c r="P105" s="229" t="str">
        <f>IF(ISBLANK(N105),"",IF(N105&lt;F105,"Yes","No"))</f>
        <v>No</v>
      </c>
      <c r="Q105" s="229" t="str">
        <f>IF(ISBLANK(N105),"",IF(N105&gt;G105,"Yes","No"))</f>
        <v>No</v>
      </c>
    </row>
    <row r="106" spans="2:17" ht="15" x14ac:dyDescent="0.2">
      <c r="B106" s="375"/>
      <c r="C106" s="376"/>
      <c r="D106" s="387"/>
      <c r="E106" s="388"/>
      <c r="F106" s="389"/>
      <c r="G106" s="390"/>
      <c r="H106" s="391"/>
      <c r="I106" s="239"/>
      <c r="J106" s="224">
        <v>1611</v>
      </c>
      <c r="K106" s="225" t="s">
        <v>268</v>
      </c>
      <c r="L106" s="226">
        <v>5</v>
      </c>
      <c r="M106" s="227">
        <f t="shared" si="4"/>
        <v>0.2</v>
      </c>
      <c r="N106" s="226">
        <v>5</v>
      </c>
      <c r="O106" s="227">
        <f t="shared" si="5"/>
        <v>0.2</v>
      </c>
      <c r="P106" s="229" t="str">
        <f>IF(ISBLANK(N106),"",IF(N106&lt;F105,"Yes","No"))</f>
        <v>No</v>
      </c>
      <c r="Q106" s="229" t="str">
        <f>IF(ISBLANK(N106),"",IF(N106&gt;G105,"Yes","No"))</f>
        <v>No</v>
      </c>
    </row>
    <row r="107" spans="2:17" ht="15" x14ac:dyDescent="0.2">
      <c r="B107" s="372"/>
      <c r="C107" s="374"/>
      <c r="D107" s="379"/>
      <c r="E107" s="380"/>
      <c r="F107" s="382"/>
      <c r="G107" s="385"/>
      <c r="H107" s="386"/>
      <c r="I107" s="239"/>
      <c r="J107" s="224">
        <v>1611</v>
      </c>
      <c r="K107" s="225" t="s">
        <v>268</v>
      </c>
      <c r="L107" s="226">
        <v>5</v>
      </c>
      <c r="M107" s="227">
        <f t="shared" si="4"/>
        <v>0.2</v>
      </c>
      <c r="N107" s="226">
        <v>5</v>
      </c>
      <c r="O107" s="227">
        <f t="shared" si="5"/>
        <v>0.2</v>
      </c>
      <c r="P107" s="229" t="str">
        <f>IF(ISBLANK(N107),"",IF(N107&lt;F105,"Yes","No"))</f>
        <v>No</v>
      </c>
      <c r="Q107" s="229" t="str">
        <f>IF(ISBLANK(N107),"",IF(N107&gt;G105,"Yes","No"))</f>
        <v>No</v>
      </c>
    </row>
    <row r="108" spans="2:17" ht="15" x14ac:dyDescent="0.2">
      <c r="B108" s="371">
        <v>7</v>
      </c>
      <c r="C108" s="373" t="s">
        <v>269</v>
      </c>
      <c r="D108" s="365" t="s">
        <v>270</v>
      </c>
      <c r="E108" s="367"/>
      <c r="F108" s="249">
        <v>5</v>
      </c>
      <c r="G108" s="368">
        <v>10</v>
      </c>
      <c r="H108" s="368"/>
      <c r="I108" s="239"/>
      <c r="J108" s="224"/>
      <c r="K108" s="225"/>
      <c r="L108" s="226"/>
      <c r="M108" s="227" t="str">
        <f t="shared" si="4"/>
        <v/>
      </c>
      <c r="N108" s="226"/>
      <c r="O108" s="227" t="str">
        <f t="shared" si="5"/>
        <v/>
      </c>
      <c r="P108" s="229" t="str">
        <f t="shared" si="6"/>
        <v/>
      </c>
      <c r="Q108" s="229" t="str">
        <f t="shared" si="7"/>
        <v/>
      </c>
    </row>
    <row r="109" spans="2:17" ht="15" x14ac:dyDescent="0.2">
      <c r="B109" s="375"/>
      <c r="C109" s="376"/>
      <c r="D109" s="365" t="s">
        <v>271</v>
      </c>
      <c r="E109" s="367"/>
      <c r="F109" s="249">
        <v>5</v>
      </c>
      <c r="G109" s="368">
        <v>10</v>
      </c>
      <c r="H109" s="368"/>
      <c r="I109" s="239"/>
      <c r="J109" s="224">
        <v>1935</v>
      </c>
      <c r="K109" s="225" t="s">
        <v>135</v>
      </c>
      <c r="L109" s="226">
        <v>10</v>
      </c>
      <c r="M109" s="227">
        <f t="shared" si="4"/>
        <v>0.1</v>
      </c>
      <c r="N109" s="226">
        <v>10</v>
      </c>
      <c r="O109" s="227">
        <f t="shared" si="5"/>
        <v>0.1</v>
      </c>
      <c r="P109" s="229" t="str">
        <f t="shared" si="6"/>
        <v>No</v>
      </c>
      <c r="Q109" s="229" t="str">
        <f t="shared" si="7"/>
        <v>No</v>
      </c>
    </row>
    <row r="110" spans="2:17" ht="15" x14ac:dyDescent="0.2">
      <c r="B110" s="375"/>
      <c r="C110" s="376"/>
      <c r="D110" s="377" t="s">
        <v>272</v>
      </c>
      <c r="E110" s="378"/>
      <c r="F110" s="381">
        <v>5</v>
      </c>
      <c r="G110" s="383">
        <v>10</v>
      </c>
      <c r="H110" s="384"/>
      <c r="I110" s="239"/>
      <c r="J110" s="224">
        <v>1940</v>
      </c>
      <c r="K110" s="225" t="s">
        <v>136</v>
      </c>
      <c r="L110" s="226">
        <v>10</v>
      </c>
      <c r="M110" s="227">
        <f t="shared" si="4"/>
        <v>0.1</v>
      </c>
      <c r="N110" s="226">
        <v>10</v>
      </c>
      <c r="O110" s="227">
        <f t="shared" si="5"/>
        <v>0.1</v>
      </c>
      <c r="P110" s="229" t="str">
        <f t="shared" si="6"/>
        <v>No</v>
      </c>
      <c r="Q110" s="229" t="str">
        <f t="shared" si="7"/>
        <v>No</v>
      </c>
    </row>
    <row r="111" spans="2:17" ht="15" x14ac:dyDescent="0.2">
      <c r="B111" s="375"/>
      <c r="C111" s="376"/>
      <c r="D111" s="379"/>
      <c r="E111" s="380"/>
      <c r="F111" s="382"/>
      <c r="G111" s="385"/>
      <c r="H111" s="386"/>
      <c r="I111" s="239"/>
      <c r="J111" s="224">
        <v>1960</v>
      </c>
      <c r="K111" s="225" t="s">
        <v>141</v>
      </c>
      <c r="L111" s="226">
        <v>10</v>
      </c>
      <c r="M111" s="227">
        <f t="shared" si="4"/>
        <v>0.1</v>
      </c>
      <c r="N111" s="226">
        <v>10</v>
      </c>
      <c r="O111" s="227">
        <f t="shared" si="5"/>
        <v>0.1</v>
      </c>
      <c r="P111" s="229" t="str">
        <f>IF(ISBLANK(N111),"",IF(N111&lt;F110,"Yes","No"))</f>
        <v>No</v>
      </c>
      <c r="Q111" s="229" t="str">
        <f>IF(ISBLANK(N111),"",IF(N111&gt;G110,"Yes","No"))</f>
        <v>No</v>
      </c>
    </row>
    <row r="112" spans="2:17" ht="15" x14ac:dyDescent="0.2">
      <c r="B112" s="372"/>
      <c r="C112" s="374"/>
      <c r="D112" s="365" t="s">
        <v>137</v>
      </c>
      <c r="E112" s="367"/>
      <c r="F112" s="249">
        <v>5</v>
      </c>
      <c r="G112" s="368">
        <v>10</v>
      </c>
      <c r="H112" s="368"/>
      <c r="I112" s="239"/>
      <c r="J112" s="224">
        <v>1945</v>
      </c>
      <c r="K112" s="225" t="s">
        <v>137</v>
      </c>
      <c r="L112" s="226">
        <v>10</v>
      </c>
      <c r="M112" s="227">
        <f t="shared" si="4"/>
        <v>0.1</v>
      </c>
      <c r="N112" s="226">
        <v>10</v>
      </c>
      <c r="O112" s="227">
        <f t="shared" si="5"/>
        <v>0.1</v>
      </c>
      <c r="P112" s="229" t="str">
        <f t="shared" si="6"/>
        <v>No</v>
      </c>
      <c r="Q112" s="229" t="str">
        <f t="shared" si="7"/>
        <v>No</v>
      </c>
    </row>
    <row r="113" spans="1:17" ht="15" x14ac:dyDescent="0.2">
      <c r="B113" s="371">
        <v>8</v>
      </c>
      <c r="C113" s="373" t="s">
        <v>273</v>
      </c>
      <c r="D113" s="365" t="s">
        <v>274</v>
      </c>
      <c r="E113" s="367"/>
      <c r="F113" s="249">
        <v>60</v>
      </c>
      <c r="G113" s="368">
        <v>70</v>
      </c>
      <c r="H113" s="368"/>
      <c r="I113" s="239"/>
      <c r="J113" s="224"/>
      <c r="K113" s="225"/>
      <c r="L113" s="226"/>
      <c r="M113" s="227" t="str">
        <f t="shared" si="4"/>
        <v/>
      </c>
      <c r="N113" s="226"/>
      <c r="O113" s="227" t="str">
        <f t="shared" si="5"/>
        <v/>
      </c>
      <c r="P113" s="229" t="str">
        <f t="shared" si="6"/>
        <v/>
      </c>
      <c r="Q113" s="229" t="str">
        <f t="shared" si="7"/>
        <v/>
      </c>
    </row>
    <row r="114" spans="1:17" ht="15" x14ac:dyDescent="0.2">
      <c r="B114" s="372"/>
      <c r="C114" s="374"/>
      <c r="D114" s="365" t="s">
        <v>275</v>
      </c>
      <c r="E114" s="367"/>
      <c r="F114" s="249">
        <v>2</v>
      </c>
      <c r="G114" s="368">
        <v>10</v>
      </c>
      <c r="H114" s="368"/>
      <c r="I114" s="239"/>
      <c r="J114" s="224">
        <v>1955</v>
      </c>
      <c r="K114" s="225" t="s">
        <v>139</v>
      </c>
      <c r="L114" s="226">
        <v>10</v>
      </c>
      <c r="M114" s="227">
        <f t="shared" si="4"/>
        <v>0.1</v>
      </c>
      <c r="N114" s="226">
        <v>10</v>
      </c>
      <c r="O114" s="227">
        <f t="shared" si="5"/>
        <v>0.1</v>
      </c>
      <c r="P114" s="229" t="str">
        <f t="shared" si="6"/>
        <v>No</v>
      </c>
      <c r="Q114" s="229" t="str">
        <f t="shared" si="7"/>
        <v>No</v>
      </c>
    </row>
    <row r="115" spans="1:17" ht="15" x14ac:dyDescent="0.2">
      <c r="B115" s="160">
        <v>9</v>
      </c>
      <c r="C115" s="365" t="s">
        <v>276</v>
      </c>
      <c r="D115" s="366"/>
      <c r="E115" s="367"/>
      <c r="F115" s="249">
        <v>25</v>
      </c>
      <c r="G115" s="368">
        <v>35</v>
      </c>
      <c r="H115" s="368"/>
      <c r="I115" s="239"/>
      <c r="J115" s="224"/>
      <c r="K115" s="225"/>
      <c r="L115" s="226"/>
      <c r="M115" s="227" t="str">
        <f t="shared" si="4"/>
        <v/>
      </c>
      <c r="N115" s="226"/>
      <c r="O115" s="227" t="str">
        <f t="shared" si="5"/>
        <v/>
      </c>
      <c r="P115" s="229" t="str">
        <f t="shared" si="6"/>
        <v/>
      </c>
      <c r="Q115" s="229" t="str">
        <f t="shared" si="7"/>
        <v/>
      </c>
    </row>
    <row r="116" spans="1:17" ht="15" x14ac:dyDescent="0.2">
      <c r="B116" s="160">
        <v>10</v>
      </c>
      <c r="C116" s="365" t="s">
        <v>277</v>
      </c>
      <c r="D116" s="366"/>
      <c r="E116" s="367"/>
      <c r="F116" s="249">
        <v>25</v>
      </c>
      <c r="G116" s="368">
        <v>35</v>
      </c>
      <c r="H116" s="368"/>
      <c r="I116" s="239"/>
      <c r="J116" s="224">
        <v>1860</v>
      </c>
      <c r="K116" s="225" t="s">
        <v>125</v>
      </c>
      <c r="L116" s="226">
        <v>25</v>
      </c>
      <c r="M116" s="227">
        <f t="shared" si="4"/>
        <v>0.04</v>
      </c>
      <c r="N116" s="226">
        <v>25</v>
      </c>
      <c r="O116" s="227">
        <f t="shared" si="5"/>
        <v>0.04</v>
      </c>
      <c r="P116" s="229" t="str">
        <f t="shared" si="6"/>
        <v>No</v>
      </c>
      <c r="Q116" s="229" t="str">
        <f t="shared" si="7"/>
        <v>No</v>
      </c>
    </row>
    <row r="117" spans="1:17" ht="15" x14ac:dyDescent="0.2">
      <c r="B117" s="160">
        <v>11</v>
      </c>
      <c r="C117" s="365" t="s">
        <v>278</v>
      </c>
      <c r="D117" s="366"/>
      <c r="E117" s="367"/>
      <c r="F117" s="249">
        <v>15</v>
      </c>
      <c r="G117" s="368">
        <v>30</v>
      </c>
      <c r="H117" s="368"/>
      <c r="I117" s="239"/>
      <c r="J117" s="224">
        <v>1860</v>
      </c>
      <c r="K117" s="225" t="s">
        <v>125</v>
      </c>
      <c r="L117" s="226">
        <v>25</v>
      </c>
      <c r="M117" s="227">
        <f t="shared" si="4"/>
        <v>0.04</v>
      </c>
      <c r="N117" s="226">
        <v>25</v>
      </c>
      <c r="O117" s="227">
        <f t="shared" si="5"/>
        <v>0.04</v>
      </c>
      <c r="P117" s="229" t="str">
        <f t="shared" si="6"/>
        <v>No</v>
      </c>
      <c r="Q117" s="229" t="str">
        <f t="shared" si="7"/>
        <v>No</v>
      </c>
    </row>
    <row r="118" spans="1:17" ht="15" x14ac:dyDescent="0.2">
      <c r="B118" s="160">
        <v>12</v>
      </c>
      <c r="C118" s="365" t="s">
        <v>279</v>
      </c>
      <c r="D118" s="366"/>
      <c r="E118" s="367"/>
      <c r="F118" s="249">
        <v>35</v>
      </c>
      <c r="G118" s="368">
        <v>50</v>
      </c>
      <c r="H118" s="368"/>
      <c r="I118" s="239"/>
      <c r="J118" s="224">
        <v>1860</v>
      </c>
      <c r="K118" s="225" t="s">
        <v>125</v>
      </c>
      <c r="L118" s="226">
        <v>25</v>
      </c>
      <c r="M118" s="227">
        <f t="shared" si="4"/>
        <v>0.04</v>
      </c>
      <c r="N118" s="226">
        <v>25</v>
      </c>
      <c r="O118" s="227">
        <f t="shared" si="5"/>
        <v>0.04</v>
      </c>
      <c r="P118" s="250" t="str">
        <f t="shared" si="6"/>
        <v>Yes</v>
      </c>
      <c r="Q118" s="229" t="str">
        <f t="shared" si="7"/>
        <v>No</v>
      </c>
    </row>
    <row r="119" spans="1:17" ht="15" x14ac:dyDescent="0.2">
      <c r="B119" s="160">
        <v>13</v>
      </c>
      <c r="C119" s="365" t="s">
        <v>280</v>
      </c>
      <c r="D119" s="366"/>
      <c r="E119" s="367"/>
      <c r="F119" s="249">
        <v>5</v>
      </c>
      <c r="G119" s="368">
        <v>15</v>
      </c>
      <c r="H119" s="368"/>
      <c r="I119" s="239"/>
      <c r="J119" s="224">
        <v>1860</v>
      </c>
      <c r="K119" s="225" t="s">
        <v>126</v>
      </c>
      <c r="L119" s="226">
        <v>15</v>
      </c>
      <c r="M119" s="227">
        <f t="shared" si="4"/>
        <v>6.6666666666666666E-2</v>
      </c>
      <c r="N119" s="226">
        <v>15</v>
      </c>
      <c r="O119" s="227">
        <f t="shared" si="5"/>
        <v>6.6666666666666666E-2</v>
      </c>
      <c r="P119" s="229" t="str">
        <f t="shared" si="6"/>
        <v>No</v>
      </c>
      <c r="Q119" s="229" t="str">
        <f t="shared" si="7"/>
        <v>No</v>
      </c>
    </row>
    <row r="120" spans="1:17" ht="15" x14ac:dyDescent="0.2">
      <c r="B120" s="160">
        <v>14</v>
      </c>
      <c r="C120" s="365" t="s">
        <v>281</v>
      </c>
      <c r="D120" s="366"/>
      <c r="E120" s="367"/>
      <c r="F120" s="249">
        <v>10</v>
      </c>
      <c r="G120" s="368">
        <v>15</v>
      </c>
      <c r="H120" s="368"/>
      <c r="I120" s="239"/>
      <c r="J120" s="224">
        <v>1860</v>
      </c>
      <c r="K120" s="225" t="s">
        <v>126</v>
      </c>
      <c r="L120" s="226">
        <v>15</v>
      </c>
      <c r="M120" s="227">
        <f t="shared" si="4"/>
        <v>6.6666666666666666E-2</v>
      </c>
      <c r="N120" s="226">
        <v>15</v>
      </c>
      <c r="O120" s="227">
        <f t="shared" si="5"/>
        <v>6.6666666666666666E-2</v>
      </c>
      <c r="P120" s="229" t="str">
        <f t="shared" si="6"/>
        <v>No</v>
      </c>
      <c r="Q120" s="229" t="str">
        <f t="shared" si="7"/>
        <v>No</v>
      </c>
    </row>
    <row r="121" spans="1:17" ht="15" x14ac:dyDescent="0.2">
      <c r="B121" s="160">
        <v>15</v>
      </c>
      <c r="C121" s="365" t="s">
        <v>282</v>
      </c>
      <c r="D121" s="366"/>
      <c r="E121" s="367"/>
      <c r="F121" s="249">
        <v>15</v>
      </c>
      <c r="G121" s="368">
        <v>20</v>
      </c>
      <c r="H121" s="368"/>
      <c r="I121" s="239"/>
      <c r="J121" s="224">
        <v>1860</v>
      </c>
      <c r="K121" s="225" t="s">
        <v>126</v>
      </c>
      <c r="L121" s="226">
        <v>15</v>
      </c>
      <c r="M121" s="227">
        <f t="shared" si="4"/>
        <v>6.6666666666666666E-2</v>
      </c>
      <c r="N121" s="226">
        <v>15</v>
      </c>
      <c r="O121" s="227">
        <f t="shared" si="5"/>
        <v>6.6666666666666666E-2</v>
      </c>
      <c r="P121" s="229" t="str">
        <f t="shared" si="6"/>
        <v>No</v>
      </c>
      <c r="Q121" s="229" t="str">
        <f t="shared" si="7"/>
        <v>No</v>
      </c>
    </row>
    <row r="122" spans="1:17" ht="9" customHeight="1" x14ac:dyDescent="0.2"/>
    <row r="123" spans="1:17" ht="9" customHeight="1" x14ac:dyDescent="0.2"/>
    <row r="124" spans="1:17" x14ac:dyDescent="0.2">
      <c r="A124" s="369" t="s">
        <v>283</v>
      </c>
      <c r="B124" s="369"/>
      <c r="C124" s="369"/>
      <c r="D124" s="369"/>
      <c r="E124" s="369"/>
      <c r="F124" s="369"/>
      <c r="G124" s="369"/>
      <c r="H124" s="369"/>
    </row>
    <row r="125" spans="1:17" ht="9" customHeight="1" x14ac:dyDescent="0.2">
      <c r="A125" s="251"/>
      <c r="B125" s="251"/>
      <c r="C125" s="251"/>
      <c r="D125" s="251"/>
      <c r="E125" s="251"/>
      <c r="F125" s="251"/>
      <c r="G125" s="251"/>
      <c r="H125" s="251"/>
    </row>
    <row r="126" spans="1:17" x14ac:dyDescent="0.2">
      <c r="A126" s="124" t="s">
        <v>284</v>
      </c>
      <c r="B126" s="123" t="s">
        <v>285</v>
      </c>
    </row>
    <row r="127" spans="1:17" ht="15" x14ac:dyDescent="0.2">
      <c r="B127" s="370" t="s">
        <v>286</v>
      </c>
      <c r="C127" s="370"/>
    </row>
    <row r="130" spans="1:1" ht="15" x14ac:dyDescent="0.25">
      <c r="A130" s="252"/>
    </row>
  </sheetData>
  <mergeCells count="184">
    <mergeCell ref="A9:Q9"/>
    <mergeCell ref="A10:Q10"/>
    <mergeCell ref="A11:Q11"/>
    <mergeCell ref="C15:E15"/>
    <mergeCell ref="F15:H15"/>
    <mergeCell ref="J15:J16"/>
    <mergeCell ref="K15:K16"/>
    <mergeCell ref="L15:M15"/>
    <mergeCell ref="N15:O15"/>
    <mergeCell ref="P15:Q15"/>
    <mergeCell ref="B23:B25"/>
    <mergeCell ref="C23:C25"/>
    <mergeCell ref="D23:E23"/>
    <mergeCell ref="D24:D25"/>
    <mergeCell ref="C26:E26"/>
    <mergeCell ref="C27:E27"/>
    <mergeCell ref="C16:E16"/>
    <mergeCell ref="A17:A34"/>
    <mergeCell ref="B17:B19"/>
    <mergeCell ref="C17:C19"/>
    <mergeCell ref="D17:E17"/>
    <mergeCell ref="D18:D19"/>
    <mergeCell ref="B20:B22"/>
    <mergeCell ref="C20:C22"/>
    <mergeCell ref="D20:E20"/>
    <mergeCell ref="D21:D22"/>
    <mergeCell ref="A35:A57"/>
    <mergeCell ref="B35:B39"/>
    <mergeCell ref="C35:C39"/>
    <mergeCell ref="D35:E36"/>
    <mergeCell ref="F35:F36"/>
    <mergeCell ref="G35:G36"/>
    <mergeCell ref="C28:E28"/>
    <mergeCell ref="C29:E29"/>
    <mergeCell ref="B30:B31"/>
    <mergeCell ref="C30:E31"/>
    <mergeCell ref="F30:F31"/>
    <mergeCell ref="G30:G31"/>
    <mergeCell ref="H35:H36"/>
    <mergeCell ref="D37:E38"/>
    <mergeCell ref="F37:F38"/>
    <mergeCell ref="G37:G38"/>
    <mergeCell ref="H37:H38"/>
    <mergeCell ref="D39:E39"/>
    <mergeCell ref="H30:H31"/>
    <mergeCell ref="C32:E32"/>
    <mergeCell ref="C33:E33"/>
    <mergeCell ref="C34:E34"/>
    <mergeCell ref="B45:B47"/>
    <mergeCell ref="C45:C47"/>
    <mergeCell ref="D45:E46"/>
    <mergeCell ref="F45:F46"/>
    <mergeCell ref="G45:G46"/>
    <mergeCell ref="H45:H46"/>
    <mergeCell ref="D47:E47"/>
    <mergeCell ref="C40:E40"/>
    <mergeCell ref="C41:E41"/>
    <mergeCell ref="B42:B44"/>
    <mergeCell ref="C42:C44"/>
    <mergeCell ref="D42:E42"/>
    <mergeCell ref="D43:E43"/>
    <mergeCell ref="D44:E44"/>
    <mergeCell ref="F53:F55"/>
    <mergeCell ref="G53:G55"/>
    <mergeCell ref="H53:H55"/>
    <mergeCell ref="B56:B57"/>
    <mergeCell ref="C56:E57"/>
    <mergeCell ref="F56:F57"/>
    <mergeCell ref="G56:G57"/>
    <mergeCell ref="H56:H57"/>
    <mergeCell ref="C48:E48"/>
    <mergeCell ref="C49:E49"/>
    <mergeCell ref="C50:E50"/>
    <mergeCell ref="C51:E51"/>
    <mergeCell ref="C52:E52"/>
    <mergeCell ref="B53:B55"/>
    <mergeCell ref="C53:E55"/>
    <mergeCell ref="G63:G64"/>
    <mergeCell ref="H63:H64"/>
    <mergeCell ref="C65:E65"/>
    <mergeCell ref="C66:E66"/>
    <mergeCell ref="C67:E67"/>
    <mergeCell ref="A58:A79"/>
    <mergeCell ref="C58:E58"/>
    <mergeCell ref="C59:E59"/>
    <mergeCell ref="C60:E60"/>
    <mergeCell ref="C61:E61"/>
    <mergeCell ref="B63:B64"/>
    <mergeCell ref="C63:E64"/>
    <mergeCell ref="B68:B69"/>
    <mergeCell ref="C68:C69"/>
    <mergeCell ref="D68:E68"/>
    <mergeCell ref="D69:E69"/>
    <mergeCell ref="C70:E70"/>
    <mergeCell ref="C71:E71"/>
    <mergeCell ref="C72:E72"/>
    <mergeCell ref="B73:B74"/>
    <mergeCell ref="C73:C74"/>
    <mergeCell ref="D73:E73"/>
    <mergeCell ref="D74:E74"/>
    <mergeCell ref="F63:F64"/>
    <mergeCell ref="A83:H83"/>
    <mergeCell ref="C85:E85"/>
    <mergeCell ref="F85:H86"/>
    <mergeCell ref="J85:J86"/>
    <mergeCell ref="K85:K86"/>
    <mergeCell ref="L85:M85"/>
    <mergeCell ref="C75:E75"/>
    <mergeCell ref="C76:E76"/>
    <mergeCell ref="C77:E77"/>
    <mergeCell ref="C78:E78"/>
    <mergeCell ref="C79:E79"/>
    <mergeCell ref="C80:E80"/>
    <mergeCell ref="P85:Q85"/>
    <mergeCell ref="C86:E86"/>
    <mergeCell ref="C87:E87"/>
    <mergeCell ref="G87:H87"/>
    <mergeCell ref="B88:B92"/>
    <mergeCell ref="C88:C92"/>
    <mergeCell ref="D88:E90"/>
    <mergeCell ref="F88:F90"/>
    <mergeCell ref="G88:H90"/>
    <mergeCell ref="D91:E91"/>
    <mergeCell ref="G91:H91"/>
    <mergeCell ref="D92:E92"/>
    <mergeCell ref="G92:H92"/>
    <mergeCell ref="B93:B96"/>
    <mergeCell ref="C93:E96"/>
    <mergeCell ref="F93:F96"/>
    <mergeCell ref="G93:H96"/>
    <mergeCell ref="N85:O85"/>
    <mergeCell ref="C97:E97"/>
    <mergeCell ref="F97:H97"/>
    <mergeCell ref="B98:B101"/>
    <mergeCell ref="C98:C101"/>
    <mergeCell ref="D98:E98"/>
    <mergeCell ref="G98:H98"/>
    <mergeCell ref="D99:E99"/>
    <mergeCell ref="G99:H99"/>
    <mergeCell ref="D100:E100"/>
    <mergeCell ref="G100:H100"/>
    <mergeCell ref="D101:E101"/>
    <mergeCell ref="G101:H101"/>
    <mergeCell ref="B102:B107"/>
    <mergeCell ref="C102:C107"/>
    <mergeCell ref="D102:E104"/>
    <mergeCell ref="F102:F104"/>
    <mergeCell ref="G102:H104"/>
    <mergeCell ref="D105:E107"/>
    <mergeCell ref="F105:F107"/>
    <mergeCell ref="G105:H107"/>
    <mergeCell ref="C115:E115"/>
    <mergeCell ref="G115:H115"/>
    <mergeCell ref="C116:E116"/>
    <mergeCell ref="G116:H116"/>
    <mergeCell ref="C117:E117"/>
    <mergeCell ref="G117:H117"/>
    <mergeCell ref="G112:H112"/>
    <mergeCell ref="B113:B114"/>
    <mergeCell ref="C113:C114"/>
    <mergeCell ref="D113:E113"/>
    <mergeCell ref="G113:H113"/>
    <mergeCell ref="D114:E114"/>
    <mergeCell ref="G114:H114"/>
    <mergeCell ref="B108:B112"/>
    <mergeCell ref="C108:C112"/>
    <mergeCell ref="D108:E108"/>
    <mergeCell ref="G108:H108"/>
    <mergeCell ref="D109:E109"/>
    <mergeCell ref="G109:H109"/>
    <mergeCell ref="D110:E111"/>
    <mergeCell ref="F110:F111"/>
    <mergeCell ref="G110:H111"/>
    <mergeCell ref="D112:E112"/>
    <mergeCell ref="C121:E121"/>
    <mergeCell ref="G121:H121"/>
    <mergeCell ref="A124:H124"/>
    <mergeCell ref="B127:C127"/>
    <mergeCell ref="C118:E118"/>
    <mergeCell ref="G118:H118"/>
    <mergeCell ref="C119:E119"/>
    <mergeCell ref="G119:H119"/>
    <mergeCell ref="C120:E120"/>
    <mergeCell ref="G120:H120"/>
  </mergeCells>
  <conditionalFormatting sqref="P17:Q80 P87:Q121">
    <cfRule type="cellIs" dxfId="0" priority="1" operator="equal">
      <formula>"Yes"</formula>
    </cfRule>
  </conditionalFormatting>
  <hyperlinks>
    <hyperlink ref="B127" display="See pages 17-19 of Kinetrics Report" xr:uid="{69395EE1-9E82-4F6A-9BF7-5C854326EF1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A242-F0B8-4A49-B2C2-62DE70213F74}">
  <dimension ref="A1:Q652"/>
  <sheetViews>
    <sheetView workbookViewId="0">
      <selection activeCell="D26" sqref="D26"/>
    </sheetView>
  </sheetViews>
  <sheetFormatPr defaultRowHeight="12.75" x14ac:dyDescent="0.2"/>
  <cols>
    <col min="1" max="1" width="9.140625" style="123"/>
    <col min="2" max="2" width="49.28515625" style="123" customWidth="1"/>
    <col min="3" max="3" width="14.5703125" style="123" customWidth="1"/>
    <col min="4" max="4" width="13.42578125" style="123" customWidth="1"/>
    <col min="5" max="5" width="14.5703125" style="123" bestFit="1" customWidth="1"/>
    <col min="6" max="6" width="15.7109375" style="123" customWidth="1"/>
    <col min="7" max="7" width="16.28515625" style="123" bestFit="1" customWidth="1"/>
    <col min="8" max="8" width="13" style="123" customWidth="1"/>
    <col min="9" max="9" width="16" style="123" customWidth="1"/>
    <col min="10" max="10" width="13.7109375" style="123" customWidth="1"/>
    <col min="11" max="11" width="16.7109375" style="123" customWidth="1"/>
    <col min="12" max="12" width="13.5703125" style="123" customWidth="1"/>
    <col min="13" max="16" width="9.140625" style="123"/>
    <col min="17" max="17" width="0" style="123" hidden="1" customWidth="1"/>
    <col min="18" max="252" width="9.140625" style="123"/>
    <col min="253" max="253" width="2.42578125" style="123" customWidth="1"/>
    <col min="254" max="254" width="9.140625" style="123"/>
    <col min="255" max="255" width="35.7109375" style="123" bestFit="1" customWidth="1"/>
    <col min="256" max="256" width="10.5703125" style="123" customWidth="1"/>
    <col min="257" max="257" width="8.7109375" style="123" customWidth="1"/>
    <col min="258" max="258" width="13" style="123" customWidth="1"/>
    <col min="259" max="259" width="8.5703125" style="123" customWidth="1"/>
    <col min="260" max="261" width="11" style="123" customWidth="1"/>
    <col min="262" max="265" width="11.42578125" style="123" customWidth="1"/>
    <col min="266" max="266" width="11" style="123" bestFit="1" customWidth="1"/>
    <col min="267" max="267" width="11.7109375" style="123" customWidth="1"/>
    <col min="268" max="508" width="9.140625" style="123"/>
    <col min="509" max="509" width="2.42578125" style="123" customWidth="1"/>
    <col min="510" max="510" width="9.140625" style="123"/>
    <col min="511" max="511" width="35.7109375" style="123" bestFit="1" customWidth="1"/>
    <col min="512" max="512" width="10.5703125" style="123" customWidth="1"/>
    <col min="513" max="513" width="8.7109375" style="123" customWidth="1"/>
    <col min="514" max="514" width="13" style="123" customWidth="1"/>
    <col min="515" max="515" width="8.5703125" style="123" customWidth="1"/>
    <col min="516" max="517" width="11" style="123" customWidth="1"/>
    <col min="518" max="521" width="11.42578125" style="123" customWidth="1"/>
    <col min="522" max="522" width="11" style="123" bestFit="1" customWidth="1"/>
    <col min="523" max="523" width="11.7109375" style="123" customWidth="1"/>
    <col min="524" max="764" width="9.140625" style="123"/>
    <col min="765" max="765" width="2.42578125" style="123" customWidth="1"/>
    <col min="766" max="766" width="9.140625" style="123"/>
    <col min="767" max="767" width="35.7109375" style="123" bestFit="1" customWidth="1"/>
    <col min="768" max="768" width="10.5703125" style="123" customWidth="1"/>
    <col min="769" max="769" width="8.7109375" style="123" customWidth="1"/>
    <col min="770" max="770" width="13" style="123" customWidth="1"/>
    <col min="771" max="771" width="8.5703125" style="123" customWidth="1"/>
    <col min="772" max="773" width="11" style="123" customWidth="1"/>
    <col min="774" max="777" width="11.42578125" style="123" customWidth="1"/>
    <col min="778" max="778" width="11" style="123" bestFit="1" customWidth="1"/>
    <col min="779" max="779" width="11.7109375" style="123" customWidth="1"/>
    <col min="780" max="1020" width="9.140625" style="123"/>
    <col min="1021" max="1021" width="2.42578125" style="123" customWidth="1"/>
    <col min="1022" max="1022" width="9.140625" style="123"/>
    <col min="1023" max="1023" width="35.7109375" style="123" bestFit="1" customWidth="1"/>
    <col min="1024" max="1024" width="10.5703125" style="123" customWidth="1"/>
    <col min="1025" max="1025" width="8.7109375" style="123" customWidth="1"/>
    <col min="1026" max="1026" width="13" style="123" customWidth="1"/>
    <col min="1027" max="1027" width="8.5703125" style="123" customWidth="1"/>
    <col min="1028" max="1029" width="11" style="123" customWidth="1"/>
    <col min="1030" max="1033" width="11.42578125" style="123" customWidth="1"/>
    <col min="1034" max="1034" width="11" style="123" bestFit="1" customWidth="1"/>
    <col min="1035" max="1035" width="11.7109375" style="123" customWidth="1"/>
    <col min="1036" max="1276" width="9.140625" style="123"/>
    <col min="1277" max="1277" width="2.42578125" style="123" customWidth="1"/>
    <col min="1278" max="1278" width="9.140625" style="123"/>
    <col min="1279" max="1279" width="35.7109375" style="123" bestFit="1" customWidth="1"/>
    <col min="1280" max="1280" width="10.5703125" style="123" customWidth="1"/>
    <col min="1281" max="1281" width="8.7109375" style="123" customWidth="1"/>
    <col min="1282" max="1282" width="13" style="123" customWidth="1"/>
    <col min="1283" max="1283" width="8.5703125" style="123" customWidth="1"/>
    <col min="1284" max="1285" width="11" style="123" customWidth="1"/>
    <col min="1286" max="1289" width="11.42578125" style="123" customWidth="1"/>
    <col min="1290" max="1290" width="11" style="123" bestFit="1" customWidth="1"/>
    <col min="1291" max="1291" width="11.7109375" style="123" customWidth="1"/>
    <col min="1292" max="1532" width="9.140625" style="123"/>
    <col min="1533" max="1533" width="2.42578125" style="123" customWidth="1"/>
    <col min="1534" max="1534" width="9.140625" style="123"/>
    <col min="1535" max="1535" width="35.7109375" style="123" bestFit="1" customWidth="1"/>
    <col min="1536" max="1536" width="10.5703125" style="123" customWidth="1"/>
    <col min="1537" max="1537" width="8.7109375" style="123" customWidth="1"/>
    <col min="1538" max="1538" width="13" style="123" customWidth="1"/>
    <col min="1539" max="1539" width="8.5703125" style="123" customWidth="1"/>
    <col min="1540" max="1541" width="11" style="123" customWidth="1"/>
    <col min="1542" max="1545" width="11.42578125" style="123" customWidth="1"/>
    <col min="1546" max="1546" width="11" style="123" bestFit="1" customWidth="1"/>
    <col min="1547" max="1547" width="11.7109375" style="123" customWidth="1"/>
    <col min="1548" max="1788" width="9.140625" style="123"/>
    <col min="1789" max="1789" width="2.42578125" style="123" customWidth="1"/>
    <col min="1790" max="1790" width="9.140625" style="123"/>
    <col min="1791" max="1791" width="35.7109375" style="123" bestFit="1" customWidth="1"/>
    <col min="1792" max="1792" width="10.5703125" style="123" customWidth="1"/>
    <col min="1793" max="1793" width="8.7109375" style="123" customWidth="1"/>
    <col min="1794" max="1794" width="13" style="123" customWidth="1"/>
    <col min="1795" max="1795" width="8.5703125" style="123" customWidth="1"/>
    <col min="1796" max="1797" width="11" style="123" customWidth="1"/>
    <col min="1798" max="1801" width="11.42578125" style="123" customWidth="1"/>
    <col min="1802" max="1802" width="11" style="123" bestFit="1" customWidth="1"/>
    <col min="1803" max="1803" width="11.7109375" style="123" customWidth="1"/>
    <col min="1804" max="2044" width="9.140625" style="123"/>
    <col min="2045" max="2045" width="2.42578125" style="123" customWidth="1"/>
    <col min="2046" max="2046" width="9.140625" style="123"/>
    <col min="2047" max="2047" width="35.7109375" style="123" bestFit="1" customWidth="1"/>
    <col min="2048" max="2048" width="10.5703125" style="123" customWidth="1"/>
    <col min="2049" max="2049" width="8.7109375" style="123" customWidth="1"/>
    <col min="2050" max="2050" width="13" style="123" customWidth="1"/>
    <col min="2051" max="2051" width="8.5703125" style="123" customWidth="1"/>
    <col min="2052" max="2053" width="11" style="123" customWidth="1"/>
    <col min="2054" max="2057" width="11.42578125" style="123" customWidth="1"/>
    <col min="2058" max="2058" width="11" style="123" bestFit="1" customWidth="1"/>
    <col min="2059" max="2059" width="11.7109375" style="123" customWidth="1"/>
    <col min="2060" max="2300" width="9.140625" style="123"/>
    <col min="2301" max="2301" width="2.42578125" style="123" customWidth="1"/>
    <col min="2302" max="2302" width="9.140625" style="123"/>
    <col min="2303" max="2303" width="35.7109375" style="123" bestFit="1" customWidth="1"/>
    <col min="2304" max="2304" width="10.5703125" style="123" customWidth="1"/>
    <col min="2305" max="2305" width="8.7109375" style="123" customWidth="1"/>
    <col min="2306" max="2306" width="13" style="123" customWidth="1"/>
    <col min="2307" max="2307" width="8.5703125" style="123" customWidth="1"/>
    <col min="2308" max="2309" width="11" style="123" customWidth="1"/>
    <col min="2310" max="2313" width="11.42578125" style="123" customWidth="1"/>
    <col min="2314" max="2314" width="11" style="123" bestFit="1" customWidth="1"/>
    <col min="2315" max="2315" width="11.7109375" style="123" customWidth="1"/>
    <col min="2316" max="2556" width="9.140625" style="123"/>
    <col min="2557" max="2557" width="2.42578125" style="123" customWidth="1"/>
    <col min="2558" max="2558" width="9.140625" style="123"/>
    <col min="2559" max="2559" width="35.7109375" style="123" bestFit="1" customWidth="1"/>
    <col min="2560" max="2560" width="10.5703125" style="123" customWidth="1"/>
    <col min="2561" max="2561" width="8.7109375" style="123" customWidth="1"/>
    <col min="2562" max="2562" width="13" style="123" customWidth="1"/>
    <col min="2563" max="2563" width="8.5703125" style="123" customWidth="1"/>
    <col min="2564" max="2565" width="11" style="123" customWidth="1"/>
    <col min="2566" max="2569" width="11.42578125" style="123" customWidth="1"/>
    <col min="2570" max="2570" width="11" style="123" bestFit="1" customWidth="1"/>
    <col min="2571" max="2571" width="11.7109375" style="123" customWidth="1"/>
    <col min="2572" max="2812" width="9.140625" style="123"/>
    <col min="2813" max="2813" width="2.42578125" style="123" customWidth="1"/>
    <col min="2814" max="2814" width="9.140625" style="123"/>
    <col min="2815" max="2815" width="35.7109375" style="123" bestFit="1" customWidth="1"/>
    <col min="2816" max="2816" width="10.5703125" style="123" customWidth="1"/>
    <col min="2817" max="2817" width="8.7109375" style="123" customWidth="1"/>
    <col min="2818" max="2818" width="13" style="123" customWidth="1"/>
    <col min="2819" max="2819" width="8.5703125" style="123" customWidth="1"/>
    <col min="2820" max="2821" width="11" style="123" customWidth="1"/>
    <col min="2822" max="2825" width="11.42578125" style="123" customWidth="1"/>
    <col min="2826" max="2826" width="11" style="123" bestFit="1" customWidth="1"/>
    <col min="2827" max="2827" width="11.7109375" style="123" customWidth="1"/>
    <col min="2828" max="3068" width="9.140625" style="123"/>
    <col min="3069" max="3069" width="2.42578125" style="123" customWidth="1"/>
    <col min="3070" max="3070" width="9.140625" style="123"/>
    <col min="3071" max="3071" width="35.7109375" style="123" bestFit="1" customWidth="1"/>
    <col min="3072" max="3072" width="10.5703125" style="123" customWidth="1"/>
    <col min="3073" max="3073" width="8.7109375" style="123" customWidth="1"/>
    <col min="3074" max="3074" width="13" style="123" customWidth="1"/>
    <col min="3075" max="3075" width="8.5703125" style="123" customWidth="1"/>
    <col min="3076" max="3077" width="11" style="123" customWidth="1"/>
    <col min="3078" max="3081" width="11.42578125" style="123" customWidth="1"/>
    <col min="3082" max="3082" width="11" style="123" bestFit="1" customWidth="1"/>
    <col min="3083" max="3083" width="11.7109375" style="123" customWidth="1"/>
    <col min="3084" max="3324" width="9.140625" style="123"/>
    <col min="3325" max="3325" width="2.42578125" style="123" customWidth="1"/>
    <col min="3326" max="3326" width="9.140625" style="123"/>
    <col min="3327" max="3327" width="35.7109375" style="123" bestFit="1" customWidth="1"/>
    <col min="3328" max="3328" width="10.5703125" style="123" customWidth="1"/>
    <col min="3329" max="3329" width="8.7109375" style="123" customWidth="1"/>
    <col min="3330" max="3330" width="13" style="123" customWidth="1"/>
    <col min="3331" max="3331" width="8.5703125" style="123" customWidth="1"/>
    <col min="3332" max="3333" width="11" style="123" customWidth="1"/>
    <col min="3334" max="3337" width="11.42578125" style="123" customWidth="1"/>
    <col min="3338" max="3338" width="11" style="123" bestFit="1" customWidth="1"/>
    <col min="3339" max="3339" width="11.7109375" style="123" customWidth="1"/>
    <col min="3340" max="3580" width="9.140625" style="123"/>
    <col min="3581" max="3581" width="2.42578125" style="123" customWidth="1"/>
    <col min="3582" max="3582" width="9.140625" style="123"/>
    <col min="3583" max="3583" width="35.7109375" style="123" bestFit="1" customWidth="1"/>
    <col min="3584" max="3584" width="10.5703125" style="123" customWidth="1"/>
    <col min="3585" max="3585" width="8.7109375" style="123" customWidth="1"/>
    <col min="3586" max="3586" width="13" style="123" customWidth="1"/>
    <col min="3587" max="3587" width="8.5703125" style="123" customWidth="1"/>
    <col min="3588" max="3589" width="11" style="123" customWidth="1"/>
    <col min="3590" max="3593" width="11.42578125" style="123" customWidth="1"/>
    <col min="3594" max="3594" width="11" style="123" bestFit="1" customWidth="1"/>
    <col min="3595" max="3595" width="11.7109375" style="123" customWidth="1"/>
    <col min="3596" max="3836" width="9.140625" style="123"/>
    <col min="3837" max="3837" width="2.42578125" style="123" customWidth="1"/>
    <col min="3838" max="3838" width="9.140625" style="123"/>
    <col min="3839" max="3839" width="35.7109375" style="123" bestFit="1" customWidth="1"/>
    <col min="3840" max="3840" width="10.5703125" style="123" customWidth="1"/>
    <col min="3841" max="3841" width="8.7109375" style="123" customWidth="1"/>
    <col min="3842" max="3842" width="13" style="123" customWidth="1"/>
    <col min="3843" max="3843" width="8.5703125" style="123" customWidth="1"/>
    <col min="3844" max="3845" width="11" style="123" customWidth="1"/>
    <col min="3846" max="3849" width="11.42578125" style="123" customWidth="1"/>
    <col min="3850" max="3850" width="11" style="123" bestFit="1" customWidth="1"/>
    <col min="3851" max="3851" width="11.7109375" style="123" customWidth="1"/>
    <col min="3852" max="4092" width="9.140625" style="123"/>
    <col min="4093" max="4093" width="2.42578125" style="123" customWidth="1"/>
    <col min="4094" max="4094" width="9.140625" style="123"/>
    <col min="4095" max="4095" width="35.7109375" style="123" bestFit="1" customWidth="1"/>
    <col min="4096" max="4096" width="10.5703125" style="123" customWidth="1"/>
    <col min="4097" max="4097" width="8.7109375" style="123" customWidth="1"/>
    <col min="4098" max="4098" width="13" style="123" customWidth="1"/>
    <col min="4099" max="4099" width="8.5703125" style="123" customWidth="1"/>
    <col min="4100" max="4101" width="11" style="123" customWidth="1"/>
    <col min="4102" max="4105" width="11.42578125" style="123" customWidth="1"/>
    <col min="4106" max="4106" width="11" style="123" bestFit="1" customWidth="1"/>
    <col min="4107" max="4107" width="11.7109375" style="123" customWidth="1"/>
    <col min="4108" max="4348" width="9.140625" style="123"/>
    <col min="4349" max="4349" width="2.42578125" style="123" customWidth="1"/>
    <col min="4350" max="4350" width="9.140625" style="123"/>
    <col min="4351" max="4351" width="35.7109375" style="123" bestFit="1" customWidth="1"/>
    <col min="4352" max="4352" width="10.5703125" style="123" customWidth="1"/>
    <col min="4353" max="4353" width="8.7109375" style="123" customWidth="1"/>
    <col min="4354" max="4354" width="13" style="123" customWidth="1"/>
    <col min="4355" max="4355" width="8.5703125" style="123" customWidth="1"/>
    <col min="4356" max="4357" width="11" style="123" customWidth="1"/>
    <col min="4358" max="4361" width="11.42578125" style="123" customWidth="1"/>
    <col min="4362" max="4362" width="11" style="123" bestFit="1" customWidth="1"/>
    <col min="4363" max="4363" width="11.7109375" style="123" customWidth="1"/>
    <col min="4364" max="4604" width="9.140625" style="123"/>
    <col min="4605" max="4605" width="2.42578125" style="123" customWidth="1"/>
    <col min="4606" max="4606" width="9.140625" style="123"/>
    <col min="4607" max="4607" width="35.7109375" style="123" bestFit="1" customWidth="1"/>
    <col min="4608" max="4608" width="10.5703125" style="123" customWidth="1"/>
    <col min="4609" max="4609" width="8.7109375" style="123" customWidth="1"/>
    <col min="4610" max="4610" width="13" style="123" customWidth="1"/>
    <col min="4611" max="4611" width="8.5703125" style="123" customWidth="1"/>
    <col min="4612" max="4613" width="11" style="123" customWidth="1"/>
    <col min="4614" max="4617" width="11.42578125" style="123" customWidth="1"/>
    <col min="4618" max="4618" width="11" style="123" bestFit="1" customWidth="1"/>
    <col min="4619" max="4619" width="11.7109375" style="123" customWidth="1"/>
    <col min="4620" max="4860" width="9.140625" style="123"/>
    <col min="4861" max="4861" width="2.42578125" style="123" customWidth="1"/>
    <col min="4862" max="4862" width="9.140625" style="123"/>
    <col min="4863" max="4863" width="35.7109375" style="123" bestFit="1" customWidth="1"/>
    <col min="4864" max="4864" width="10.5703125" style="123" customWidth="1"/>
    <col min="4865" max="4865" width="8.7109375" style="123" customWidth="1"/>
    <col min="4866" max="4866" width="13" style="123" customWidth="1"/>
    <col min="4867" max="4867" width="8.5703125" style="123" customWidth="1"/>
    <col min="4868" max="4869" width="11" style="123" customWidth="1"/>
    <col min="4870" max="4873" width="11.42578125" style="123" customWidth="1"/>
    <col min="4874" max="4874" width="11" style="123" bestFit="1" customWidth="1"/>
    <col min="4875" max="4875" width="11.7109375" style="123" customWidth="1"/>
    <col min="4876" max="5116" width="9.140625" style="123"/>
    <col min="5117" max="5117" width="2.42578125" style="123" customWidth="1"/>
    <col min="5118" max="5118" width="9.140625" style="123"/>
    <col min="5119" max="5119" width="35.7109375" style="123" bestFit="1" customWidth="1"/>
    <col min="5120" max="5120" width="10.5703125" style="123" customWidth="1"/>
    <col min="5121" max="5121" width="8.7109375" style="123" customWidth="1"/>
    <col min="5122" max="5122" width="13" style="123" customWidth="1"/>
    <col min="5123" max="5123" width="8.5703125" style="123" customWidth="1"/>
    <col min="5124" max="5125" width="11" style="123" customWidth="1"/>
    <col min="5126" max="5129" width="11.42578125" style="123" customWidth="1"/>
    <col min="5130" max="5130" width="11" style="123" bestFit="1" customWidth="1"/>
    <col min="5131" max="5131" width="11.7109375" style="123" customWidth="1"/>
    <col min="5132" max="5372" width="9.140625" style="123"/>
    <col min="5373" max="5373" width="2.42578125" style="123" customWidth="1"/>
    <col min="5374" max="5374" width="9.140625" style="123"/>
    <col min="5375" max="5375" width="35.7109375" style="123" bestFit="1" customWidth="1"/>
    <col min="5376" max="5376" width="10.5703125" style="123" customWidth="1"/>
    <col min="5377" max="5377" width="8.7109375" style="123" customWidth="1"/>
    <col min="5378" max="5378" width="13" style="123" customWidth="1"/>
    <col min="5379" max="5379" width="8.5703125" style="123" customWidth="1"/>
    <col min="5380" max="5381" width="11" style="123" customWidth="1"/>
    <col min="5382" max="5385" width="11.42578125" style="123" customWidth="1"/>
    <col min="5386" max="5386" width="11" style="123" bestFit="1" customWidth="1"/>
    <col min="5387" max="5387" width="11.7109375" style="123" customWidth="1"/>
    <col min="5388" max="5628" width="9.140625" style="123"/>
    <col min="5629" max="5629" width="2.42578125" style="123" customWidth="1"/>
    <col min="5630" max="5630" width="9.140625" style="123"/>
    <col min="5631" max="5631" width="35.7109375" style="123" bestFit="1" customWidth="1"/>
    <col min="5632" max="5632" width="10.5703125" style="123" customWidth="1"/>
    <col min="5633" max="5633" width="8.7109375" style="123" customWidth="1"/>
    <col min="5634" max="5634" width="13" style="123" customWidth="1"/>
    <col min="5635" max="5635" width="8.5703125" style="123" customWidth="1"/>
    <col min="5636" max="5637" width="11" style="123" customWidth="1"/>
    <col min="5638" max="5641" width="11.42578125" style="123" customWidth="1"/>
    <col min="5642" max="5642" width="11" style="123" bestFit="1" customWidth="1"/>
    <col min="5643" max="5643" width="11.7109375" style="123" customWidth="1"/>
    <col min="5644" max="5884" width="9.140625" style="123"/>
    <col min="5885" max="5885" width="2.42578125" style="123" customWidth="1"/>
    <col min="5886" max="5886" width="9.140625" style="123"/>
    <col min="5887" max="5887" width="35.7109375" style="123" bestFit="1" customWidth="1"/>
    <col min="5888" max="5888" width="10.5703125" style="123" customWidth="1"/>
    <col min="5889" max="5889" width="8.7109375" style="123" customWidth="1"/>
    <col min="5890" max="5890" width="13" style="123" customWidth="1"/>
    <col min="5891" max="5891" width="8.5703125" style="123" customWidth="1"/>
    <col min="5892" max="5893" width="11" style="123" customWidth="1"/>
    <col min="5894" max="5897" width="11.42578125" style="123" customWidth="1"/>
    <col min="5898" max="5898" width="11" style="123" bestFit="1" customWidth="1"/>
    <col min="5899" max="5899" width="11.7109375" style="123" customWidth="1"/>
    <col min="5900" max="6140" width="9.140625" style="123"/>
    <col min="6141" max="6141" width="2.42578125" style="123" customWidth="1"/>
    <col min="6142" max="6142" width="9.140625" style="123"/>
    <col min="6143" max="6143" width="35.7109375" style="123" bestFit="1" customWidth="1"/>
    <col min="6144" max="6144" width="10.5703125" style="123" customWidth="1"/>
    <col min="6145" max="6145" width="8.7109375" style="123" customWidth="1"/>
    <col min="6146" max="6146" width="13" style="123" customWidth="1"/>
    <col min="6147" max="6147" width="8.5703125" style="123" customWidth="1"/>
    <col min="6148" max="6149" width="11" style="123" customWidth="1"/>
    <col min="6150" max="6153" width="11.42578125" style="123" customWidth="1"/>
    <col min="6154" max="6154" width="11" style="123" bestFit="1" customWidth="1"/>
    <col min="6155" max="6155" width="11.7109375" style="123" customWidth="1"/>
    <col min="6156" max="6396" width="9.140625" style="123"/>
    <col min="6397" max="6397" width="2.42578125" style="123" customWidth="1"/>
    <col min="6398" max="6398" width="9.140625" style="123"/>
    <col min="6399" max="6399" width="35.7109375" style="123" bestFit="1" customWidth="1"/>
    <col min="6400" max="6400" width="10.5703125" style="123" customWidth="1"/>
    <col min="6401" max="6401" width="8.7109375" style="123" customWidth="1"/>
    <col min="6402" max="6402" width="13" style="123" customWidth="1"/>
    <col min="6403" max="6403" width="8.5703125" style="123" customWidth="1"/>
    <col min="6404" max="6405" width="11" style="123" customWidth="1"/>
    <col min="6406" max="6409" width="11.42578125" style="123" customWidth="1"/>
    <col min="6410" max="6410" width="11" style="123" bestFit="1" customWidth="1"/>
    <col min="6411" max="6411" width="11.7109375" style="123" customWidth="1"/>
    <col min="6412" max="6652" width="9.140625" style="123"/>
    <col min="6653" max="6653" width="2.42578125" style="123" customWidth="1"/>
    <col min="6654" max="6654" width="9.140625" style="123"/>
    <col min="6655" max="6655" width="35.7109375" style="123" bestFit="1" customWidth="1"/>
    <col min="6656" max="6656" width="10.5703125" style="123" customWidth="1"/>
    <col min="6657" max="6657" width="8.7109375" style="123" customWidth="1"/>
    <col min="6658" max="6658" width="13" style="123" customWidth="1"/>
    <col min="6659" max="6659" width="8.5703125" style="123" customWidth="1"/>
    <col min="6660" max="6661" width="11" style="123" customWidth="1"/>
    <col min="6662" max="6665" width="11.42578125" style="123" customWidth="1"/>
    <col min="6666" max="6666" width="11" style="123" bestFit="1" customWidth="1"/>
    <col min="6667" max="6667" width="11.7109375" style="123" customWidth="1"/>
    <col min="6668" max="6908" width="9.140625" style="123"/>
    <col min="6909" max="6909" width="2.42578125" style="123" customWidth="1"/>
    <col min="6910" max="6910" width="9.140625" style="123"/>
    <col min="6911" max="6911" width="35.7109375" style="123" bestFit="1" customWidth="1"/>
    <col min="6912" max="6912" width="10.5703125" style="123" customWidth="1"/>
    <col min="6913" max="6913" width="8.7109375" style="123" customWidth="1"/>
    <col min="6914" max="6914" width="13" style="123" customWidth="1"/>
    <col min="6915" max="6915" width="8.5703125" style="123" customWidth="1"/>
    <col min="6916" max="6917" width="11" style="123" customWidth="1"/>
    <col min="6918" max="6921" width="11.42578125" style="123" customWidth="1"/>
    <col min="6922" max="6922" width="11" style="123" bestFit="1" customWidth="1"/>
    <col min="6923" max="6923" width="11.7109375" style="123" customWidth="1"/>
    <col min="6924" max="7164" width="9.140625" style="123"/>
    <col min="7165" max="7165" width="2.42578125" style="123" customWidth="1"/>
    <col min="7166" max="7166" width="9.140625" style="123"/>
    <col min="7167" max="7167" width="35.7109375" style="123" bestFit="1" customWidth="1"/>
    <col min="7168" max="7168" width="10.5703125" style="123" customWidth="1"/>
    <col min="7169" max="7169" width="8.7109375" style="123" customWidth="1"/>
    <col min="7170" max="7170" width="13" style="123" customWidth="1"/>
    <col min="7171" max="7171" width="8.5703125" style="123" customWidth="1"/>
    <col min="7172" max="7173" width="11" style="123" customWidth="1"/>
    <col min="7174" max="7177" width="11.42578125" style="123" customWidth="1"/>
    <col min="7178" max="7178" width="11" style="123" bestFit="1" customWidth="1"/>
    <col min="7179" max="7179" width="11.7109375" style="123" customWidth="1"/>
    <col min="7180" max="7420" width="9.140625" style="123"/>
    <col min="7421" max="7421" width="2.42578125" style="123" customWidth="1"/>
    <col min="7422" max="7422" width="9.140625" style="123"/>
    <col min="7423" max="7423" width="35.7109375" style="123" bestFit="1" customWidth="1"/>
    <col min="7424" max="7424" width="10.5703125" style="123" customWidth="1"/>
    <col min="7425" max="7425" width="8.7109375" style="123" customWidth="1"/>
    <col min="7426" max="7426" width="13" style="123" customWidth="1"/>
    <col min="7427" max="7427" width="8.5703125" style="123" customWidth="1"/>
    <col min="7428" max="7429" width="11" style="123" customWidth="1"/>
    <col min="7430" max="7433" width="11.42578125" style="123" customWidth="1"/>
    <col min="7434" max="7434" width="11" style="123" bestFit="1" customWidth="1"/>
    <col min="7435" max="7435" width="11.7109375" style="123" customWidth="1"/>
    <col min="7436" max="7676" width="9.140625" style="123"/>
    <col min="7677" max="7677" width="2.42578125" style="123" customWidth="1"/>
    <col min="7678" max="7678" width="9.140625" style="123"/>
    <col min="7679" max="7679" width="35.7109375" style="123" bestFit="1" customWidth="1"/>
    <col min="7680" max="7680" width="10.5703125" style="123" customWidth="1"/>
    <col min="7681" max="7681" width="8.7109375" style="123" customWidth="1"/>
    <col min="7682" max="7682" width="13" style="123" customWidth="1"/>
    <col min="7683" max="7683" width="8.5703125" style="123" customWidth="1"/>
    <col min="7684" max="7685" width="11" style="123" customWidth="1"/>
    <col min="7686" max="7689" width="11.42578125" style="123" customWidth="1"/>
    <col min="7690" max="7690" width="11" style="123" bestFit="1" customWidth="1"/>
    <col min="7691" max="7691" width="11.7109375" style="123" customWidth="1"/>
    <col min="7692" max="7932" width="9.140625" style="123"/>
    <col min="7933" max="7933" width="2.42578125" style="123" customWidth="1"/>
    <col min="7934" max="7934" width="9.140625" style="123"/>
    <col min="7935" max="7935" width="35.7109375" style="123" bestFit="1" customWidth="1"/>
    <col min="7936" max="7936" width="10.5703125" style="123" customWidth="1"/>
    <col min="7937" max="7937" width="8.7109375" style="123" customWidth="1"/>
    <col min="7938" max="7938" width="13" style="123" customWidth="1"/>
    <col min="7939" max="7939" width="8.5703125" style="123" customWidth="1"/>
    <col min="7940" max="7941" width="11" style="123" customWidth="1"/>
    <col min="7942" max="7945" width="11.42578125" style="123" customWidth="1"/>
    <col min="7946" max="7946" width="11" style="123" bestFit="1" customWidth="1"/>
    <col min="7947" max="7947" width="11.7109375" style="123" customWidth="1"/>
    <col min="7948" max="8188" width="9.140625" style="123"/>
    <col min="8189" max="8189" width="2.42578125" style="123" customWidth="1"/>
    <col min="8190" max="8190" width="9.140625" style="123"/>
    <col min="8191" max="8191" width="35.7109375" style="123" bestFit="1" customWidth="1"/>
    <col min="8192" max="8192" width="10.5703125" style="123" customWidth="1"/>
    <col min="8193" max="8193" width="8.7109375" style="123" customWidth="1"/>
    <col min="8194" max="8194" width="13" style="123" customWidth="1"/>
    <col min="8195" max="8195" width="8.5703125" style="123" customWidth="1"/>
    <col min="8196" max="8197" width="11" style="123" customWidth="1"/>
    <col min="8198" max="8201" width="11.42578125" style="123" customWidth="1"/>
    <col min="8202" max="8202" width="11" style="123" bestFit="1" customWidth="1"/>
    <col min="8203" max="8203" width="11.7109375" style="123" customWidth="1"/>
    <col min="8204" max="8444" width="9.140625" style="123"/>
    <col min="8445" max="8445" width="2.42578125" style="123" customWidth="1"/>
    <col min="8446" max="8446" width="9.140625" style="123"/>
    <col min="8447" max="8447" width="35.7109375" style="123" bestFit="1" customWidth="1"/>
    <col min="8448" max="8448" width="10.5703125" style="123" customWidth="1"/>
    <col min="8449" max="8449" width="8.7109375" style="123" customWidth="1"/>
    <col min="8450" max="8450" width="13" style="123" customWidth="1"/>
    <col min="8451" max="8451" width="8.5703125" style="123" customWidth="1"/>
    <col min="8452" max="8453" width="11" style="123" customWidth="1"/>
    <col min="8454" max="8457" width="11.42578125" style="123" customWidth="1"/>
    <col min="8458" max="8458" width="11" style="123" bestFit="1" customWidth="1"/>
    <col min="8459" max="8459" width="11.7109375" style="123" customWidth="1"/>
    <col min="8460" max="8700" width="9.140625" style="123"/>
    <col min="8701" max="8701" width="2.42578125" style="123" customWidth="1"/>
    <col min="8702" max="8702" width="9.140625" style="123"/>
    <col min="8703" max="8703" width="35.7109375" style="123" bestFit="1" customWidth="1"/>
    <col min="8704" max="8704" width="10.5703125" style="123" customWidth="1"/>
    <col min="8705" max="8705" width="8.7109375" style="123" customWidth="1"/>
    <col min="8706" max="8706" width="13" style="123" customWidth="1"/>
    <col min="8707" max="8707" width="8.5703125" style="123" customWidth="1"/>
    <col min="8708" max="8709" width="11" style="123" customWidth="1"/>
    <col min="8710" max="8713" width="11.42578125" style="123" customWidth="1"/>
    <col min="8714" max="8714" width="11" style="123" bestFit="1" customWidth="1"/>
    <col min="8715" max="8715" width="11.7109375" style="123" customWidth="1"/>
    <col min="8716" max="8956" width="9.140625" style="123"/>
    <col min="8957" max="8957" width="2.42578125" style="123" customWidth="1"/>
    <col min="8958" max="8958" width="9.140625" style="123"/>
    <col min="8959" max="8959" width="35.7109375" style="123" bestFit="1" customWidth="1"/>
    <col min="8960" max="8960" width="10.5703125" style="123" customWidth="1"/>
    <col min="8961" max="8961" width="8.7109375" style="123" customWidth="1"/>
    <col min="8962" max="8962" width="13" style="123" customWidth="1"/>
    <col min="8963" max="8963" width="8.5703125" style="123" customWidth="1"/>
    <col min="8964" max="8965" width="11" style="123" customWidth="1"/>
    <col min="8966" max="8969" width="11.42578125" style="123" customWidth="1"/>
    <col min="8970" max="8970" width="11" style="123" bestFit="1" customWidth="1"/>
    <col min="8971" max="8971" width="11.7109375" style="123" customWidth="1"/>
    <col min="8972" max="9212" width="9.140625" style="123"/>
    <col min="9213" max="9213" width="2.42578125" style="123" customWidth="1"/>
    <col min="9214" max="9214" width="9.140625" style="123"/>
    <col min="9215" max="9215" width="35.7109375" style="123" bestFit="1" customWidth="1"/>
    <col min="9216" max="9216" width="10.5703125" style="123" customWidth="1"/>
    <col min="9217" max="9217" width="8.7109375" style="123" customWidth="1"/>
    <col min="9218" max="9218" width="13" style="123" customWidth="1"/>
    <col min="9219" max="9219" width="8.5703125" style="123" customWidth="1"/>
    <col min="9220" max="9221" width="11" style="123" customWidth="1"/>
    <col min="9222" max="9225" width="11.42578125" style="123" customWidth="1"/>
    <col min="9226" max="9226" width="11" style="123" bestFit="1" customWidth="1"/>
    <col min="9227" max="9227" width="11.7109375" style="123" customWidth="1"/>
    <col min="9228" max="9468" width="9.140625" style="123"/>
    <col min="9469" max="9469" width="2.42578125" style="123" customWidth="1"/>
    <col min="9470" max="9470" width="9.140625" style="123"/>
    <col min="9471" max="9471" width="35.7109375" style="123" bestFit="1" customWidth="1"/>
    <col min="9472" max="9472" width="10.5703125" style="123" customWidth="1"/>
    <col min="9473" max="9473" width="8.7109375" style="123" customWidth="1"/>
    <col min="9474" max="9474" width="13" style="123" customWidth="1"/>
    <col min="9475" max="9475" width="8.5703125" style="123" customWidth="1"/>
    <col min="9476" max="9477" width="11" style="123" customWidth="1"/>
    <col min="9478" max="9481" width="11.42578125" style="123" customWidth="1"/>
    <col min="9482" max="9482" width="11" style="123" bestFit="1" customWidth="1"/>
    <col min="9483" max="9483" width="11.7109375" style="123" customWidth="1"/>
    <col min="9484" max="9724" width="9.140625" style="123"/>
    <col min="9725" max="9725" width="2.42578125" style="123" customWidth="1"/>
    <col min="9726" max="9726" width="9.140625" style="123"/>
    <col min="9727" max="9727" width="35.7109375" style="123" bestFit="1" customWidth="1"/>
    <col min="9728" max="9728" width="10.5703125" style="123" customWidth="1"/>
    <col min="9729" max="9729" width="8.7109375" style="123" customWidth="1"/>
    <col min="9730" max="9730" width="13" style="123" customWidth="1"/>
    <col min="9731" max="9731" width="8.5703125" style="123" customWidth="1"/>
    <col min="9732" max="9733" width="11" style="123" customWidth="1"/>
    <col min="9734" max="9737" width="11.42578125" style="123" customWidth="1"/>
    <col min="9738" max="9738" width="11" style="123" bestFit="1" customWidth="1"/>
    <col min="9739" max="9739" width="11.7109375" style="123" customWidth="1"/>
    <col min="9740" max="9980" width="9.140625" style="123"/>
    <col min="9981" max="9981" width="2.42578125" style="123" customWidth="1"/>
    <col min="9982" max="9982" width="9.140625" style="123"/>
    <col min="9983" max="9983" width="35.7109375" style="123" bestFit="1" customWidth="1"/>
    <col min="9984" max="9984" width="10.5703125" style="123" customWidth="1"/>
    <col min="9985" max="9985" width="8.7109375" style="123" customWidth="1"/>
    <col min="9986" max="9986" width="13" style="123" customWidth="1"/>
    <col min="9987" max="9987" width="8.5703125" style="123" customWidth="1"/>
    <col min="9988" max="9989" width="11" style="123" customWidth="1"/>
    <col min="9990" max="9993" width="11.42578125" style="123" customWidth="1"/>
    <col min="9994" max="9994" width="11" style="123" bestFit="1" customWidth="1"/>
    <col min="9995" max="9995" width="11.7109375" style="123" customWidth="1"/>
    <col min="9996" max="10236" width="9.140625" style="123"/>
    <col min="10237" max="10237" width="2.42578125" style="123" customWidth="1"/>
    <col min="10238" max="10238" width="9.140625" style="123"/>
    <col min="10239" max="10239" width="35.7109375" style="123" bestFit="1" customWidth="1"/>
    <col min="10240" max="10240" width="10.5703125" style="123" customWidth="1"/>
    <col min="10241" max="10241" width="8.7109375" style="123" customWidth="1"/>
    <col min="10242" max="10242" width="13" style="123" customWidth="1"/>
    <col min="10243" max="10243" width="8.5703125" style="123" customWidth="1"/>
    <col min="10244" max="10245" width="11" style="123" customWidth="1"/>
    <col min="10246" max="10249" width="11.42578125" style="123" customWidth="1"/>
    <col min="10250" max="10250" width="11" style="123" bestFit="1" customWidth="1"/>
    <col min="10251" max="10251" width="11.7109375" style="123" customWidth="1"/>
    <col min="10252" max="10492" width="9.140625" style="123"/>
    <col min="10493" max="10493" width="2.42578125" style="123" customWidth="1"/>
    <col min="10494" max="10494" width="9.140625" style="123"/>
    <col min="10495" max="10495" width="35.7109375" style="123" bestFit="1" customWidth="1"/>
    <col min="10496" max="10496" width="10.5703125" style="123" customWidth="1"/>
    <col min="10497" max="10497" width="8.7109375" style="123" customWidth="1"/>
    <col min="10498" max="10498" width="13" style="123" customWidth="1"/>
    <col min="10499" max="10499" width="8.5703125" style="123" customWidth="1"/>
    <col min="10500" max="10501" width="11" style="123" customWidth="1"/>
    <col min="10502" max="10505" width="11.42578125" style="123" customWidth="1"/>
    <col min="10506" max="10506" width="11" style="123" bestFit="1" customWidth="1"/>
    <col min="10507" max="10507" width="11.7109375" style="123" customWidth="1"/>
    <col min="10508" max="10748" width="9.140625" style="123"/>
    <col min="10749" max="10749" width="2.42578125" style="123" customWidth="1"/>
    <col min="10750" max="10750" width="9.140625" style="123"/>
    <col min="10751" max="10751" width="35.7109375" style="123" bestFit="1" customWidth="1"/>
    <col min="10752" max="10752" width="10.5703125" style="123" customWidth="1"/>
    <col min="10753" max="10753" width="8.7109375" style="123" customWidth="1"/>
    <col min="10754" max="10754" width="13" style="123" customWidth="1"/>
    <col min="10755" max="10755" width="8.5703125" style="123" customWidth="1"/>
    <col min="10756" max="10757" width="11" style="123" customWidth="1"/>
    <col min="10758" max="10761" width="11.42578125" style="123" customWidth="1"/>
    <col min="10762" max="10762" width="11" style="123" bestFit="1" customWidth="1"/>
    <col min="10763" max="10763" width="11.7109375" style="123" customWidth="1"/>
    <col min="10764" max="11004" width="9.140625" style="123"/>
    <col min="11005" max="11005" width="2.42578125" style="123" customWidth="1"/>
    <col min="11006" max="11006" width="9.140625" style="123"/>
    <col min="11007" max="11007" width="35.7109375" style="123" bestFit="1" customWidth="1"/>
    <col min="11008" max="11008" width="10.5703125" style="123" customWidth="1"/>
    <col min="11009" max="11009" width="8.7109375" style="123" customWidth="1"/>
    <col min="11010" max="11010" width="13" style="123" customWidth="1"/>
    <col min="11011" max="11011" width="8.5703125" style="123" customWidth="1"/>
    <col min="11012" max="11013" width="11" style="123" customWidth="1"/>
    <col min="11014" max="11017" width="11.42578125" style="123" customWidth="1"/>
    <col min="11018" max="11018" width="11" style="123" bestFit="1" customWidth="1"/>
    <col min="11019" max="11019" width="11.7109375" style="123" customWidth="1"/>
    <col min="11020" max="11260" width="9.140625" style="123"/>
    <col min="11261" max="11261" width="2.42578125" style="123" customWidth="1"/>
    <col min="11262" max="11262" width="9.140625" style="123"/>
    <col min="11263" max="11263" width="35.7109375" style="123" bestFit="1" customWidth="1"/>
    <col min="11264" max="11264" width="10.5703125" style="123" customWidth="1"/>
    <col min="11265" max="11265" width="8.7109375" style="123" customWidth="1"/>
    <col min="11266" max="11266" width="13" style="123" customWidth="1"/>
    <col min="11267" max="11267" width="8.5703125" style="123" customWidth="1"/>
    <col min="11268" max="11269" width="11" style="123" customWidth="1"/>
    <col min="11270" max="11273" width="11.42578125" style="123" customWidth="1"/>
    <col min="11274" max="11274" width="11" style="123" bestFit="1" customWidth="1"/>
    <col min="11275" max="11275" width="11.7109375" style="123" customWidth="1"/>
    <col min="11276" max="11516" width="9.140625" style="123"/>
    <col min="11517" max="11517" width="2.42578125" style="123" customWidth="1"/>
    <col min="11518" max="11518" width="9.140625" style="123"/>
    <col min="11519" max="11519" width="35.7109375" style="123" bestFit="1" customWidth="1"/>
    <col min="11520" max="11520" width="10.5703125" style="123" customWidth="1"/>
    <col min="11521" max="11521" width="8.7109375" style="123" customWidth="1"/>
    <col min="11522" max="11522" width="13" style="123" customWidth="1"/>
    <col min="11523" max="11523" width="8.5703125" style="123" customWidth="1"/>
    <col min="11524" max="11525" width="11" style="123" customWidth="1"/>
    <col min="11526" max="11529" width="11.42578125" style="123" customWidth="1"/>
    <col min="11530" max="11530" width="11" style="123" bestFit="1" customWidth="1"/>
    <col min="11531" max="11531" width="11.7109375" style="123" customWidth="1"/>
    <col min="11532" max="11772" width="9.140625" style="123"/>
    <col min="11773" max="11773" width="2.42578125" style="123" customWidth="1"/>
    <col min="11774" max="11774" width="9.140625" style="123"/>
    <col min="11775" max="11775" width="35.7109375" style="123" bestFit="1" customWidth="1"/>
    <col min="11776" max="11776" width="10.5703125" style="123" customWidth="1"/>
    <col min="11777" max="11777" width="8.7109375" style="123" customWidth="1"/>
    <col min="11778" max="11778" width="13" style="123" customWidth="1"/>
    <col min="11779" max="11779" width="8.5703125" style="123" customWidth="1"/>
    <col min="11780" max="11781" width="11" style="123" customWidth="1"/>
    <col min="11782" max="11785" width="11.42578125" style="123" customWidth="1"/>
    <col min="11786" max="11786" width="11" style="123" bestFit="1" customWidth="1"/>
    <col min="11787" max="11787" width="11.7109375" style="123" customWidth="1"/>
    <col min="11788" max="12028" width="9.140625" style="123"/>
    <col min="12029" max="12029" width="2.42578125" style="123" customWidth="1"/>
    <col min="12030" max="12030" width="9.140625" style="123"/>
    <col min="12031" max="12031" width="35.7109375" style="123" bestFit="1" customWidth="1"/>
    <col min="12032" max="12032" width="10.5703125" style="123" customWidth="1"/>
    <col min="12033" max="12033" width="8.7109375" style="123" customWidth="1"/>
    <col min="12034" max="12034" width="13" style="123" customWidth="1"/>
    <col min="12035" max="12035" width="8.5703125" style="123" customWidth="1"/>
    <col min="12036" max="12037" width="11" style="123" customWidth="1"/>
    <col min="12038" max="12041" width="11.42578125" style="123" customWidth="1"/>
    <col min="12042" max="12042" width="11" style="123" bestFit="1" customWidth="1"/>
    <col min="12043" max="12043" width="11.7109375" style="123" customWidth="1"/>
    <col min="12044" max="12284" width="9.140625" style="123"/>
    <col min="12285" max="12285" width="2.42578125" style="123" customWidth="1"/>
    <col min="12286" max="12286" width="9.140625" style="123"/>
    <col min="12287" max="12287" width="35.7109375" style="123" bestFit="1" customWidth="1"/>
    <col min="12288" max="12288" width="10.5703125" style="123" customWidth="1"/>
    <col min="12289" max="12289" width="8.7109375" style="123" customWidth="1"/>
    <col min="12290" max="12290" width="13" style="123" customWidth="1"/>
    <col min="12291" max="12291" width="8.5703125" style="123" customWidth="1"/>
    <col min="12292" max="12293" width="11" style="123" customWidth="1"/>
    <col min="12294" max="12297" width="11.42578125" style="123" customWidth="1"/>
    <col min="12298" max="12298" width="11" style="123" bestFit="1" customWidth="1"/>
    <col min="12299" max="12299" width="11.7109375" style="123" customWidth="1"/>
    <col min="12300" max="12540" width="9.140625" style="123"/>
    <col min="12541" max="12541" width="2.42578125" style="123" customWidth="1"/>
    <col min="12542" max="12542" width="9.140625" style="123"/>
    <col min="12543" max="12543" width="35.7109375" style="123" bestFit="1" customWidth="1"/>
    <col min="12544" max="12544" width="10.5703125" style="123" customWidth="1"/>
    <col min="12545" max="12545" width="8.7109375" style="123" customWidth="1"/>
    <col min="12546" max="12546" width="13" style="123" customWidth="1"/>
    <col min="12547" max="12547" width="8.5703125" style="123" customWidth="1"/>
    <col min="12548" max="12549" width="11" style="123" customWidth="1"/>
    <col min="12550" max="12553" width="11.42578125" style="123" customWidth="1"/>
    <col min="12554" max="12554" width="11" style="123" bestFit="1" customWidth="1"/>
    <col min="12555" max="12555" width="11.7109375" style="123" customWidth="1"/>
    <col min="12556" max="12796" width="9.140625" style="123"/>
    <col min="12797" max="12797" width="2.42578125" style="123" customWidth="1"/>
    <col min="12798" max="12798" width="9.140625" style="123"/>
    <col min="12799" max="12799" width="35.7109375" style="123" bestFit="1" customWidth="1"/>
    <col min="12800" max="12800" width="10.5703125" style="123" customWidth="1"/>
    <col min="12801" max="12801" width="8.7109375" style="123" customWidth="1"/>
    <col min="12802" max="12802" width="13" style="123" customWidth="1"/>
    <col min="12803" max="12803" width="8.5703125" style="123" customWidth="1"/>
    <col min="12804" max="12805" width="11" style="123" customWidth="1"/>
    <col min="12806" max="12809" width="11.42578125" style="123" customWidth="1"/>
    <col min="12810" max="12810" width="11" style="123" bestFit="1" customWidth="1"/>
    <col min="12811" max="12811" width="11.7109375" style="123" customWidth="1"/>
    <col min="12812" max="13052" width="9.140625" style="123"/>
    <col min="13053" max="13053" width="2.42578125" style="123" customWidth="1"/>
    <col min="13054" max="13054" width="9.140625" style="123"/>
    <col min="13055" max="13055" width="35.7109375" style="123" bestFit="1" customWidth="1"/>
    <col min="13056" max="13056" width="10.5703125" style="123" customWidth="1"/>
    <col min="13057" max="13057" width="8.7109375" style="123" customWidth="1"/>
    <col min="13058" max="13058" width="13" style="123" customWidth="1"/>
    <col min="13059" max="13059" width="8.5703125" style="123" customWidth="1"/>
    <col min="13060" max="13061" width="11" style="123" customWidth="1"/>
    <col min="13062" max="13065" width="11.42578125" style="123" customWidth="1"/>
    <col min="13066" max="13066" width="11" style="123" bestFit="1" customWidth="1"/>
    <col min="13067" max="13067" width="11.7109375" style="123" customWidth="1"/>
    <col min="13068" max="13308" width="9.140625" style="123"/>
    <col min="13309" max="13309" width="2.42578125" style="123" customWidth="1"/>
    <col min="13310" max="13310" width="9.140625" style="123"/>
    <col min="13311" max="13311" width="35.7109375" style="123" bestFit="1" customWidth="1"/>
    <col min="13312" max="13312" width="10.5703125" style="123" customWidth="1"/>
    <col min="13313" max="13313" width="8.7109375" style="123" customWidth="1"/>
    <col min="13314" max="13314" width="13" style="123" customWidth="1"/>
    <col min="13315" max="13315" width="8.5703125" style="123" customWidth="1"/>
    <col min="13316" max="13317" width="11" style="123" customWidth="1"/>
    <col min="13318" max="13321" width="11.42578125" style="123" customWidth="1"/>
    <col min="13322" max="13322" width="11" style="123" bestFit="1" customWidth="1"/>
    <col min="13323" max="13323" width="11.7109375" style="123" customWidth="1"/>
    <col min="13324" max="13564" width="9.140625" style="123"/>
    <col min="13565" max="13565" width="2.42578125" style="123" customWidth="1"/>
    <col min="13566" max="13566" width="9.140625" style="123"/>
    <col min="13567" max="13567" width="35.7109375" style="123" bestFit="1" customWidth="1"/>
    <col min="13568" max="13568" width="10.5703125" style="123" customWidth="1"/>
    <col min="13569" max="13569" width="8.7109375" style="123" customWidth="1"/>
    <col min="13570" max="13570" width="13" style="123" customWidth="1"/>
    <col min="13571" max="13571" width="8.5703125" style="123" customWidth="1"/>
    <col min="13572" max="13573" width="11" style="123" customWidth="1"/>
    <col min="13574" max="13577" width="11.42578125" style="123" customWidth="1"/>
    <col min="13578" max="13578" width="11" style="123" bestFit="1" customWidth="1"/>
    <col min="13579" max="13579" width="11.7109375" style="123" customWidth="1"/>
    <col min="13580" max="13820" width="9.140625" style="123"/>
    <col min="13821" max="13821" width="2.42578125" style="123" customWidth="1"/>
    <col min="13822" max="13822" width="9.140625" style="123"/>
    <col min="13823" max="13823" width="35.7109375" style="123" bestFit="1" customWidth="1"/>
    <col min="13824" max="13824" width="10.5703125" style="123" customWidth="1"/>
    <col min="13825" max="13825" width="8.7109375" style="123" customWidth="1"/>
    <col min="13826" max="13826" width="13" style="123" customWidth="1"/>
    <col min="13827" max="13827" width="8.5703125" style="123" customWidth="1"/>
    <col min="13828" max="13829" width="11" style="123" customWidth="1"/>
    <col min="13830" max="13833" width="11.42578125" style="123" customWidth="1"/>
    <col min="13834" max="13834" width="11" style="123" bestFit="1" customWidth="1"/>
    <col min="13835" max="13835" width="11.7109375" style="123" customWidth="1"/>
    <col min="13836" max="14076" width="9.140625" style="123"/>
    <col min="14077" max="14077" width="2.42578125" style="123" customWidth="1"/>
    <col min="14078" max="14078" width="9.140625" style="123"/>
    <col min="14079" max="14079" width="35.7109375" style="123" bestFit="1" customWidth="1"/>
    <col min="14080" max="14080" width="10.5703125" style="123" customWidth="1"/>
    <col min="14081" max="14081" width="8.7109375" style="123" customWidth="1"/>
    <col min="14082" max="14082" width="13" style="123" customWidth="1"/>
    <col min="14083" max="14083" width="8.5703125" style="123" customWidth="1"/>
    <col min="14084" max="14085" width="11" style="123" customWidth="1"/>
    <col min="14086" max="14089" width="11.42578125" style="123" customWidth="1"/>
    <col min="14090" max="14090" width="11" style="123" bestFit="1" customWidth="1"/>
    <col min="14091" max="14091" width="11.7109375" style="123" customWidth="1"/>
    <col min="14092" max="14332" width="9.140625" style="123"/>
    <col min="14333" max="14333" width="2.42578125" style="123" customWidth="1"/>
    <col min="14334" max="14334" width="9.140625" style="123"/>
    <col min="14335" max="14335" width="35.7109375" style="123" bestFit="1" customWidth="1"/>
    <col min="14336" max="14336" width="10.5703125" style="123" customWidth="1"/>
    <col min="14337" max="14337" width="8.7109375" style="123" customWidth="1"/>
    <col min="14338" max="14338" width="13" style="123" customWidth="1"/>
    <col min="14339" max="14339" width="8.5703125" style="123" customWidth="1"/>
    <col min="14340" max="14341" width="11" style="123" customWidth="1"/>
    <col min="14342" max="14345" width="11.42578125" style="123" customWidth="1"/>
    <col min="14346" max="14346" width="11" style="123" bestFit="1" customWidth="1"/>
    <col min="14347" max="14347" width="11.7109375" style="123" customWidth="1"/>
    <col min="14348" max="14588" width="9.140625" style="123"/>
    <col min="14589" max="14589" width="2.42578125" style="123" customWidth="1"/>
    <col min="14590" max="14590" width="9.140625" style="123"/>
    <col min="14591" max="14591" width="35.7109375" style="123" bestFit="1" customWidth="1"/>
    <col min="14592" max="14592" width="10.5703125" style="123" customWidth="1"/>
    <col min="14593" max="14593" width="8.7109375" style="123" customWidth="1"/>
    <col min="14594" max="14594" width="13" style="123" customWidth="1"/>
    <col min="14595" max="14595" width="8.5703125" style="123" customWidth="1"/>
    <col min="14596" max="14597" width="11" style="123" customWidth="1"/>
    <col min="14598" max="14601" width="11.42578125" style="123" customWidth="1"/>
    <col min="14602" max="14602" width="11" style="123" bestFit="1" customWidth="1"/>
    <col min="14603" max="14603" width="11.7109375" style="123" customWidth="1"/>
    <col min="14604" max="14844" width="9.140625" style="123"/>
    <col min="14845" max="14845" width="2.42578125" style="123" customWidth="1"/>
    <col min="14846" max="14846" width="9.140625" style="123"/>
    <col min="14847" max="14847" width="35.7109375" style="123" bestFit="1" customWidth="1"/>
    <col min="14848" max="14848" width="10.5703125" style="123" customWidth="1"/>
    <col min="14849" max="14849" width="8.7109375" style="123" customWidth="1"/>
    <col min="14850" max="14850" width="13" style="123" customWidth="1"/>
    <col min="14851" max="14851" width="8.5703125" style="123" customWidth="1"/>
    <col min="14852" max="14853" width="11" style="123" customWidth="1"/>
    <col min="14854" max="14857" width="11.42578125" style="123" customWidth="1"/>
    <col min="14858" max="14858" width="11" style="123" bestFit="1" customWidth="1"/>
    <col min="14859" max="14859" width="11.7109375" style="123" customWidth="1"/>
    <col min="14860" max="15100" width="9.140625" style="123"/>
    <col min="15101" max="15101" width="2.42578125" style="123" customWidth="1"/>
    <col min="15102" max="15102" width="9.140625" style="123"/>
    <col min="15103" max="15103" width="35.7109375" style="123" bestFit="1" customWidth="1"/>
    <col min="15104" max="15104" width="10.5703125" style="123" customWidth="1"/>
    <col min="15105" max="15105" width="8.7109375" style="123" customWidth="1"/>
    <col min="15106" max="15106" width="13" style="123" customWidth="1"/>
    <col min="15107" max="15107" width="8.5703125" style="123" customWidth="1"/>
    <col min="15108" max="15109" width="11" style="123" customWidth="1"/>
    <col min="15110" max="15113" width="11.42578125" style="123" customWidth="1"/>
    <col min="15114" max="15114" width="11" style="123" bestFit="1" customWidth="1"/>
    <col min="15115" max="15115" width="11.7109375" style="123" customWidth="1"/>
    <col min="15116" max="15356" width="9.140625" style="123"/>
    <col min="15357" max="15357" width="2.42578125" style="123" customWidth="1"/>
    <col min="15358" max="15358" width="9.140625" style="123"/>
    <col min="15359" max="15359" width="35.7109375" style="123" bestFit="1" customWidth="1"/>
    <col min="15360" max="15360" width="10.5703125" style="123" customWidth="1"/>
    <col min="15361" max="15361" width="8.7109375" style="123" customWidth="1"/>
    <col min="15362" max="15362" width="13" style="123" customWidth="1"/>
    <col min="15363" max="15363" width="8.5703125" style="123" customWidth="1"/>
    <col min="15364" max="15365" width="11" style="123" customWidth="1"/>
    <col min="15366" max="15369" width="11.42578125" style="123" customWidth="1"/>
    <col min="15370" max="15370" width="11" style="123" bestFit="1" customWidth="1"/>
    <col min="15371" max="15371" width="11.7109375" style="123" customWidth="1"/>
    <col min="15372" max="15612" width="9.140625" style="123"/>
    <col min="15613" max="15613" width="2.42578125" style="123" customWidth="1"/>
    <col min="15614" max="15614" width="9.140625" style="123"/>
    <col min="15615" max="15615" width="35.7109375" style="123" bestFit="1" customWidth="1"/>
    <col min="15616" max="15616" width="10.5703125" style="123" customWidth="1"/>
    <col min="15617" max="15617" width="8.7109375" style="123" customWidth="1"/>
    <col min="15618" max="15618" width="13" style="123" customWidth="1"/>
    <col min="15619" max="15619" width="8.5703125" style="123" customWidth="1"/>
    <col min="15620" max="15621" width="11" style="123" customWidth="1"/>
    <col min="15622" max="15625" width="11.42578125" style="123" customWidth="1"/>
    <col min="15626" max="15626" width="11" style="123" bestFit="1" customWidth="1"/>
    <col min="15627" max="15627" width="11.7109375" style="123" customWidth="1"/>
    <col min="15628" max="15868" width="9.140625" style="123"/>
    <col min="15869" max="15869" width="2.42578125" style="123" customWidth="1"/>
    <col min="15870" max="15870" width="9.140625" style="123"/>
    <col min="15871" max="15871" width="35.7109375" style="123" bestFit="1" customWidth="1"/>
    <col min="15872" max="15872" width="10.5703125" style="123" customWidth="1"/>
    <col min="15873" max="15873" width="8.7109375" style="123" customWidth="1"/>
    <col min="15874" max="15874" width="13" style="123" customWidth="1"/>
    <col min="15875" max="15875" width="8.5703125" style="123" customWidth="1"/>
    <col min="15876" max="15877" width="11" style="123" customWidth="1"/>
    <col min="15878" max="15881" width="11.42578125" style="123" customWidth="1"/>
    <col min="15882" max="15882" width="11" style="123" bestFit="1" customWidth="1"/>
    <col min="15883" max="15883" width="11.7109375" style="123" customWidth="1"/>
    <col min="15884" max="16124" width="9.140625" style="123"/>
    <col min="16125" max="16125" width="2.42578125" style="123" customWidth="1"/>
    <col min="16126" max="16126" width="9.140625" style="123"/>
    <col min="16127" max="16127" width="35.7109375" style="123" bestFit="1" customWidth="1"/>
    <col min="16128" max="16128" width="10.5703125" style="123" customWidth="1"/>
    <col min="16129" max="16129" width="8.7109375" style="123" customWidth="1"/>
    <col min="16130" max="16130" width="13" style="123" customWidth="1"/>
    <col min="16131" max="16131" width="8.5703125" style="123" customWidth="1"/>
    <col min="16132" max="16133" width="11" style="123" customWidth="1"/>
    <col min="16134" max="16137" width="11.42578125" style="123" customWidth="1"/>
    <col min="16138" max="16138" width="11" style="123" bestFit="1" customWidth="1"/>
    <col min="16139" max="16139" width="11.7109375" style="123" customWidth="1"/>
    <col min="16140" max="16384" width="9.140625" style="123"/>
  </cols>
  <sheetData>
    <row r="1" spans="1:17" x14ac:dyDescent="0.2">
      <c r="H1" s="124" t="s">
        <v>0</v>
      </c>
      <c r="J1" s="205" t="s">
        <v>1</v>
      </c>
    </row>
    <row r="2" spans="1:17" x14ac:dyDescent="0.2">
      <c r="H2" s="124" t="s">
        <v>2</v>
      </c>
      <c r="J2" s="206" t="s">
        <v>3</v>
      </c>
    </row>
    <row r="3" spans="1:17" x14ac:dyDescent="0.2">
      <c r="A3" s="123" t="s">
        <v>287</v>
      </c>
      <c r="H3" s="124" t="s">
        <v>4</v>
      </c>
      <c r="J3" s="206">
        <v>1</v>
      </c>
    </row>
    <row r="4" spans="1:17" x14ac:dyDescent="0.2">
      <c r="H4" s="124" t="s">
        <v>5</v>
      </c>
      <c r="J4" s="206">
        <v>1</v>
      </c>
    </row>
    <row r="5" spans="1:17" x14ac:dyDescent="0.2">
      <c r="H5" s="124" t="s">
        <v>6</v>
      </c>
      <c r="J5" s="206"/>
    </row>
    <row r="6" spans="1:17" x14ac:dyDescent="0.2">
      <c r="H6" s="124"/>
      <c r="J6" s="127"/>
    </row>
    <row r="7" spans="1:17" x14ac:dyDescent="0.2">
      <c r="H7" s="124" t="s">
        <v>7</v>
      </c>
      <c r="J7" s="207">
        <v>46010</v>
      </c>
    </row>
    <row r="9" spans="1:17" ht="18" x14ac:dyDescent="0.25">
      <c r="A9" s="467" t="s">
        <v>288</v>
      </c>
      <c r="B9" s="467"/>
      <c r="C9" s="467"/>
      <c r="D9" s="467"/>
      <c r="E9" s="467"/>
      <c r="F9" s="467"/>
      <c r="G9" s="467"/>
      <c r="H9" s="467"/>
      <c r="I9" s="467"/>
      <c r="J9" s="467"/>
      <c r="K9" s="467"/>
      <c r="Q9" s="123" t="s">
        <v>289</v>
      </c>
    </row>
    <row r="10" spans="1:17" ht="18" x14ac:dyDescent="0.25">
      <c r="A10" s="467" t="s">
        <v>290</v>
      </c>
      <c r="B10" s="467"/>
      <c r="C10" s="467"/>
      <c r="D10" s="467"/>
      <c r="E10" s="467"/>
      <c r="F10" s="467"/>
      <c r="G10" s="467"/>
      <c r="H10" s="467"/>
      <c r="I10" s="467"/>
      <c r="J10" s="467"/>
      <c r="K10" s="467"/>
      <c r="Q10" s="123" t="s">
        <v>291</v>
      </c>
    </row>
    <row r="11" spans="1:17" ht="18" x14ac:dyDescent="0.25">
      <c r="A11" s="254"/>
      <c r="B11" s="254"/>
      <c r="C11" s="254"/>
      <c r="G11" s="254"/>
      <c r="H11" s="254"/>
      <c r="I11" s="254"/>
      <c r="J11" s="254"/>
      <c r="K11" s="254"/>
      <c r="Q11" s="123" t="s">
        <v>12</v>
      </c>
    </row>
    <row r="12" spans="1:17" ht="18" x14ac:dyDescent="0.25">
      <c r="A12" s="254"/>
      <c r="B12" s="254"/>
      <c r="C12" s="254"/>
      <c r="E12" s="254"/>
      <c r="F12" s="255"/>
      <c r="G12" s="254"/>
      <c r="H12" s="254"/>
      <c r="I12" s="254"/>
      <c r="J12" s="254"/>
      <c r="K12" s="254"/>
    </row>
    <row r="13" spans="1:17" x14ac:dyDescent="0.2">
      <c r="A13" s="124" t="s">
        <v>292</v>
      </c>
      <c r="B13" s="123" t="s">
        <v>293</v>
      </c>
    </row>
    <row r="14" spans="1:17" x14ac:dyDescent="0.2">
      <c r="B14" s="364" t="s">
        <v>294</v>
      </c>
      <c r="C14" s="364"/>
      <c r="D14" s="364"/>
      <c r="E14" s="364"/>
      <c r="F14" s="364"/>
      <c r="G14" s="364"/>
      <c r="H14" s="364"/>
      <c r="I14" s="364"/>
      <c r="J14" s="364"/>
      <c r="K14" s="364"/>
    </row>
    <row r="15" spans="1:17" ht="57" customHeight="1" x14ac:dyDescent="0.2">
      <c r="A15" s="124"/>
      <c r="B15" s="364" t="s">
        <v>295</v>
      </c>
      <c r="C15" s="364"/>
      <c r="D15" s="364"/>
      <c r="E15" s="364"/>
      <c r="F15" s="364"/>
      <c r="G15" s="364"/>
      <c r="H15" s="364"/>
      <c r="I15" s="364"/>
      <c r="J15" s="364"/>
      <c r="K15" s="364"/>
    </row>
    <row r="16" spans="1:17" x14ac:dyDescent="0.2">
      <c r="B16" s="256"/>
      <c r="C16" s="256"/>
      <c r="D16" s="256"/>
      <c r="E16" s="256"/>
      <c r="F16" s="256"/>
      <c r="G16" s="256"/>
      <c r="H16" s="256"/>
      <c r="I16" s="256"/>
      <c r="J16" s="256"/>
      <c r="K16" s="256"/>
    </row>
    <row r="17" spans="1:17" x14ac:dyDescent="0.2">
      <c r="A17" s="124" t="s">
        <v>45</v>
      </c>
    </row>
    <row r="18" spans="1:17" x14ac:dyDescent="0.2">
      <c r="A18" s="257">
        <v>1</v>
      </c>
      <c r="B18" s="364" t="s">
        <v>296</v>
      </c>
      <c r="C18" s="364"/>
      <c r="D18" s="364"/>
      <c r="E18" s="364"/>
      <c r="F18" s="364"/>
      <c r="G18" s="364"/>
      <c r="H18" s="364"/>
      <c r="I18" s="364"/>
      <c r="J18" s="364"/>
      <c r="K18" s="364"/>
    </row>
    <row r="19" spans="1:17" x14ac:dyDescent="0.2">
      <c r="A19" s="257">
        <v>2</v>
      </c>
      <c r="B19" s="364" t="s">
        <v>297</v>
      </c>
      <c r="C19" s="364"/>
      <c r="D19" s="364"/>
      <c r="E19" s="364"/>
      <c r="F19" s="364"/>
      <c r="G19" s="364"/>
      <c r="H19" s="364"/>
      <c r="I19" s="364"/>
      <c r="J19" s="364"/>
      <c r="K19" s="364"/>
    </row>
    <row r="20" spans="1:17" x14ac:dyDescent="0.2">
      <c r="A20" s="257">
        <v>3</v>
      </c>
      <c r="B20" s="258" t="s">
        <v>298</v>
      </c>
      <c r="C20" s="132"/>
      <c r="D20" s="132"/>
      <c r="E20" s="132"/>
      <c r="F20" s="132"/>
      <c r="G20" s="132"/>
      <c r="H20" s="132"/>
      <c r="I20" s="132"/>
      <c r="J20" s="132"/>
      <c r="K20" s="132"/>
    </row>
    <row r="21" spans="1:17" x14ac:dyDescent="0.2">
      <c r="A21" s="257">
        <v>4</v>
      </c>
      <c r="B21" s="364" t="s">
        <v>299</v>
      </c>
      <c r="C21" s="364"/>
      <c r="D21" s="364"/>
      <c r="E21" s="364"/>
      <c r="F21" s="364"/>
      <c r="G21" s="364"/>
      <c r="H21" s="364"/>
      <c r="I21" s="364"/>
      <c r="J21" s="364"/>
      <c r="K21" s="364"/>
    </row>
    <row r="22" spans="1:17" ht="13.5" thickBot="1" x14ac:dyDescent="0.25">
      <c r="A22" s="257"/>
      <c r="B22" s="132"/>
      <c r="C22" s="132"/>
      <c r="D22" s="132"/>
      <c r="E22" s="132"/>
      <c r="F22" s="132"/>
      <c r="G22" s="132"/>
      <c r="H22" s="132"/>
      <c r="I22" s="132"/>
      <c r="J22" s="132"/>
      <c r="K22" s="132"/>
    </row>
    <row r="23" spans="1:17" ht="18" customHeight="1" thickBot="1" x14ac:dyDescent="0.3">
      <c r="A23" s="253"/>
      <c r="B23" s="253"/>
      <c r="C23" s="253"/>
      <c r="D23" s="253"/>
      <c r="E23" s="254" t="s">
        <v>300</v>
      </c>
      <c r="F23" s="259">
        <v>2020</v>
      </c>
      <c r="G23" s="253"/>
      <c r="H23" s="253"/>
      <c r="I23" s="253"/>
      <c r="J23" s="253"/>
      <c r="K23" s="253"/>
    </row>
    <row r="24" spans="1:17" ht="13.5" thickBot="1" x14ac:dyDescent="0.25">
      <c r="A24" s="260"/>
      <c r="B24" s="260"/>
      <c r="C24" s="260"/>
      <c r="D24" s="260"/>
      <c r="E24" s="260"/>
      <c r="F24" s="260"/>
      <c r="G24" s="260"/>
      <c r="H24" s="260"/>
      <c r="I24" s="260"/>
      <c r="J24" s="260"/>
      <c r="K24" s="260"/>
      <c r="Q24" s="123">
        <v>2017</v>
      </c>
    </row>
    <row r="25" spans="1:17" ht="32.450000000000003" customHeight="1" thickBot="1" x14ac:dyDescent="0.3">
      <c r="A25" s="253"/>
      <c r="B25" s="253"/>
      <c r="C25" s="457" t="s">
        <v>301</v>
      </c>
      <c r="D25" s="458"/>
      <c r="E25" s="458"/>
      <c r="F25" s="458"/>
      <c r="G25" s="459" t="s">
        <v>302</v>
      </c>
      <c r="H25" s="460"/>
      <c r="I25" s="261" t="s">
        <v>303</v>
      </c>
      <c r="J25" s="253"/>
      <c r="K25" s="253"/>
      <c r="Q25" s="123">
        <v>2018</v>
      </c>
    </row>
    <row r="26" spans="1:17" ht="72.75" customHeight="1" thickBot="1" x14ac:dyDescent="0.25">
      <c r="A26" s="453" t="s">
        <v>304</v>
      </c>
      <c r="B26" s="455" t="s">
        <v>305</v>
      </c>
      <c r="C26" s="262" t="s">
        <v>306</v>
      </c>
      <c r="D26" s="263" t="s">
        <v>307</v>
      </c>
      <c r="E26" s="264" t="s">
        <v>308</v>
      </c>
      <c r="F26" s="265" t="s">
        <v>309</v>
      </c>
      <c r="G26" s="265" t="s">
        <v>310</v>
      </c>
      <c r="H26" s="262" t="s">
        <v>311</v>
      </c>
      <c r="I26" s="266" t="s">
        <v>312</v>
      </c>
      <c r="J26" s="267" t="s">
        <v>313</v>
      </c>
      <c r="K26" s="264" t="s">
        <v>314</v>
      </c>
      <c r="L26" s="266" t="s">
        <v>315</v>
      </c>
      <c r="M26" s="266" t="s">
        <v>316</v>
      </c>
    </row>
    <row r="27" spans="1:17" ht="13.5" thickBot="1" x14ac:dyDescent="0.25">
      <c r="A27" s="454"/>
      <c r="B27" s="456"/>
      <c r="C27" s="268" t="s">
        <v>317</v>
      </c>
      <c r="D27" s="269" t="s">
        <v>318</v>
      </c>
      <c r="E27" s="270" t="s">
        <v>319</v>
      </c>
      <c r="F27" s="270" t="s">
        <v>320</v>
      </c>
      <c r="G27" s="271" t="s">
        <v>321</v>
      </c>
      <c r="H27" s="272" t="s">
        <v>322</v>
      </c>
      <c r="I27" s="270" t="s">
        <v>323</v>
      </c>
      <c r="J27" s="268" t="s">
        <v>324</v>
      </c>
      <c r="K27" s="273" t="s">
        <v>325</v>
      </c>
      <c r="L27" s="271" t="s">
        <v>326</v>
      </c>
      <c r="M27" s="274" t="s">
        <v>327</v>
      </c>
    </row>
    <row r="28" spans="1:17" ht="13.5" thickBot="1" x14ac:dyDescent="0.25">
      <c r="A28" s="275">
        <v>1609</v>
      </c>
      <c r="B28" s="276" t="s">
        <v>108</v>
      </c>
      <c r="C28" s="277">
        <v>1532300</v>
      </c>
      <c r="D28" s="278"/>
      <c r="E28" s="278">
        <v>602400</v>
      </c>
      <c r="F28" s="279">
        <v>0</v>
      </c>
      <c r="G28" s="280">
        <f>C28-D28+(E28*0.5)-F28</f>
        <v>1833500</v>
      </c>
      <c r="H28" s="281">
        <v>13</v>
      </c>
      <c r="I28" s="282">
        <f>IF(H28=0,0,1/H28)</f>
        <v>7.6923076923076927E-2</v>
      </c>
      <c r="J28" s="283">
        <f t="shared" ref="J28:J71" si="0">IF(H28=0,0,+G28/H28)</f>
        <v>141038.46153846153</v>
      </c>
      <c r="K28" s="284">
        <v>82726.37</v>
      </c>
      <c r="L28" s="285">
        <f>IF(ISERROR(+K28-J28), 0, +K28-J28)</f>
        <v>-58312.091538461536</v>
      </c>
      <c r="M28" s="286">
        <f>IFERROR(L28/K28,0)</f>
        <v>-0.70487912788221629</v>
      </c>
    </row>
    <row r="29" spans="1:17" x14ac:dyDescent="0.2">
      <c r="A29" s="275">
        <v>1610</v>
      </c>
      <c r="B29" s="287" t="s">
        <v>328</v>
      </c>
      <c r="C29" s="277">
        <v>1107920.6399999997</v>
      </c>
      <c r="D29" s="278"/>
      <c r="E29" s="278">
        <v>550872.81000000006</v>
      </c>
      <c r="F29" s="279">
        <v>0</v>
      </c>
      <c r="G29" s="280">
        <f>C29-D29+(E29*0.5)-F29</f>
        <v>1383357.0449999997</v>
      </c>
      <c r="H29" s="281">
        <v>3.4769914090138379</v>
      </c>
      <c r="I29" s="282">
        <f>IF(H29=0,0,1/H29)</f>
        <v>0.28760496715855421</v>
      </c>
      <c r="J29" s="283">
        <f t="shared" si="0"/>
        <v>397860.35749577952</v>
      </c>
      <c r="K29" s="284">
        <v>398976.84</v>
      </c>
      <c r="L29" s="285">
        <f>IF(ISERROR(+K29-J29), 0, +K29-J29)</f>
        <v>1116.4825042205048</v>
      </c>
      <c r="M29" s="286">
        <f>IFERROR(L29/K29,0)</f>
        <v>2.7983641963290518E-3</v>
      </c>
    </row>
    <row r="30" spans="1:17" x14ac:dyDescent="0.2">
      <c r="A30" s="234">
        <v>1611</v>
      </c>
      <c r="B30" s="287" t="s">
        <v>111</v>
      </c>
      <c r="C30" s="277">
        <v>2132472.0600000024</v>
      </c>
      <c r="D30" s="278"/>
      <c r="E30" s="278">
        <v>2438783.84</v>
      </c>
      <c r="F30" s="279">
        <v>0</v>
      </c>
      <c r="G30" s="280">
        <f t="shared" ref="G30:G71" si="1">C30-D30+(E30*0.5)-F30</f>
        <v>3351863.9800000023</v>
      </c>
      <c r="H30" s="281">
        <v>2.3599507396403823</v>
      </c>
      <c r="I30" s="288">
        <f>IF(H30=0,0,1/H30)</f>
        <v>0.42373765824975801</v>
      </c>
      <c r="J30" s="283">
        <f t="shared" si="0"/>
        <v>1420310.9936569147</v>
      </c>
      <c r="K30" s="284">
        <v>1424705.9</v>
      </c>
      <c r="L30" s="285">
        <f>IF(ISERROR(+K30-J30), 0, +K30-J30)</f>
        <v>4394.9063430852257</v>
      </c>
      <c r="M30" s="289">
        <f t="shared" ref="M30:M72" si="2">IFERROR(L30/K30,0)</f>
        <v>3.0847814577627747E-3</v>
      </c>
    </row>
    <row r="31" spans="1:17" x14ac:dyDescent="0.2">
      <c r="A31" s="150">
        <v>1612</v>
      </c>
      <c r="B31" s="276" t="s">
        <v>112</v>
      </c>
      <c r="C31" s="277">
        <v>384759.03</v>
      </c>
      <c r="D31" s="278"/>
      <c r="E31" s="278">
        <v>9268.4</v>
      </c>
      <c r="F31" s="279">
        <v>0</v>
      </c>
      <c r="G31" s="280">
        <f t="shared" si="1"/>
        <v>389393.23000000004</v>
      </c>
      <c r="H31" s="290">
        <v>31.869878558463807</v>
      </c>
      <c r="I31" s="288">
        <f t="shared" ref="I31:I71" si="3">IF(H31=0,0,1/H31)</f>
        <v>3.1377590541035373E-2</v>
      </c>
      <c r="J31" s="283">
        <f t="shared" si="0"/>
        <v>12218.221330391212</v>
      </c>
      <c r="K31" s="284">
        <v>12243.090000000011</v>
      </c>
      <c r="L31" s="291">
        <f t="shared" ref="L31:L71" si="4">IF(ISERROR(+K31-J31), 0, +K31-J31)</f>
        <v>24.868669608798882</v>
      </c>
      <c r="M31" s="289">
        <f t="shared" si="2"/>
        <v>2.0312412641578931E-3</v>
      </c>
    </row>
    <row r="32" spans="1:17" x14ac:dyDescent="0.2">
      <c r="A32" s="150">
        <v>1805</v>
      </c>
      <c r="B32" s="276" t="s">
        <v>113</v>
      </c>
      <c r="C32" s="277">
        <v>981172.99</v>
      </c>
      <c r="D32" s="278"/>
      <c r="E32" s="278">
        <v>0</v>
      </c>
      <c r="F32" s="279">
        <v>0</v>
      </c>
      <c r="G32" s="280">
        <f t="shared" si="1"/>
        <v>981172.99</v>
      </c>
      <c r="H32" s="290"/>
      <c r="I32" s="288">
        <f t="shared" si="3"/>
        <v>0</v>
      </c>
      <c r="J32" s="283">
        <f t="shared" si="0"/>
        <v>0</v>
      </c>
      <c r="K32" s="284">
        <v>0</v>
      </c>
      <c r="L32" s="291">
        <f t="shared" si="4"/>
        <v>0</v>
      </c>
      <c r="M32" s="289">
        <f t="shared" si="2"/>
        <v>0</v>
      </c>
    </row>
    <row r="33" spans="1:13" x14ac:dyDescent="0.2">
      <c r="A33" s="150">
        <v>1808</v>
      </c>
      <c r="B33" s="276" t="s">
        <v>114</v>
      </c>
      <c r="C33" s="277">
        <v>224715.46999999997</v>
      </c>
      <c r="D33" s="278"/>
      <c r="E33" s="278">
        <v>0</v>
      </c>
      <c r="F33" s="279">
        <v>0</v>
      </c>
      <c r="G33" s="280">
        <f t="shared" si="1"/>
        <v>224715.46999999997</v>
      </c>
      <c r="H33" s="290">
        <v>24</v>
      </c>
      <c r="I33" s="288">
        <f t="shared" si="3"/>
        <v>4.1666666666666664E-2</v>
      </c>
      <c r="J33" s="283">
        <f t="shared" si="0"/>
        <v>9363.1445833333328</v>
      </c>
      <c r="K33" s="284">
        <v>9382.3700000000008</v>
      </c>
      <c r="L33" s="291">
        <f t="shared" si="4"/>
        <v>19.225416666668025</v>
      </c>
      <c r="M33" s="289">
        <f t="shared" si="2"/>
        <v>2.0491002451052372E-3</v>
      </c>
    </row>
    <row r="34" spans="1:13" x14ac:dyDescent="0.2">
      <c r="A34" s="150">
        <v>1810</v>
      </c>
      <c r="B34" s="276" t="s">
        <v>115</v>
      </c>
      <c r="C34" s="277">
        <v>0</v>
      </c>
      <c r="D34" s="278"/>
      <c r="E34" s="278">
        <v>0</v>
      </c>
      <c r="F34" s="279">
        <v>0</v>
      </c>
      <c r="G34" s="280">
        <f t="shared" si="1"/>
        <v>0</v>
      </c>
      <c r="H34" s="290"/>
      <c r="I34" s="288">
        <f t="shared" si="3"/>
        <v>0</v>
      </c>
      <c r="J34" s="283">
        <f t="shared" si="0"/>
        <v>0</v>
      </c>
      <c r="K34" s="284">
        <v>0</v>
      </c>
      <c r="L34" s="291">
        <f t="shared" si="4"/>
        <v>0</v>
      </c>
      <c r="M34" s="289">
        <f t="shared" si="2"/>
        <v>0</v>
      </c>
    </row>
    <row r="35" spans="1:13" x14ac:dyDescent="0.2">
      <c r="A35" s="150">
        <v>1815</v>
      </c>
      <c r="B35" s="276" t="s">
        <v>116</v>
      </c>
      <c r="C35" s="277">
        <v>189658.49999999997</v>
      </c>
      <c r="D35" s="278"/>
      <c r="E35" s="278">
        <v>0</v>
      </c>
      <c r="F35" s="279">
        <v>0</v>
      </c>
      <c r="G35" s="280">
        <f t="shared" si="1"/>
        <v>189658.49999999997</v>
      </c>
      <c r="H35" s="290">
        <v>28.683729316545264</v>
      </c>
      <c r="I35" s="288">
        <f t="shared" si="3"/>
        <v>3.4862970186487673E-2</v>
      </c>
      <c r="J35" s="283">
        <f t="shared" si="0"/>
        <v>6612.0586311139714</v>
      </c>
      <c r="K35" s="284">
        <v>6625.6399999999994</v>
      </c>
      <c r="L35" s="291">
        <f t="shared" si="4"/>
        <v>13.581368886028031</v>
      </c>
      <c r="M35" s="289">
        <f t="shared" si="2"/>
        <v>2.0498199247209374E-3</v>
      </c>
    </row>
    <row r="36" spans="1:13" x14ac:dyDescent="0.2">
      <c r="A36" s="150">
        <v>1820</v>
      </c>
      <c r="B36" s="276" t="s">
        <v>117</v>
      </c>
      <c r="C36" s="277">
        <v>49578002.808100007</v>
      </c>
      <c r="D36" s="278"/>
      <c r="E36" s="278">
        <v>2671998.06</v>
      </c>
      <c r="F36" s="279">
        <v>372485.04000000004</v>
      </c>
      <c r="G36" s="280">
        <f t="shared" si="1"/>
        <v>50541516.79810001</v>
      </c>
      <c r="H36" s="290">
        <v>28.149460065896243</v>
      </c>
      <c r="I36" s="288">
        <f t="shared" si="3"/>
        <v>3.5524660070177488E-2</v>
      </c>
      <c r="J36" s="283">
        <f t="shared" si="0"/>
        <v>1795470.203683668</v>
      </c>
      <c r="K36" s="284">
        <v>1804904.58</v>
      </c>
      <c r="L36" s="291">
        <f t="shared" si="4"/>
        <v>9434.3763163320255</v>
      </c>
      <c r="M36" s="289">
        <f t="shared" si="2"/>
        <v>5.2270776089071843E-3</v>
      </c>
    </row>
    <row r="37" spans="1:13" x14ac:dyDescent="0.2">
      <c r="A37" s="150">
        <v>1825</v>
      </c>
      <c r="B37" s="276" t="s">
        <v>118</v>
      </c>
      <c r="C37" s="277">
        <v>0</v>
      </c>
      <c r="D37" s="278"/>
      <c r="E37" s="278">
        <v>0</v>
      </c>
      <c r="F37" s="279">
        <v>0</v>
      </c>
      <c r="G37" s="280">
        <f t="shared" si="1"/>
        <v>0</v>
      </c>
      <c r="H37" s="290"/>
      <c r="I37" s="288">
        <f t="shared" si="3"/>
        <v>0</v>
      </c>
      <c r="J37" s="283">
        <f t="shared" si="0"/>
        <v>0</v>
      </c>
      <c r="K37" s="284">
        <v>0</v>
      </c>
      <c r="L37" s="291">
        <f t="shared" si="4"/>
        <v>0</v>
      </c>
      <c r="M37" s="289">
        <f t="shared" si="2"/>
        <v>0</v>
      </c>
    </row>
    <row r="38" spans="1:13" x14ac:dyDescent="0.2">
      <c r="A38" s="150">
        <v>1830</v>
      </c>
      <c r="B38" s="276" t="s">
        <v>119</v>
      </c>
      <c r="C38" s="277">
        <v>72770326.389999986</v>
      </c>
      <c r="D38" s="278"/>
      <c r="E38" s="278">
        <v>8897823.2899999991</v>
      </c>
      <c r="F38" s="279">
        <v>176786.69</v>
      </c>
      <c r="G38" s="280">
        <f t="shared" si="1"/>
        <v>77042451.344999984</v>
      </c>
      <c r="H38" s="290">
        <v>33.169986972629154</v>
      </c>
      <c r="I38" s="288">
        <f t="shared" si="3"/>
        <v>3.0147735687239462E-2</v>
      </c>
      <c r="J38" s="283">
        <f t="shared" si="0"/>
        <v>2322655.4598460658</v>
      </c>
      <c r="K38" s="284">
        <v>2332822.88</v>
      </c>
      <c r="L38" s="291">
        <f t="shared" si="4"/>
        <v>10167.420153934043</v>
      </c>
      <c r="M38" s="292">
        <f t="shared" si="2"/>
        <v>4.3584192529584776E-3</v>
      </c>
    </row>
    <row r="39" spans="1:13" x14ac:dyDescent="0.2">
      <c r="A39" s="150">
        <v>1835</v>
      </c>
      <c r="B39" s="276" t="s">
        <v>120</v>
      </c>
      <c r="C39" s="277">
        <v>53586397.7575</v>
      </c>
      <c r="D39" s="278"/>
      <c r="E39" s="278">
        <v>5385975.6300000008</v>
      </c>
      <c r="F39" s="279">
        <v>78280.77</v>
      </c>
      <c r="G39" s="280">
        <f t="shared" si="1"/>
        <v>56201104.802499995</v>
      </c>
      <c r="H39" s="290">
        <v>30.751504674085755</v>
      </c>
      <c r="I39" s="288">
        <f t="shared" si="3"/>
        <v>3.2518733980607409E-2</v>
      </c>
      <c r="J39" s="283">
        <f t="shared" si="0"/>
        <v>1827588.7764887349</v>
      </c>
      <c r="K39" s="284">
        <v>1833368.29</v>
      </c>
      <c r="L39" s="291">
        <f t="shared" si="4"/>
        <v>5779.5135112651624</v>
      </c>
      <c r="M39" s="289">
        <f t="shared" si="2"/>
        <v>3.1524018075305329E-3</v>
      </c>
    </row>
    <row r="40" spans="1:13" x14ac:dyDescent="0.2">
      <c r="A40" s="150">
        <v>1840</v>
      </c>
      <c r="B40" s="276" t="s">
        <v>121</v>
      </c>
      <c r="C40" s="277">
        <v>39109407.423300005</v>
      </c>
      <c r="D40" s="278"/>
      <c r="E40" s="278">
        <v>4087980.6599999964</v>
      </c>
      <c r="F40" s="279">
        <v>0</v>
      </c>
      <c r="G40" s="280">
        <f t="shared" si="1"/>
        <v>41153397.753300004</v>
      </c>
      <c r="H40" s="290">
        <v>49.811122455039808</v>
      </c>
      <c r="I40" s="288">
        <f t="shared" si="3"/>
        <v>2.0075837497992813E-2</v>
      </c>
      <c r="J40" s="283">
        <f t="shared" si="0"/>
        <v>826188.92578551336</v>
      </c>
      <c r="K40" s="284">
        <v>828051.45000000019</v>
      </c>
      <c r="L40" s="291">
        <f t="shared" si="4"/>
        <v>1862.5242144868243</v>
      </c>
      <c r="M40" s="292">
        <f t="shared" si="2"/>
        <v>2.2492856144226592E-3</v>
      </c>
    </row>
    <row r="41" spans="1:13" x14ac:dyDescent="0.2">
      <c r="A41" s="150">
        <v>1845</v>
      </c>
      <c r="B41" s="276" t="s">
        <v>122</v>
      </c>
      <c r="C41" s="277">
        <v>58739652.719899997</v>
      </c>
      <c r="D41" s="278"/>
      <c r="E41" s="278">
        <v>7692587.2999999998</v>
      </c>
      <c r="F41" s="279">
        <v>66172.429999999993</v>
      </c>
      <c r="G41" s="280">
        <f t="shared" si="1"/>
        <v>62519773.939899996</v>
      </c>
      <c r="H41" s="290">
        <v>31.060646202566371</v>
      </c>
      <c r="I41" s="288">
        <f t="shared" si="3"/>
        <v>3.2195080343092652E-2</v>
      </c>
      <c r="J41" s="283">
        <f t="shared" si="0"/>
        <v>2012829.1450270705</v>
      </c>
      <c r="K41" s="284">
        <v>2011652.95</v>
      </c>
      <c r="L41" s="291">
        <f t="shared" si="4"/>
        <v>-1176.1950270705856</v>
      </c>
      <c r="M41" s="289">
        <f t="shared" si="2"/>
        <v>-5.8469082704876391E-4</v>
      </c>
    </row>
    <row r="42" spans="1:13" x14ac:dyDescent="0.2">
      <c r="A42" s="150">
        <v>1850</v>
      </c>
      <c r="B42" s="276" t="s">
        <v>123</v>
      </c>
      <c r="C42" s="277">
        <v>42229644.127400011</v>
      </c>
      <c r="D42" s="278"/>
      <c r="E42" s="278">
        <v>6840211.2899999991</v>
      </c>
      <c r="F42" s="279">
        <v>137767.53000000003</v>
      </c>
      <c r="G42" s="280">
        <f t="shared" si="1"/>
        <v>45511982.242400005</v>
      </c>
      <c r="H42" s="290">
        <v>21.825851783613874</v>
      </c>
      <c r="I42" s="288">
        <f t="shared" si="3"/>
        <v>4.581722674167369E-2</v>
      </c>
      <c r="J42" s="283">
        <f t="shared" si="0"/>
        <v>2085232.8098630677</v>
      </c>
      <c r="K42" s="284">
        <v>2094832.8699999999</v>
      </c>
      <c r="L42" s="291">
        <f t="shared" si="4"/>
        <v>9600.0601369321812</v>
      </c>
      <c r="M42" s="289">
        <f t="shared" si="2"/>
        <v>4.5827331976761379E-3</v>
      </c>
    </row>
    <row r="43" spans="1:13" x14ac:dyDescent="0.2">
      <c r="A43" s="150">
        <v>1855</v>
      </c>
      <c r="B43" s="276" t="s">
        <v>124</v>
      </c>
      <c r="C43" s="277">
        <v>35479109.6994</v>
      </c>
      <c r="D43" s="278"/>
      <c r="E43" s="278">
        <v>2260403.5700000003</v>
      </c>
      <c r="F43" s="279">
        <v>0</v>
      </c>
      <c r="G43" s="280">
        <f t="shared" si="1"/>
        <v>36609311.484400004</v>
      </c>
      <c r="H43" s="290">
        <v>34.639813305375007</v>
      </c>
      <c r="I43" s="288">
        <f t="shared" si="3"/>
        <v>2.8868515865956804E-2</v>
      </c>
      <c r="J43" s="283">
        <f t="shared" si="0"/>
        <v>1056856.4894291561</v>
      </c>
      <c r="K43" s="284">
        <v>1059296.8999999999</v>
      </c>
      <c r="L43" s="291">
        <f t="shared" si="4"/>
        <v>2440.4105708438437</v>
      </c>
      <c r="M43" s="289">
        <f t="shared" si="2"/>
        <v>2.3038022398100514E-3</v>
      </c>
    </row>
    <row r="44" spans="1:13" x14ac:dyDescent="0.2">
      <c r="A44" s="150">
        <v>1860</v>
      </c>
      <c r="B44" s="276" t="s">
        <v>125</v>
      </c>
      <c r="C44" s="277">
        <v>2214021.3500000006</v>
      </c>
      <c r="D44" s="278"/>
      <c r="E44" s="278">
        <v>195097.18</v>
      </c>
      <c r="F44" s="279">
        <v>0</v>
      </c>
      <c r="G44" s="280">
        <f t="shared" si="1"/>
        <v>2311569.9400000004</v>
      </c>
      <c r="H44" s="290">
        <v>20.625253403963136</v>
      </c>
      <c r="I44" s="288">
        <f t="shared" si="3"/>
        <v>4.848425279506386E-2</v>
      </c>
      <c r="J44" s="283">
        <f t="shared" si="0"/>
        <v>112074.74132443061</v>
      </c>
      <c r="K44" s="284">
        <v>117161.98</v>
      </c>
      <c r="L44" s="291">
        <f t="shared" si="4"/>
        <v>5087.2386755693879</v>
      </c>
      <c r="M44" s="289">
        <f t="shared" si="2"/>
        <v>4.3420559088958623E-2</v>
      </c>
    </row>
    <row r="45" spans="1:13" x14ac:dyDescent="0.2">
      <c r="A45" s="150">
        <v>1860</v>
      </c>
      <c r="B45" s="276" t="s">
        <v>126</v>
      </c>
      <c r="C45" s="277">
        <v>10684201.588999998</v>
      </c>
      <c r="D45" s="278"/>
      <c r="E45" s="278">
        <v>1092225.04</v>
      </c>
      <c r="F45" s="279">
        <v>23905.46</v>
      </c>
      <c r="G45" s="280">
        <f t="shared" si="1"/>
        <v>11206408.648999996</v>
      </c>
      <c r="H45" s="290">
        <v>6.3699799952233702</v>
      </c>
      <c r="I45" s="288">
        <f t="shared" si="3"/>
        <v>0.15698636428212737</v>
      </c>
      <c r="J45" s="283">
        <f t="shared" si="0"/>
        <v>1759253.3504662963</v>
      </c>
      <c r="K45" s="284">
        <v>1766620.6600000001</v>
      </c>
      <c r="L45" s="291">
        <f t="shared" si="4"/>
        <v>7367.3095337038394</v>
      </c>
      <c r="M45" s="289">
        <f t="shared" si="2"/>
        <v>4.1702838082420248E-3</v>
      </c>
    </row>
    <row r="46" spans="1:13" x14ac:dyDescent="0.2">
      <c r="A46" s="150">
        <v>1865</v>
      </c>
      <c r="B46" s="276" t="s">
        <v>127</v>
      </c>
      <c r="C46" s="277">
        <v>0</v>
      </c>
      <c r="D46" s="278"/>
      <c r="E46" s="278">
        <v>0</v>
      </c>
      <c r="F46" s="279">
        <v>0</v>
      </c>
      <c r="G46" s="280">
        <f t="shared" si="1"/>
        <v>0</v>
      </c>
      <c r="H46" s="290"/>
      <c r="I46" s="288">
        <f t="shared" si="3"/>
        <v>0</v>
      </c>
      <c r="J46" s="283">
        <f t="shared" si="0"/>
        <v>0</v>
      </c>
      <c r="K46" s="284">
        <v>0</v>
      </c>
      <c r="L46" s="291">
        <f t="shared" si="4"/>
        <v>0</v>
      </c>
      <c r="M46" s="289">
        <f t="shared" si="2"/>
        <v>0</v>
      </c>
    </row>
    <row r="47" spans="1:13" x14ac:dyDescent="0.2">
      <c r="A47" s="150">
        <v>1905</v>
      </c>
      <c r="B47" s="276" t="s">
        <v>113</v>
      </c>
      <c r="C47" s="277">
        <v>1195031.3199999998</v>
      </c>
      <c r="D47" s="278"/>
      <c r="E47" s="278">
        <v>0</v>
      </c>
      <c r="F47" s="279">
        <v>0</v>
      </c>
      <c r="G47" s="280">
        <f t="shared" si="1"/>
        <v>1195031.3199999998</v>
      </c>
      <c r="H47" s="290"/>
      <c r="I47" s="288">
        <f t="shared" si="3"/>
        <v>0</v>
      </c>
      <c r="J47" s="283">
        <f t="shared" si="0"/>
        <v>0</v>
      </c>
      <c r="K47" s="284">
        <v>0</v>
      </c>
      <c r="L47" s="291">
        <f t="shared" si="4"/>
        <v>0</v>
      </c>
      <c r="M47" s="289">
        <f t="shared" si="2"/>
        <v>0</v>
      </c>
    </row>
    <row r="48" spans="1:13" x14ac:dyDescent="0.2">
      <c r="A48" s="150">
        <v>1908</v>
      </c>
      <c r="B48" s="276" t="s">
        <v>128</v>
      </c>
      <c r="C48" s="277">
        <v>15480440.060000002</v>
      </c>
      <c r="D48" s="278"/>
      <c r="E48" s="278">
        <v>668904.32999999996</v>
      </c>
      <c r="F48" s="279">
        <v>0</v>
      </c>
      <c r="G48" s="280">
        <f t="shared" si="1"/>
        <v>15814892.225000001</v>
      </c>
      <c r="H48" s="290">
        <v>15.257566572078252</v>
      </c>
      <c r="I48" s="288">
        <f t="shared" si="3"/>
        <v>6.5541250977074306E-2</v>
      </c>
      <c r="J48" s="283">
        <f t="shared" si="0"/>
        <v>1036527.8204941062</v>
      </c>
      <c r="K48" s="284">
        <v>1038660.8200000001</v>
      </c>
      <c r="L48" s="291">
        <f t="shared" si="4"/>
        <v>2132.9995058939094</v>
      </c>
      <c r="M48" s="289">
        <f t="shared" si="2"/>
        <v>2.0536054357898174E-3</v>
      </c>
    </row>
    <row r="49" spans="1:13" x14ac:dyDescent="0.2">
      <c r="A49" s="150">
        <v>1910</v>
      </c>
      <c r="B49" s="276" t="s">
        <v>115</v>
      </c>
      <c r="C49" s="277">
        <v>0</v>
      </c>
      <c r="D49" s="278"/>
      <c r="E49" s="278">
        <v>0</v>
      </c>
      <c r="F49" s="279">
        <v>0</v>
      </c>
      <c r="G49" s="280">
        <f t="shared" si="1"/>
        <v>0</v>
      </c>
      <c r="H49" s="290"/>
      <c r="I49" s="288">
        <f t="shared" si="3"/>
        <v>0</v>
      </c>
      <c r="J49" s="283">
        <f t="shared" si="0"/>
        <v>0</v>
      </c>
      <c r="K49" s="284">
        <v>0</v>
      </c>
      <c r="L49" s="291">
        <f t="shared" si="4"/>
        <v>0</v>
      </c>
      <c r="M49" s="289">
        <f t="shared" si="2"/>
        <v>0</v>
      </c>
    </row>
    <row r="50" spans="1:13" x14ac:dyDescent="0.2">
      <c r="A50" s="150">
        <v>1915</v>
      </c>
      <c r="B50" s="276" t="s">
        <v>129</v>
      </c>
      <c r="C50" s="277">
        <v>640909.10999999987</v>
      </c>
      <c r="D50" s="278"/>
      <c r="E50" s="278">
        <v>116791.70999999996</v>
      </c>
      <c r="F50" s="279">
        <v>0</v>
      </c>
      <c r="G50" s="280">
        <f t="shared" si="1"/>
        <v>699304.96499999985</v>
      </c>
      <c r="H50" s="290">
        <v>6.3262256047306638</v>
      </c>
      <c r="I50" s="288">
        <f t="shared" si="3"/>
        <v>0.15807213692350994</v>
      </c>
      <c r="J50" s="283">
        <f t="shared" si="0"/>
        <v>110540.63017877031</v>
      </c>
      <c r="K50" s="284">
        <v>110767.30000000005</v>
      </c>
      <c r="L50" s="291">
        <f t="shared" si="4"/>
        <v>226.66982122973423</v>
      </c>
      <c r="M50" s="289">
        <f t="shared" si="2"/>
        <v>2.0463604441900646E-3</v>
      </c>
    </row>
    <row r="51" spans="1:13" x14ac:dyDescent="0.2">
      <c r="A51" s="150">
        <v>1915</v>
      </c>
      <c r="B51" s="276" t="s">
        <v>130</v>
      </c>
      <c r="C51" s="277">
        <v>0</v>
      </c>
      <c r="D51" s="278"/>
      <c r="E51" s="278">
        <v>0</v>
      </c>
      <c r="F51" s="279">
        <v>0</v>
      </c>
      <c r="G51" s="280">
        <f t="shared" si="1"/>
        <v>0</v>
      </c>
      <c r="H51" s="290"/>
      <c r="I51" s="288">
        <f t="shared" si="3"/>
        <v>0</v>
      </c>
      <c r="J51" s="283">
        <f t="shared" si="0"/>
        <v>0</v>
      </c>
      <c r="K51" s="284">
        <v>0</v>
      </c>
      <c r="L51" s="291">
        <f t="shared" si="4"/>
        <v>0</v>
      </c>
      <c r="M51" s="289">
        <f t="shared" si="2"/>
        <v>0</v>
      </c>
    </row>
    <row r="52" spans="1:13" x14ac:dyDescent="0.2">
      <c r="A52" s="150">
        <v>1920</v>
      </c>
      <c r="B52" s="276" t="s">
        <v>131</v>
      </c>
      <c r="C52" s="277">
        <v>1364095.6799999997</v>
      </c>
      <c r="D52" s="278"/>
      <c r="E52" s="278">
        <v>1556192.95</v>
      </c>
      <c r="F52" s="279">
        <v>0</v>
      </c>
      <c r="G52" s="280">
        <f t="shared" si="1"/>
        <v>2142192.1549999998</v>
      </c>
      <c r="H52" s="290">
        <v>2.9760207788283637</v>
      </c>
      <c r="I52" s="288">
        <f t="shared" si="3"/>
        <v>0.33601915924582093</v>
      </c>
      <c r="J52" s="283">
        <f t="shared" si="0"/>
        <v>719817.60686609324</v>
      </c>
      <c r="K52" s="284">
        <v>721917.03999999992</v>
      </c>
      <c r="L52" s="291">
        <f t="shared" si="4"/>
        <v>2099.4331339066848</v>
      </c>
      <c r="M52" s="289">
        <f t="shared" si="2"/>
        <v>2.9081362782442219E-3</v>
      </c>
    </row>
    <row r="53" spans="1:13" x14ac:dyDescent="0.2">
      <c r="A53" s="150">
        <v>1920</v>
      </c>
      <c r="B53" s="276" t="s">
        <v>132</v>
      </c>
      <c r="C53" s="277">
        <v>0</v>
      </c>
      <c r="D53" s="278"/>
      <c r="E53" s="278">
        <v>0</v>
      </c>
      <c r="F53" s="279">
        <v>0</v>
      </c>
      <c r="G53" s="280">
        <f t="shared" si="1"/>
        <v>0</v>
      </c>
      <c r="H53" s="290"/>
      <c r="I53" s="288">
        <f t="shared" si="3"/>
        <v>0</v>
      </c>
      <c r="J53" s="283">
        <f t="shared" si="0"/>
        <v>0</v>
      </c>
      <c r="K53" s="284">
        <v>0</v>
      </c>
      <c r="L53" s="291">
        <f t="shared" si="4"/>
        <v>0</v>
      </c>
      <c r="M53" s="292">
        <f t="shared" si="2"/>
        <v>0</v>
      </c>
    </row>
    <row r="54" spans="1:13" x14ac:dyDescent="0.2">
      <c r="A54" s="150">
        <v>1920</v>
      </c>
      <c r="B54" s="276" t="s">
        <v>133</v>
      </c>
      <c r="C54" s="277">
        <v>0</v>
      </c>
      <c r="D54" s="278"/>
      <c r="E54" s="278">
        <v>0</v>
      </c>
      <c r="F54" s="279">
        <v>0</v>
      </c>
      <c r="G54" s="280">
        <f t="shared" si="1"/>
        <v>0</v>
      </c>
      <c r="H54" s="290"/>
      <c r="I54" s="288">
        <f t="shared" si="3"/>
        <v>0</v>
      </c>
      <c r="J54" s="283">
        <f t="shared" si="0"/>
        <v>0</v>
      </c>
      <c r="K54" s="284">
        <v>0</v>
      </c>
      <c r="L54" s="291">
        <f t="shared" si="4"/>
        <v>0</v>
      </c>
      <c r="M54" s="292">
        <f t="shared" si="2"/>
        <v>0</v>
      </c>
    </row>
    <row r="55" spans="1:13" x14ac:dyDescent="0.2">
      <c r="A55" s="150">
        <v>1930</v>
      </c>
      <c r="B55" s="276" t="s">
        <v>134</v>
      </c>
      <c r="C55" s="277">
        <v>5494553.3499999996</v>
      </c>
      <c r="D55" s="278"/>
      <c r="E55" s="278">
        <v>784692.74</v>
      </c>
      <c r="F55" s="279">
        <v>0</v>
      </c>
      <c r="G55" s="280">
        <f t="shared" si="1"/>
        <v>5886899.7199999997</v>
      </c>
      <c r="H55" s="290">
        <v>6.7732758654988521</v>
      </c>
      <c r="I55" s="288">
        <f t="shared" si="3"/>
        <v>0.14763904790792837</v>
      </c>
      <c r="J55" s="283">
        <f t="shared" si="0"/>
        <v>869136.26979025011</v>
      </c>
      <c r="K55" s="284">
        <v>870984.36</v>
      </c>
      <c r="L55" s="291">
        <f t="shared" si="4"/>
        <v>1848.0902097498765</v>
      </c>
      <c r="M55" s="289">
        <f t="shared" si="2"/>
        <v>2.121840867211297E-3</v>
      </c>
    </row>
    <row r="56" spans="1:13" x14ac:dyDescent="0.2">
      <c r="A56" s="150">
        <v>1935</v>
      </c>
      <c r="B56" s="276" t="s">
        <v>135</v>
      </c>
      <c r="C56" s="277">
        <v>73883.209999999992</v>
      </c>
      <c r="D56" s="278"/>
      <c r="E56" s="278">
        <v>0</v>
      </c>
      <c r="F56" s="279">
        <v>0</v>
      </c>
      <c r="G56" s="280">
        <f t="shared" si="1"/>
        <v>73883.209999999992</v>
      </c>
      <c r="H56" s="290">
        <v>5.9826051098752826</v>
      </c>
      <c r="I56" s="288">
        <f t="shared" si="3"/>
        <v>0.16715126297561142</v>
      </c>
      <c r="J56" s="283">
        <f t="shared" si="0"/>
        <v>12349.671864192322</v>
      </c>
      <c r="K56" s="284">
        <v>12370.879999999997</v>
      </c>
      <c r="L56" s="291">
        <f t="shared" si="4"/>
        <v>21.208135807675717</v>
      </c>
      <c r="M56" s="289">
        <f t="shared" si="2"/>
        <v>1.7143595126357803E-3</v>
      </c>
    </row>
    <row r="57" spans="1:13" x14ac:dyDescent="0.2">
      <c r="A57" s="150">
        <v>1940</v>
      </c>
      <c r="B57" s="276" t="s">
        <v>136</v>
      </c>
      <c r="C57" s="277">
        <v>1352494.9100000004</v>
      </c>
      <c r="D57" s="278"/>
      <c r="E57" s="278">
        <v>155293.14999999991</v>
      </c>
      <c r="F57" s="279">
        <v>0</v>
      </c>
      <c r="G57" s="280">
        <f t="shared" si="1"/>
        <v>1430141.4850000003</v>
      </c>
      <c r="H57" s="290">
        <v>6.631910604336726</v>
      </c>
      <c r="I57" s="288">
        <f t="shared" si="3"/>
        <v>0.15078610971415718</v>
      </c>
      <c r="J57" s="283">
        <f t="shared" si="0"/>
        <v>215645.47086397771</v>
      </c>
      <c r="K57" s="284">
        <v>216095.74</v>
      </c>
      <c r="L57" s="291">
        <f t="shared" si="4"/>
        <v>450.2691360222816</v>
      </c>
      <c r="M57" s="292">
        <f t="shared" si="2"/>
        <v>2.0836557723085221E-3</v>
      </c>
    </row>
    <row r="58" spans="1:13" x14ac:dyDescent="0.2">
      <c r="A58" s="150">
        <v>1945</v>
      </c>
      <c r="B58" s="276" t="s">
        <v>137</v>
      </c>
      <c r="C58" s="277">
        <v>60119.799999999988</v>
      </c>
      <c r="D58" s="278"/>
      <c r="E58" s="278">
        <v>0</v>
      </c>
      <c r="F58" s="279">
        <v>0</v>
      </c>
      <c r="G58" s="280">
        <f t="shared" si="1"/>
        <v>60119.799999999988</v>
      </c>
      <c r="H58" s="290">
        <v>3.3550851603352405</v>
      </c>
      <c r="I58" s="288">
        <f t="shared" si="3"/>
        <v>0.29805502758090346</v>
      </c>
      <c r="J58" s="283">
        <f t="shared" si="0"/>
        <v>17919.008647158396</v>
      </c>
      <c r="K58" s="284">
        <v>17944.239999999991</v>
      </c>
      <c r="L58" s="291">
        <f t="shared" si="4"/>
        <v>25.231352841594344</v>
      </c>
      <c r="M58" s="289">
        <f t="shared" si="2"/>
        <v>1.4060976024392426E-3</v>
      </c>
    </row>
    <row r="59" spans="1:13" x14ac:dyDescent="0.2">
      <c r="A59" s="150">
        <v>1950</v>
      </c>
      <c r="B59" s="276" t="s">
        <v>138</v>
      </c>
      <c r="C59" s="277">
        <v>0</v>
      </c>
      <c r="D59" s="278"/>
      <c r="E59" s="278">
        <v>0</v>
      </c>
      <c r="F59" s="279">
        <v>0</v>
      </c>
      <c r="G59" s="280">
        <f t="shared" si="1"/>
        <v>0</v>
      </c>
      <c r="H59" s="290"/>
      <c r="I59" s="288">
        <f t="shared" si="3"/>
        <v>0</v>
      </c>
      <c r="J59" s="283">
        <f t="shared" si="0"/>
        <v>0</v>
      </c>
      <c r="K59" s="284">
        <v>0</v>
      </c>
      <c r="L59" s="291">
        <f t="shared" si="4"/>
        <v>0</v>
      </c>
      <c r="M59" s="292">
        <f t="shared" si="2"/>
        <v>0</v>
      </c>
    </row>
    <row r="60" spans="1:13" x14ac:dyDescent="0.2">
      <c r="A60" s="150">
        <v>1955</v>
      </c>
      <c r="B60" s="276" t="s">
        <v>139</v>
      </c>
      <c r="C60" s="277">
        <v>903000.13999999955</v>
      </c>
      <c r="D60" s="278"/>
      <c r="E60" s="278">
        <v>142871.43999999994</v>
      </c>
      <c r="F60" s="279">
        <v>0</v>
      </c>
      <c r="G60" s="280">
        <f t="shared" si="1"/>
        <v>974435.85999999952</v>
      </c>
      <c r="H60" s="290">
        <v>5.0825831509148687</v>
      </c>
      <c r="I60" s="288">
        <f t="shared" si="3"/>
        <v>0.196750347275676</v>
      </c>
      <c r="J60" s="283">
        <f t="shared" si="0"/>
        <v>191720.59385287191</v>
      </c>
      <c r="K60" s="284">
        <v>192132.21999999986</v>
      </c>
      <c r="L60" s="291">
        <f t="shared" si="4"/>
        <v>411.62614712794311</v>
      </c>
      <c r="M60" s="292">
        <f t="shared" si="2"/>
        <v>2.1424108206730937E-3</v>
      </c>
    </row>
    <row r="61" spans="1:13" x14ac:dyDescent="0.2">
      <c r="A61" s="150">
        <v>1955</v>
      </c>
      <c r="B61" s="276" t="s">
        <v>140</v>
      </c>
      <c r="C61" s="277">
        <v>0</v>
      </c>
      <c r="D61" s="278"/>
      <c r="E61" s="278">
        <v>0</v>
      </c>
      <c r="F61" s="279">
        <v>0</v>
      </c>
      <c r="G61" s="280">
        <f t="shared" si="1"/>
        <v>0</v>
      </c>
      <c r="H61" s="290"/>
      <c r="I61" s="288">
        <f t="shared" si="3"/>
        <v>0</v>
      </c>
      <c r="J61" s="283">
        <f t="shared" si="0"/>
        <v>0</v>
      </c>
      <c r="K61" s="284">
        <v>0</v>
      </c>
      <c r="L61" s="291">
        <f t="shared" si="4"/>
        <v>0</v>
      </c>
      <c r="M61" s="289">
        <f t="shared" si="2"/>
        <v>0</v>
      </c>
    </row>
    <row r="62" spans="1:13" x14ac:dyDescent="0.2">
      <c r="A62" s="150">
        <v>1960</v>
      </c>
      <c r="B62" s="276" t="s">
        <v>141</v>
      </c>
      <c r="C62" s="277">
        <v>237403.13999999996</v>
      </c>
      <c r="D62" s="278"/>
      <c r="E62" s="278">
        <v>20923.460000000021</v>
      </c>
      <c r="F62" s="279">
        <v>0</v>
      </c>
      <c r="G62" s="280">
        <f t="shared" si="1"/>
        <v>247864.86999999997</v>
      </c>
      <c r="H62" s="290">
        <v>6.7312627568722085</v>
      </c>
      <c r="I62" s="288">
        <f t="shared" si="3"/>
        <v>0.14856053553682197</v>
      </c>
      <c r="J62" s="283">
        <f t="shared" si="0"/>
        <v>36822.937827964757</v>
      </c>
      <c r="K62" s="284">
        <v>36899.010000000009</v>
      </c>
      <c r="L62" s="291">
        <f t="shared" si="4"/>
        <v>76.072172035252152</v>
      </c>
      <c r="M62" s="292">
        <f t="shared" si="2"/>
        <v>2.0616317899925262E-3</v>
      </c>
    </row>
    <row r="63" spans="1:13" x14ac:dyDescent="0.2">
      <c r="A63" s="150">
        <v>1970</v>
      </c>
      <c r="B63" s="293" t="s">
        <v>142</v>
      </c>
      <c r="C63" s="277">
        <v>0</v>
      </c>
      <c r="D63" s="278"/>
      <c r="E63" s="278">
        <v>0</v>
      </c>
      <c r="F63" s="279">
        <v>0</v>
      </c>
      <c r="G63" s="280">
        <f t="shared" si="1"/>
        <v>0</v>
      </c>
      <c r="H63" s="290"/>
      <c r="I63" s="288">
        <f t="shared" si="3"/>
        <v>0</v>
      </c>
      <c r="J63" s="283">
        <f t="shared" si="0"/>
        <v>0</v>
      </c>
      <c r="K63" s="284">
        <v>0</v>
      </c>
      <c r="L63" s="291">
        <f t="shared" si="4"/>
        <v>0</v>
      </c>
      <c r="M63" s="292">
        <f t="shared" si="2"/>
        <v>0</v>
      </c>
    </row>
    <row r="64" spans="1:13" x14ac:dyDescent="0.2">
      <c r="A64" s="150">
        <v>1975</v>
      </c>
      <c r="B64" s="276" t="s">
        <v>143</v>
      </c>
      <c r="C64" s="277">
        <v>0</v>
      </c>
      <c r="D64" s="278"/>
      <c r="E64" s="278">
        <v>0</v>
      </c>
      <c r="F64" s="279">
        <v>0</v>
      </c>
      <c r="G64" s="280">
        <f t="shared" si="1"/>
        <v>0</v>
      </c>
      <c r="H64" s="290"/>
      <c r="I64" s="288">
        <f t="shared" si="3"/>
        <v>0</v>
      </c>
      <c r="J64" s="283">
        <f t="shared" si="0"/>
        <v>0</v>
      </c>
      <c r="K64" s="284">
        <v>0</v>
      </c>
      <c r="L64" s="291">
        <f t="shared" si="4"/>
        <v>0</v>
      </c>
      <c r="M64" s="289">
        <f t="shared" si="2"/>
        <v>0</v>
      </c>
    </row>
    <row r="65" spans="1:17" x14ac:dyDescent="0.2">
      <c r="A65" s="150">
        <v>1980</v>
      </c>
      <c r="B65" s="276" t="s">
        <v>144</v>
      </c>
      <c r="C65" s="277">
        <v>4301756.6290000007</v>
      </c>
      <c r="D65" s="278"/>
      <c r="E65" s="278">
        <v>484522.80999999918</v>
      </c>
      <c r="F65" s="279">
        <v>6492.0999999999995</v>
      </c>
      <c r="G65" s="280">
        <f t="shared" si="1"/>
        <v>4537525.9340000004</v>
      </c>
      <c r="H65" s="290">
        <v>7.3575667378217338</v>
      </c>
      <c r="I65" s="288">
        <f t="shared" si="3"/>
        <v>0.13591449940365175</v>
      </c>
      <c r="J65" s="283">
        <f t="shared" si="0"/>
        <v>616715.56585069746</v>
      </c>
      <c r="K65" s="284">
        <v>618540.27000000014</v>
      </c>
      <c r="L65" s="291">
        <f t="shared" si="4"/>
        <v>1824.7041493026773</v>
      </c>
      <c r="M65" s="289">
        <f t="shared" si="2"/>
        <v>2.9500167374756003E-3</v>
      </c>
    </row>
    <row r="66" spans="1:17" x14ac:dyDescent="0.2">
      <c r="A66" s="150">
        <v>1985</v>
      </c>
      <c r="B66" s="276" t="s">
        <v>145</v>
      </c>
      <c r="C66" s="277">
        <v>0</v>
      </c>
      <c r="D66" s="278"/>
      <c r="E66" s="278">
        <v>0</v>
      </c>
      <c r="F66" s="279">
        <v>0</v>
      </c>
      <c r="G66" s="280">
        <f t="shared" si="1"/>
        <v>0</v>
      </c>
      <c r="H66" s="290"/>
      <c r="I66" s="288">
        <f t="shared" si="3"/>
        <v>0</v>
      </c>
      <c r="J66" s="283">
        <f t="shared" si="0"/>
        <v>0</v>
      </c>
      <c r="K66" s="284">
        <v>0</v>
      </c>
      <c r="L66" s="291">
        <f t="shared" si="4"/>
        <v>0</v>
      </c>
      <c r="M66" s="292">
        <f t="shared" si="2"/>
        <v>0</v>
      </c>
    </row>
    <row r="67" spans="1:17" x14ac:dyDescent="0.2">
      <c r="A67" s="150">
        <v>1990</v>
      </c>
      <c r="B67" s="235" t="s">
        <v>146</v>
      </c>
      <c r="C67" s="277">
        <v>0</v>
      </c>
      <c r="D67" s="278"/>
      <c r="E67" s="278">
        <v>0</v>
      </c>
      <c r="F67" s="279">
        <v>0</v>
      </c>
      <c r="G67" s="280">
        <f t="shared" si="1"/>
        <v>0</v>
      </c>
      <c r="H67" s="290"/>
      <c r="I67" s="288">
        <f t="shared" si="3"/>
        <v>0</v>
      </c>
      <c r="J67" s="283">
        <f t="shared" si="0"/>
        <v>0</v>
      </c>
      <c r="K67" s="284">
        <v>0</v>
      </c>
      <c r="L67" s="291">
        <f t="shared" si="4"/>
        <v>0</v>
      </c>
      <c r="M67" s="289">
        <f t="shared" si="2"/>
        <v>0</v>
      </c>
    </row>
    <row r="68" spans="1:17" x14ac:dyDescent="0.2">
      <c r="A68" s="150">
        <v>1995</v>
      </c>
      <c r="B68" s="276" t="s">
        <v>147</v>
      </c>
      <c r="C68" s="277">
        <v>0</v>
      </c>
      <c r="D68" s="278"/>
      <c r="E68" s="278">
        <v>0</v>
      </c>
      <c r="F68" s="279">
        <v>0</v>
      </c>
      <c r="G68" s="280">
        <f t="shared" si="1"/>
        <v>0</v>
      </c>
      <c r="H68" s="290"/>
      <c r="I68" s="294">
        <f t="shared" si="3"/>
        <v>0</v>
      </c>
      <c r="J68" s="295">
        <f t="shared" si="0"/>
        <v>0</v>
      </c>
      <c r="K68" s="284">
        <v>0</v>
      </c>
      <c r="L68" s="291">
        <f t="shared" si="4"/>
        <v>0</v>
      </c>
      <c r="M68" s="289">
        <f t="shared" si="2"/>
        <v>0</v>
      </c>
    </row>
    <row r="69" spans="1:17" x14ac:dyDescent="0.2">
      <c r="A69" s="150">
        <v>2075</v>
      </c>
      <c r="B69" s="276" t="s">
        <v>148</v>
      </c>
      <c r="C69" s="277">
        <v>848673.12999999989</v>
      </c>
      <c r="D69" s="278"/>
      <c r="E69" s="278">
        <v>107167.1399999999</v>
      </c>
      <c r="F69" s="279">
        <v>0</v>
      </c>
      <c r="G69" s="280">
        <f t="shared" si="1"/>
        <v>902256.69999999984</v>
      </c>
      <c r="H69" s="290">
        <v>16.012305928289447</v>
      </c>
      <c r="I69" s="294">
        <f t="shared" si="3"/>
        <v>6.2451966910853758E-2</v>
      </c>
      <c r="J69" s="295">
        <f t="shared" si="0"/>
        <v>56347.705573496096</v>
      </c>
      <c r="K69" s="284">
        <v>58011.789999999979</v>
      </c>
      <c r="L69" s="291">
        <f t="shared" si="4"/>
        <v>1664.0844265038832</v>
      </c>
      <c r="M69" s="289">
        <f t="shared" si="2"/>
        <v>2.8685279776815776E-2</v>
      </c>
    </row>
    <row r="70" spans="1:17" x14ac:dyDescent="0.2">
      <c r="A70" s="150">
        <v>2440</v>
      </c>
      <c r="B70" s="151" t="s">
        <v>166</v>
      </c>
      <c r="C70" s="277">
        <v>-59573472.839999989</v>
      </c>
      <c r="D70" s="278"/>
      <c r="E70" s="278">
        <v>-16341413.51</v>
      </c>
      <c r="F70" s="279">
        <v>0</v>
      </c>
      <c r="G70" s="280">
        <f t="shared" si="1"/>
        <v>-67744179.594999984</v>
      </c>
      <c r="H70" s="290">
        <v>38.419857340099703</v>
      </c>
      <c r="I70" s="294">
        <f t="shared" si="3"/>
        <v>2.6028207006283614E-2</v>
      </c>
      <c r="J70" s="295">
        <f t="shared" si="0"/>
        <v>-1763259.5299695139</v>
      </c>
      <c r="K70" s="284">
        <v>-1767067.7599999998</v>
      </c>
      <c r="L70" s="291">
        <f t="shared" si="4"/>
        <v>-3808.2300304858945</v>
      </c>
      <c r="M70" s="289">
        <f t="shared" si="2"/>
        <v>2.1551126202913095E-3</v>
      </c>
    </row>
    <row r="71" spans="1:17" ht="13.5" thickBot="1" x14ac:dyDescent="0.25">
      <c r="A71" s="232">
        <v>2005</v>
      </c>
      <c r="B71" s="296" t="s">
        <v>329</v>
      </c>
      <c r="C71" s="277">
        <v>1572537.4100000001</v>
      </c>
      <c r="D71" s="278"/>
      <c r="E71" s="278">
        <v>0</v>
      </c>
      <c r="F71" s="279">
        <v>0</v>
      </c>
      <c r="G71" s="280">
        <f t="shared" si="1"/>
        <v>1572537.4100000001</v>
      </c>
      <c r="H71" s="297">
        <v>3.2404599450245963</v>
      </c>
      <c r="I71" s="298">
        <f t="shared" si="3"/>
        <v>0.30859816722481032</v>
      </c>
      <c r="J71" s="299">
        <f t="shared" si="0"/>
        <v>485282.16261845012</v>
      </c>
      <c r="K71" s="284">
        <v>473167.38</v>
      </c>
      <c r="L71" s="300">
        <f t="shared" si="4"/>
        <v>-12114.782618450117</v>
      </c>
      <c r="M71" s="301">
        <f t="shared" si="2"/>
        <v>-2.5603587927912775E-2</v>
      </c>
    </row>
    <row r="72" spans="1:17" ht="13.5" thickBot="1" x14ac:dyDescent="0.25">
      <c r="A72" s="302"/>
      <c r="B72" s="303" t="s">
        <v>43</v>
      </c>
      <c r="C72" s="304">
        <f>SUM(C28:C71)</f>
        <v>344895187.60360014</v>
      </c>
      <c r="D72" s="304">
        <f t="shared" ref="D72:F72" si="5">SUM(D28:D71)</f>
        <v>0</v>
      </c>
      <c r="E72" s="304">
        <f>SUM(E28:E71)</f>
        <v>30421573.290000007</v>
      </c>
      <c r="F72" s="304">
        <f t="shared" si="5"/>
        <v>861890.0199999999</v>
      </c>
      <c r="G72" s="304">
        <f>SUM(G30:G71)</f>
        <v>356027227.18360001</v>
      </c>
      <c r="H72" s="304"/>
      <c r="I72" s="305"/>
      <c r="J72" s="304">
        <f>SUM(J28:J71)</f>
        <v>18391119.053608514</v>
      </c>
      <c r="K72" s="304">
        <f t="shared" ref="K72:L72" si="6">SUM(K28:K71)</f>
        <v>18383796.059999991</v>
      </c>
      <c r="L72" s="306">
        <f t="shared" si="6"/>
        <v>-7322.9936085120898</v>
      </c>
      <c r="M72" s="307">
        <f t="shared" si="2"/>
        <v>-3.9833958038980192E-4</v>
      </c>
    </row>
    <row r="73" spans="1:17" x14ac:dyDescent="0.2">
      <c r="A73" s="122"/>
      <c r="B73" s="124"/>
      <c r="C73" s="308"/>
      <c r="D73" s="308"/>
      <c r="E73" s="308"/>
      <c r="F73" s="308"/>
      <c r="G73" s="308"/>
      <c r="H73" s="308"/>
      <c r="I73" s="308"/>
      <c r="J73" s="308"/>
      <c r="K73" s="308"/>
    </row>
    <row r="74" spans="1:17" ht="13.5" thickBot="1" x14ac:dyDescent="0.25"/>
    <row r="75" spans="1:17" ht="18" customHeight="1" thickBot="1" x14ac:dyDescent="0.3">
      <c r="A75" s="253"/>
      <c r="B75" s="253"/>
      <c r="C75" s="253"/>
      <c r="D75" s="253"/>
      <c r="E75" s="254" t="s">
        <v>300</v>
      </c>
      <c r="F75" s="259">
        <v>2021</v>
      </c>
      <c r="G75" s="253"/>
      <c r="H75" s="253"/>
      <c r="I75" s="253"/>
      <c r="J75" s="253"/>
      <c r="K75" s="253"/>
    </row>
    <row r="76" spans="1:17" ht="13.5" thickBot="1" x14ac:dyDescent="0.25">
      <c r="A76" s="260"/>
      <c r="B76" s="260"/>
      <c r="C76" s="260"/>
      <c r="D76" s="260"/>
      <c r="E76" s="260"/>
      <c r="F76" s="260"/>
      <c r="G76" s="260"/>
      <c r="H76" s="260"/>
      <c r="I76" s="260"/>
      <c r="J76" s="260"/>
      <c r="K76" s="260"/>
      <c r="Q76" s="123">
        <v>2017</v>
      </c>
    </row>
    <row r="77" spans="1:17" ht="19.149999999999999" customHeight="1" thickBot="1" x14ac:dyDescent="0.3">
      <c r="A77" s="253"/>
      <c r="B77" s="253"/>
      <c r="C77" s="462" t="s">
        <v>301</v>
      </c>
      <c r="D77" s="463"/>
      <c r="E77" s="463"/>
      <c r="F77" s="464"/>
      <c r="G77" s="465" t="s">
        <v>302</v>
      </c>
      <c r="H77" s="466"/>
      <c r="I77" s="261" t="s">
        <v>303</v>
      </c>
      <c r="J77" s="253"/>
      <c r="K77" s="253"/>
      <c r="Q77" s="123">
        <v>2018</v>
      </c>
    </row>
    <row r="78" spans="1:17" ht="72.75" customHeight="1" thickBot="1" x14ac:dyDescent="0.25">
      <c r="A78" s="453" t="s">
        <v>304</v>
      </c>
      <c r="B78" s="461" t="s">
        <v>305</v>
      </c>
      <c r="C78" s="262" t="s">
        <v>306</v>
      </c>
      <c r="D78" s="263" t="s">
        <v>307</v>
      </c>
      <c r="E78" s="264" t="s">
        <v>308</v>
      </c>
      <c r="F78" s="265" t="s">
        <v>309</v>
      </c>
      <c r="G78" s="265" t="s">
        <v>310</v>
      </c>
      <c r="H78" s="262" t="s">
        <v>311</v>
      </c>
      <c r="I78" s="266" t="s">
        <v>312</v>
      </c>
      <c r="J78" s="267" t="s">
        <v>313</v>
      </c>
      <c r="K78" s="264" t="s">
        <v>314</v>
      </c>
      <c r="L78" s="266" t="s">
        <v>315</v>
      </c>
      <c r="M78" s="266" t="s">
        <v>316</v>
      </c>
    </row>
    <row r="79" spans="1:17" ht="13.5" thickBot="1" x14ac:dyDescent="0.25">
      <c r="A79" s="454"/>
      <c r="B79" s="456"/>
      <c r="C79" s="268" t="s">
        <v>317</v>
      </c>
      <c r="D79" s="269" t="s">
        <v>318</v>
      </c>
      <c r="E79" s="270" t="s">
        <v>319</v>
      </c>
      <c r="F79" s="270" t="s">
        <v>320</v>
      </c>
      <c r="G79" s="271" t="s">
        <v>321</v>
      </c>
      <c r="H79" s="272" t="s">
        <v>322</v>
      </c>
      <c r="I79" s="270" t="s">
        <v>323</v>
      </c>
      <c r="J79" s="268" t="s">
        <v>324</v>
      </c>
      <c r="K79" s="273" t="s">
        <v>325</v>
      </c>
      <c r="L79" s="271" t="s">
        <v>326</v>
      </c>
      <c r="M79" s="274" t="s">
        <v>327</v>
      </c>
    </row>
    <row r="80" spans="1:17" ht="13.5" thickBot="1" x14ac:dyDescent="0.25">
      <c r="A80" s="275">
        <v>1609</v>
      </c>
      <c r="B80" s="276" t="s">
        <v>108</v>
      </c>
      <c r="C80" s="277">
        <v>2051973.63</v>
      </c>
      <c r="D80" s="278"/>
      <c r="E80" s="278">
        <v>0</v>
      </c>
      <c r="F80" s="279">
        <v>0</v>
      </c>
      <c r="G80" s="280">
        <f>C80-D80+(E80*0.5)-F80</f>
        <v>2051973.63</v>
      </c>
      <c r="H80" s="281">
        <v>12.494535519125684</v>
      </c>
      <c r="I80" s="282">
        <f>IF(H80=0,0,1/H80)</f>
        <v>8.0034987972884317E-2</v>
      </c>
      <c r="J80" s="283">
        <f t="shared" ref="J80:J124" si="7">IF(H80=0,0,+G80/H80)</f>
        <v>164229.68479772576</v>
      </c>
      <c r="K80" s="284">
        <v>164103.94</v>
      </c>
      <c r="L80" s="285">
        <f>IF(ISERROR(+K80-J80), 0, +K80-J80)</f>
        <v>-125.74479772575432</v>
      </c>
      <c r="M80" s="286">
        <f>IFERROR(L80/K80,0)</f>
        <v>-7.6625093660611884E-4</v>
      </c>
    </row>
    <row r="81" spans="1:13" x14ac:dyDescent="0.2">
      <c r="A81" s="275">
        <v>1610</v>
      </c>
      <c r="B81" s="287" t="s">
        <v>328</v>
      </c>
      <c r="C81" s="277">
        <v>1259816.6099999999</v>
      </c>
      <c r="D81" s="278"/>
      <c r="E81" s="278">
        <v>263140.8</v>
      </c>
      <c r="F81" s="279">
        <v>0</v>
      </c>
      <c r="G81" s="280">
        <f>C81-D81+(E81*0.5)-F81</f>
        <v>1391387.0099999998</v>
      </c>
      <c r="H81" s="281">
        <v>3.1999555729129061</v>
      </c>
      <c r="I81" s="282">
        <f>IF(H81=0,0,1/H81)</f>
        <v>0.3125043386429594</v>
      </c>
      <c r="J81" s="283">
        <f t="shared" si="7"/>
        <v>434814.47735645471</v>
      </c>
      <c r="K81" s="284">
        <v>434894.25</v>
      </c>
      <c r="L81" s="285">
        <f>IF(ISERROR(+K81-J81), 0, +K81-J81)</f>
        <v>79.772643545293249</v>
      </c>
      <c r="M81" s="286">
        <f>IFERROR(L81/K81,0)</f>
        <v>1.8342997992108024E-4</v>
      </c>
    </row>
    <row r="82" spans="1:13" x14ac:dyDescent="0.2">
      <c r="A82" s="234">
        <v>1611</v>
      </c>
      <c r="B82" s="287" t="s">
        <v>111</v>
      </c>
      <c r="C82" s="277">
        <v>3146550.0000000019</v>
      </c>
      <c r="D82" s="278"/>
      <c r="E82" s="278">
        <v>2302830.1799999997</v>
      </c>
      <c r="F82" s="279">
        <v>0</v>
      </c>
      <c r="G82" s="280">
        <f t="shared" ref="G82:G124" si="8">C82-D82+(E82*0.5)-F82</f>
        <v>4297965.0900000017</v>
      </c>
      <c r="H82" s="281">
        <v>2.3477063193526759</v>
      </c>
      <c r="I82" s="288">
        <f>IF(H82=0,0,1/H82)</f>
        <v>0.42594765442200888</v>
      </c>
      <c r="J82" s="283">
        <f t="shared" si="7"/>
        <v>1830708.148873179</v>
      </c>
      <c r="K82" s="284">
        <v>1839646.07</v>
      </c>
      <c r="L82" s="285">
        <f>IF(ISERROR(+K82-J82), 0, +K82-J82)</f>
        <v>8937.9211268210784</v>
      </c>
      <c r="M82" s="289">
        <f t="shared" ref="M82:M125" si="9">IFERROR(L82/K82,0)</f>
        <v>4.8585003781847439E-3</v>
      </c>
    </row>
    <row r="83" spans="1:13" x14ac:dyDescent="0.2">
      <c r="A83" s="150">
        <v>1612</v>
      </c>
      <c r="B83" s="276" t="s">
        <v>112</v>
      </c>
      <c r="C83" s="277">
        <v>381784.34</v>
      </c>
      <c r="D83" s="278"/>
      <c r="E83" s="278"/>
      <c r="F83" s="279">
        <v>0</v>
      </c>
      <c r="G83" s="280">
        <f t="shared" si="8"/>
        <v>381784.34</v>
      </c>
      <c r="H83" s="290">
        <v>31.013767845796178</v>
      </c>
      <c r="I83" s="288">
        <f t="shared" ref="I83:I124" si="10">IF(H83=0,0,1/H83)</f>
        <v>3.2243744293570152E-2</v>
      </c>
      <c r="J83" s="283">
        <f t="shared" si="7"/>
        <v>12310.156634249448</v>
      </c>
      <c r="K83" s="284">
        <v>12301.739999999991</v>
      </c>
      <c r="L83" s="291">
        <f t="shared" ref="L83:L124" si="11">IF(ISERROR(+K83-J83), 0, +K83-J83)</f>
        <v>-8.4166342494572746</v>
      </c>
      <c r="M83" s="289">
        <f t="shared" si="9"/>
        <v>-6.8418242049151431E-4</v>
      </c>
    </row>
    <row r="84" spans="1:13" x14ac:dyDescent="0.2">
      <c r="A84" s="150">
        <v>1612</v>
      </c>
      <c r="B84" s="276" t="s">
        <v>330</v>
      </c>
      <c r="C84" s="277">
        <v>0</v>
      </c>
      <c r="D84" s="278"/>
      <c r="E84" s="278">
        <v>3841402</v>
      </c>
      <c r="F84" s="279"/>
      <c r="G84" s="280">
        <f t="shared" si="8"/>
        <v>1920701</v>
      </c>
      <c r="H84" s="290"/>
      <c r="I84" s="288">
        <f t="shared" si="10"/>
        <v>0</v>
      </c>
      <c r="J84" s="283">
        <f t="shared" si="7"/>
        <v>0</v>
      </c>
      <c r="K84" s="284"/>
      <c r="L84" s="291">
        <f t="shared" si="11"/>
        <v>0</v>
      </c>
      <c r="M84" s="289">
        <f t="shared" si="9"/>
        <v>0</v>
      </c>
    </row>
    <row r="85" spans="1:13" x14ac:dyDescent="0.2">
      <c r="A85" s="150">
        <v>1805</v>
      </c>
      <c r="B85" s="276" t="s">
        <v>113</v>
      </c>
      <c r="C85" s="277">
        <v>981172.99</v>
      </c>
      <c r="D85" s="278"/>
      <c r="E85" s="278">
        <v>0</v>
      </c>
      <c r="F85" s="279">
        <v>0</v>
      </c>
      <c r="G85" s="280">
        <f t="shared" si="8"/>
        <v>981172.99</v>
      </c>
      <c r="H85" s="290"/>
      <c r="I85" s="288">
        <f t="shared" si="10"/>
        <v>0</v>
      </c>
      <c r="J85" s="283">
        <f t="shared" si="7"/>
        <v>0</v>
      </c>
      <c r="K85" s="284">
        <v>0</v>
      </c>
      <c r="L85" s="291">
        <f t="shared" si="11"/>
        <v>0</v>
      </c>
      <c r="M85" s="289">
        <f t="shared" si="9"/>
        <v>0</v>
      </c>
    </row>
    <row r="86" spans="1:13" x14ac:dyDescent="0.2">
      <c r="A86" s="150">
        <v>1808</v>
      </c>
      <c r="B86" s="276" t="s">
        <v>114</v>
      </c>
      <c r="C86" s="277">
        <v>215333.09999999986</v>
      </c>
      <c r="D86" s="278"/>
      <c r="E86" s="278">
        <v>10860.929999999935</v>
      </c>
      <c r="F86" s="279">
        <v>0</v>
      </c>
      <c r="G86" s="280">
        <f t="shared" si="8"/>
        <v>220763.56499999983</v>
      </c>
      <c r="H86" s="290">
        <v>23.309626912760319</v>
      </c>
      <c r="I86" s="288">
        <f t="shared" si="10"/>
        <v>4.2900729545893031E-2</v>
      </c>
      <c r="J86" s="283">
        <f t="shared" si="7"/>
        <v>9470.9179956521693</v>
      </c>
      <c r="K86" s="284">
        <v>9466.1699999999255</v>
      </c>
      <c r="L86" s="291">
        <f t="shared" si="11"/>
        <v>-4.7479956522438442</v>
      </c>
      <c r="M86" s="289">
        <f t="shared" si="9"/>
        <v>-5.0157515153899433E-4</v>
      </c>
    </row>
    <row r="87" spans="1:13" x14ac:dyDescent="0.2">
      <c r="A87" s="150">
        <v>1810</v>
      </c>
      <c r="B87" s="276" t="s">
        <v>115</v>
      </c>
      <c r="C87" s="277">
        <v>0</v>
      </c>
      <c r="D87" s="278"/>
      <c r="E87" s="278">
        <v>0</v>
      </c>
      <c r="F87" s="279">
        <v>0</v>
      </c>
      <c r="G87" s="280">
        <f t="shared" si="8"/>
        <v>0</v>
      </c>
      <c r="H87" s="290"/>
      <c r="I87" s="288">
        <f t="shared" si="10"/>
        <v>0</v>
      </c>
      <c r="J87" s="283">
        <f t="shared" si="7"/>
        <v>0</v>
      </c>
      <c r="K87" s="284">
        <v>0</v>
      </c>
      <c r="L87" s="291">
        <f t="shared" si="11"/>
        <v>0</v>
      </c>
      <c r="M87" s="289">
        <f t="shared" si="9"/>
        <v>0</v>
      </c>
    </row>
    <row r="88" spans="1:13" x14ac:dyDescent="0.2">
      <c r="A88" s="150">
        <v>1815</v>
      </c>
      <c r="B88" s="276" t="s">
        <v>116</v>
      </c>
      <c r="C88" s="277">
        <v>183032.86</v>
      </c>
      <c r="D88" s="278"/>
      <c r="E88" s="278">
        <v>0</v>
      </c>
      <c r="F88" s="279">
        <v>0</v>
      </c>
      <c r="G88" s="280">
        <f t="shared" si="8"/>
        <v>183032.86</v>
      </c>
      <c r="H88" s="290">
        <v>27.68333308540446</v>
      </c>
      <c r="I88" s="288">
        <f t="shared" si="10"/>
        <v>3.6122817903283186E-2</v>
      </c>
      <c r="J88" s="283">
        <f t="shared" si="7"/>
        <v>6611.6626720971244</v>
      </c>
      <c r="K88" s="284">
        <v>6607.5400000000009</v>
      </c>
      <c r="L88" s="291">
        <f t="shared" si="11"/>
        <v>-4.1226720971235409</v>
      </c>
      <c r="M88" s="289">
        <f t="shared" si="9"/>
        <v>-6.2393448955640684E-4</v>
      </c>
    </row>
    <row r="89" spans="1:13" x14ac:dyDescent="0.2">
      <c r="A89" s="150">
        <v>1820</v>
      </c>
      <c r="B89" s="276" t="s">
        <v>117</v>
      </c>
      <c r="C89" s="277">
        <v>50072611.248100005</v>
      </c>
      <c r="D89" s="278"/>
      <c r="E89" s="278">
        <v>5703222.1000000006</v>
      </c>
      <c r="F89" s="279">
        <v>0</v>
      </c>
      <c r="G89" s="280">
        <f t="shared" si="8"/>
        <v>52924222.298100002</v>
      </c>
      <c r="H89" s="290">
        <v>28.076564386308625</v>
      </c>
      <c r="I89" s="288">
        <f t="shared" si="10"/>
        <v>3.5616893372026823E-2</v>
      </c>
      <c r="J89" s="283">
        <f t="shared" si="7"/>
        <v>1884996.3823888721</v>
      </c>
      <c r="K89" s="284">
        <v>1883447.78</v>
      </c>
      <c r="L89" s="291">
        <f t="shared" si="11"/>
        <v>-1548.6023888720665</v>
      </c>
      <c r="M89" s="289">
        <f t="shared" si="9"/>
        <v>-8.2221679056696038E-4</v>
      </c>
    </row>
    <row r="90" spans="1:13" x14ac:dyDescent="0.2">
      <c r="A90" s="150">
        <v>1825</v>
      </c>
      <c r="B90" s="276" t="s">
        <v>118</v>
      </c>
      <c r="C90" s="277">
        <v>0</v>
      </c>
      <c r="D90" s="278"/>
      <c r="E90" s="278">
        <v>0</v>
      </c>
      <c r="F90" s="279">
        <v>0</v>
      </c>
      <c r="G90" s="280">
        <f t="shared" si="8"/>
        <v>0</v>
      </c>
      <c r="H90" s="290"/>
      <c r="I90" s="288">
        <f t="shared" si="10"/>
        <v>0</v>
      </c>
      <c r="J90" s="283">
        <f t="shared" si="7"/>
        <v>0</v>
      </c>
      <c r="K90" s="284">
        <v>0</v>
      </c>
      <c r="L90" s="291">
        <f t="shared" si="11"/>
        <v>0</v>
      </c>
      <c r="M90" s="289">
        <f t="shared" si="9"/>
        <v>0</v>
      </c>
    </row>
    <row r="91" spans="1:13" x14ac:dyDescent="0.2">
      <c r="A91" s="150">
        <v>1830</v>
      </c>
      <c r="B91" s="276" t="s">
        <v>119</v>
      </c>
      <c r="C91" s="277">
        <v>79158540.109999999</v>
      </c>
      <c r="D91" s="278"/>
      <c r="E91" s="278">
        <v>8275332.2200000007</v>
      </c>
      <c r="F91" s="279">
        <v>89830.73000000001</v>
      </c>
      <c r="G91" s="280">
        <f t="shared" si="8"/>
        <v>83206375.489999995</v>
      </c>
      <c r="H91" s="290">
        <v>32.836391684394947</v>
      </c>
      <c r="I91" s="288">
        <f t="shared" si="10"/>
        <v>3.0454016068861688E-2</v>
      </c>
      <c r="J91" s="283">
        <f t="shared" si="7"/>
        <v>2533968.2962041991</v>
      </c>
      <c r="K91" s="284">
        <v>2534787.56</v>
      </c>
      <c r="L91" s="291">
        <f t="shared" si="11"/>
        <v>819.26379580097273</v>
      </c>
      <c r="M91" s="292">
        <f t="shared" si="9"/>
        <v>3.2320807026564889E-4</v>
      </c>
    </row>
    <row r="92" spans="1:13" x14ac:dyDescent="0.2">
      <c r="A92" s="150">
        <v>1835</v>
      </c>
      <c r="B92" s="276" t="s">
        <v>120</v>
      </c>
      <c r="C92" s="277">
        <v>57060724.327500001</v>
      </c>
      <c r="D92" s="278"/>
      <c r="E92" s="278">
        <v>6231709.2200000007</v>
      </c>
      <c r="F92" s="279">
        <v>26889.01999999999</v>
      </c>
      <c r="G92" s="280">
        <f t="shared" si="8"/>
        <v>60149689.917499997</v>
      </c>
      <c r="H92" s="290">
        <v>33.172490842686088</v>
      </c>
      <c r="I92" s="288">
        <f t="shared" si="10"/>
        <v>3.0145460126654349E-2</v>
      </c>
      <c r="J92" s="283">
        <f t="shared" si="7"/>
        <v>1813240.0790386193</v>
      </c>
      <c r="K92" s="284">
        <v>1813792.34</v>
      </c>
      <c r="L92" s="291">
        <f t="shared" si="11"/>
        <v>552.26096138078719</v>
      </c>
      <c r="M92" s="289">
        <f t="shared" si="9"/>
        <v>3.0447860496576315E-4</v>
      </c>
    </row>
    <row r="93" spans="1:13" x14ac:dyDescent="0.2">
      <c r="A93" s="150">
        <v>1840</v>
      </c>
      <c r="B93" s="276" t="s">
        <v>121</v>
      </c>
      <c r="C93" s="277">
        <v>42369336.633299999</v>
      </c>
      <c r="D93" s="278"/>
      <c r="E93" s="278">
        <v>6928307.3800000027</v>
      </c>
      <c r="F93" s="279">
        <v>0</v>
      </c>
      <c r="G93" s="280">
        <f t="shared" si="8"/>
        <v>45833490.323300004</v>
      </c>
      <c r="H93" s="290">
        <v>49.92938389833526</v>
      </c>
      <c r="I93" s="288">
        <f t="shared" si="10"/>
        <v>2.0028286390157957E-2</v>
      </c>
      <c r="J93" s="283">
        <f t="shared" si="7"/>
        <v>917966.27045558591</v>
      </c>
      <c r="K93" s="284">
        <v>918268.41999999993</v>
      </c>
      <c r="L93" s="291">
        <f t="shared" si="11"/>
        <v>302.14954441401642</v>
      </c>
      <c r="M93" s="292">
        <f t="shared" si="9"/>
        <v>3.290427263239832E-4</v>
      </c>
    </row>
    <row r="94" spans="1:13" x14ac:dyDescent="0.2">
      <c r="A94" s="150">
        <v>1845</v>
      </c>
      <c r="B94" s="276" t="s">
        <v>122</v>
      </c>
      <c r="C94" s="277">
        <v>64354414.639899999</v>
      </c>
      <c r="D94" s="278"/>
      <c r="E94" s="278">
        <v>11405142.710000001</v>
      </c>
      <c r="F94" s="279">
        <v>48910.849999999991</v>
      </c>
      <c r="G94" s="280">
        <f t="shared" si="8"/>
        <v>70008075.144900009</v>
      </c>
      <c r="H94" s="290">
        <v>30.941802993022833</v>
      </c>
      <c r="I94" s="288">
        <f t="shared" si="10"/>
        <v>3.231873721856135E-2</v>
      </c>
      <c r="J94" s="283">
        <f t="shared" si="7"/>
        <v>2262572.5837853197</v>
      </c>
      <c r="K94" s="284">
        <v>2266162.52</v>
      </c>
      <c r="L94" s="291">
        <f t="shared" si="11"/>
        <v>3589.9362146803178</v>
      </c>
      <c r="M94" s="289">
        <f t="shared" si="9"/>
        <v>1.5841477312405281E-3</v>
      </c>
    </row>
    <row r="95" spans="1:13" x14ac:dyDescent="0.2">
      <c r="A95" s="150">
        <v>1850</v>
      </c>
      <c r="B95" s="276" t="s">
        <v>123</v>
      </c>
      <c r="C95" s="277">
        <v>46837255.017400011</v>
      </c>
      <c r="D95" s="278"/>
      <c r="E95" s="278">
        <v>7974593.8200000003</v>
      </c>
      <c r="F95" s="279">
        <v>316418.51</v>
      </c>
      <c r="G95" s="280">
        <f t="shared" si="8"/>
        <v>50508133.41740001</v>
      </c>
      <c r="H95" s="290">
        <v>22.077946836683552</v>
      </c>
      <c r="I95" s="288">
        <f t="shared" si="10"/>
        <v>4.5294066853103061E-2</v>
      </c>
      <c r="J95" s="283">
        <f t="shared" si="7"/>
        <v>2287718.771633165</v>
      </c>
      <c r="K95" s="284">
        <v>2296704.0299999998</v>
      </c>
      <c r="L95" s="291">
        <f t="shared" si="11"/>
        <v>8985.2583668348379</v>
      </c>
      <c r="M95" s="289">
        <f t="shared" si="9"/>
        <v>3.9122404321443359E-3</v>
      </c>
    </row>
    <row r="96" spans="1:13" x14ac:dyDescent="0.2">
      <c r="A96" s="150">
        <v>1855</v>
      </c>
      <c r="B96" s="276" t="s">
        <v>124</v>
      </c>
      <c r="C96" s="277">
        <v>36680216.369400002</v>
      </c>
      <c r="D96" s="278"/>
      <c r="E96" s="278">
        <v>3212950.6799999997</v>
      </c>
      <c r="F96" s="279">
        <v>0</v>
      </c>
      <c r="G96" s="280">
        <f t="shared" si="8"/>
        <v>38286691.709399998</v>
      </c>
      <c r="H96" s="290">
        <v>34.107842449675502</v>
      </c>
      <c r="I96" s="288">
        <f t="shared" si="10"/>
        <v>2.9318770352462265E-2</v>
      </c>
      <c r="J96" s="283">
        <f t="shared" si="7"/>
        <v>1122518.7217834194</v>
      </c>
      <c r="K96" s="284">
        <v>1122098.19</v>
      </c>
      <c r="L96" s="291">
        <f t="shared" si="11"/>
        <v>-420.53178341942839</v>
      </c>
      <c r="M96" s="289">
        <f t="shared" si="9"/>
        <v>-3.7477271344625232E-4</v>
      </c>
    </row>
    <row r="97" spans="1:13" x14ac:dyDescent="0.2">
      <c r="A97" s="150">
        <v>1860</v>
      </c>
      <c r="B97" s="276" t="s">
        <v>125</v>
      </c>
      <c r="C97" s="277">
        <v>2291956.5500000007</v>
      </c>
      <c r="D97" s="278"/>
      <c r="E97" s="278">
        <v>32492.77</v>
      </c>
      <c r="F97" s="279">
        <v>1707.83</v>
      </c>
      <c r="G97" s="280">
        <f t="shared" si="8"/>
        <v>2306495.1050000004</v>
      </c>
      <c r="H97" s="290">
        <v>19.008032389512916</v>
      </c>
      <c r="I97" s="288">
        <f t="shared" si="10"/>
        <v>5.2609337963445316E-2</v>
      </c>
      <c r="J97" s="283">
        <f t="shared" si="7"/>
        <v>121343.18048997731</v>
      </c>
      <c r="K97" s="284">
        <v>121290.17000000004</v>
      </c>
      <c r="L97" s="291">
        <f t="shared" si="11"/>
        <v>-53.010489977270481</v>
      </c>
      <c r="M97" s="289">
        <f t="shared" si="9"/>
        <v>-4.3705512142715657E-4</v>
      </c>
    </row>
    <row r="98" spans="1:13" x14ac:dyDescent="0.2">
      <c r="A98" s="150">
        <v>1860</v>
      </c>
      <c r="B98" s="276" t="s">
        <v>126</v>
      </c>
      <c r="C98" s="277">
        <v>9985900.5089999977</v>
      </c>
      <c r="D98" s="278"/>
      <c r="E98" s="278">
        <v>1138830.8399999999</v>
      </c>
      <c r="F98" s="279">
        <v>40094.42</v>
      </c>
      <c r="G98" s="280">
        <f t="shared" si="8"/>
        <v>10515221.508999998</v>
      </c>
      <c r="H98" s="290">
        <v>5.7806838309979165</v>
      </c>
      <c r="I98" s="288">
        <f t="shared" si="10"/>
        <v>0.17298991421009277</v>
      </c>
      <c r="J98" s="283">
        <f t="shared" si="7"/>
        <v>1819027.2667420318</v>
      </c>
      <c r="K98" s="284">
        <v>1821627.3800000001</v>
      </c>
      <c r="L98" s="291">
        <f t="shared" si="11"/>
        <v>2600.1132579683326</v>
      </c>
      <c r="M98" s="289">
        <f t="shared" si="9"/>
        <v>1.4273573654609499E-3</v>
      </c>
    </row>
    <row r="99" spans="1:13" x14ac:dyDescent="0.2">
      <c r="A99" s="150">
        <v>1865</v>
      </c>
      <c r="B99" s="276" t="s">
        <v>127</v>
      </c>
      <c r="C99" s="277">
        <v>0</v>
      </c>
      <c r="D99" s="278"/>
      <c r="E99" s="278">
        <v>0</v>
      </c>
      <c r="F99" s="279">
        <v>0</v>
      </c>
      <c r="G99" s="280">
        <f t="shared" si="8"/>
        <v>0</v>
      </c>
      <c r="H99" s="290"/>
      <c r="I99" s="288">
        <f t="shared" si="10"/>
        <v>0</v>
      </c>
      <c r="J99" s="283">
        <f t="shared" si="7"/>
        <v>0</v>
      </c>
      <c r="K99" s="284">
        <v>0</v>
      </c>
      <c r="L99" s="291">
        <f t="shared" si="11"/>
        <v>0</v>
      </c>
      <c r="M99" s="289">
        <f t="shared" si="9"/>
        <v>0</v>
      </c>
    </row>
    <row r="100" spans="1:13" x14ac:dyDescent="0.2">
      <c r="A100" s="150">
        <v>1905</v>
      </c>
      <c r="B100" s="276" t="s">
        <v>113</v>
      </c>
      <c r="C100" s="277">
        <v>1195031.3199999998</v>
      </c>
      <c r="D100" s="278"/>
      <c r="E100" s="278">
        <v>0</v>
      </c>
      <c r="F100" s="279">
        <v>0</v>
      </c>
      <c r="G100" s="280">
        <f t="shared" si="8"/>
        <v>1195031.3199999998</v>
      </c>
      <c r="H100" s="290"/>
      <c r="I100" s="288">
        <f t="shared" si="10"/>
        <v>0</v>
      </c>
      <c r="J100" s="283">
        <f t="shared" si="7"/>
        <v>0</v>
      </c>
      <c r="K100" s="284">
        <v>0</v>
      </c>
      <c r="L100" s="291">
        <f t="shared" si="11"/>
        <v>0</v>
      </c>
      <c r="M100" s="289">
        <f t="shared" si="9"/>
        <v>0</v>
      </c>
    </row>
    <row r="101" spans="1:13" x14ac:dyDescent="0.2">
      <c r="A101" s="150">
        <v>1908</v>
      </c>
      <c r="B101" s="276" t="s">
        <v>128</v>
      </c>
      <c r="C101" s="277">
        <v>15110683.57</v>
      </c>
      <c r="D101" s="278"/>
      <c r="E101" s="278">
        <v>709571.42999999993</v>
      </c>
      <c r="F101" s="279">
        <v>0</v>
      </c>
      <c r="G101" s="280">
        <f t="shared" si="8"/>
        <v>15465469.285</v>
      </c>
      <c r="H101" s="290">
        <v>14.386421202680586</v>
      </c>
      <c r="I101" s="288">
        <f t="shared" si="10"/>
        <v>6.9509990421639578E-2</v>
      </c>
      <c r="J101" s="283">
        <f t="shared" si="7"/>
        <v>1075004.6218665109</v>
      </c>
      <c r="K101" s="284">
        <v>1074397.74</v>
      </c>
      <c r="L101" s="291">
        <f t="shared" si="11"/>
        <v>-606.88186651095748</v>
      </c>
      <c r="M101" s="289">
        <f t="shared" si="9"/>
        <v>-5.6485772811748231E-4</v>
      </c>
    </row>
    <row r="102" spans="1:13" x14ac:dyDescent="0.2">
      <c r="A102" s="150">
        <v>1910</v>
      </c>
      <c r="B102" s="276" t="s">
        <v>115</v>
      </c>
      <c r="C102" s="277">
        <v>0</v>
      </c>
      <c r="D102" s="278"/>
      <c r="E102" s="278">
        <v>0</v>
      </c>
      <c r="F102" s="279">
        <v>0</v>
      </c>
      <c r="G102" s="280">
        <f t="shared" si="8"/>
        <v>0</v>
      </c>
      <c r="H102" s="290"/>
      <c r="I102" s="288">
        <f t="shared" si="10"/>
        <v>0</v>
      </c>
      <c r="J102" s="283">
        <f t="shared" si="7"/>
        <v>0</v>
      </c>
      <c r="K102" s="284">
        <v>0</v>
      </c>
      <c r="L102" s="291">
        <f t="shared" si="11"/>
        <v>0</v>
      </c>
      <c r="M102" s="289">
        <f t="shared" si="9"/>
        <v>0</v>
      </c>
    </row>
    <row r="103" spans="1:13" x14ac:dyDescent="0.2">
      <c r="A103" s="150">
        <v>1915</v>
      </c>
      <c r="B103" s="276" t="s">
        <v>129</v>
      </c>
      <c r="C103" s="277">
        <v>646933.51999999979</v>
      </c>
      <c r="D103" s="278"/>
      <c r="E103" s="278">
        <v>84060.79</v>
      </c>
      <c r="F103" s="279">
        <v>0</v>
      </c>
      <c r="G103" s="280">
        <f t="shared" si="8"/>
        <v>688963.9149999998</v>
      </c>
      <c r="H103" s="290">
        <v>6.1804856813459894</v>
      </c>
      <c r="I103" s="288">
        <f t="shared" si="10"/>
        <v>0.16179958203255954</v>
      </c>
      <c r="J103" s="283">
        <f t="shared" si="7"/>
        <v>111474.07348251584</v>
      </c>
      <c r="K103" s="284">
        <v>111430.85000000009</v>
      </c>
      <c r="L103" s="291">
        <f t="shared" si="11"/>
        <v>-43.22348251575022</v>
      </c>
      <c r="M103" s="289">
        <f t="shared" si="9"/>
        <v>-3.8789511626044477E-4</v>
      </c>
    </row>
    <row r="104" spans="1:13" x14ac:dyDescent="0.2">
      <c r="A104" s="150">
        <v>1915</v>
      </c>
      <c r="B104" s="276" t="s">
        <v>130</v>
      </c>
      <c r="C104" s="277">
        <v>0</v>
      </c>
      <c r="D104" s="278"/>
      <c r="E104" s="278">
        <v>0</v>
      </c>
      <c r="F104" s="279">
        <v>0</v>
      </c>
      <c r="G104" s="280">
        <f t="shared" si="8"/>
        <v>0</v>
      </c>
      <c r="H104" s="290"/>
      <c r="I104" s="288">
        <f t="shared" si="10"/>
        <v>0</v>
      </c>
      <c r="J104" s="283">
        <f t="shared" si="7"/>
        <v>0</v>
      </c>
      <c r="K104" s="284">
        <v>0</v>
      </c>
      <c r="L104" s="291">
        <f t="shared" si="11"/>
        <v>0</v>
      </c>
      <c r="M104" s="289">
        <f t="shared" si="9"/>
        <v>0</v>
      </c>
    </row>
    <row r="105" spans="1:13" x14ac:dyDescent="0.2">
      <c r="A105" s="150">
        <v>1920</v>
      </c>
      <c r="B105" s="276" t="s">
        <v>131</v>
      </c>
      <c r="C105" s="277">
        <v>2198371.59</v>
      </c>
      <c r="D105" s="278"/>
      <c r="E105" s="278">
        <v>1990622.4100000001</v>
      </c>
      <c r="F105" s="279">
        <v>0</v>
      </c>
      <c r="G105" s="280">
        <f t="shared" si="8"/>
        <v>3193682.7949999999</v>
      </c>
      <c r="H105" s="290">
        <v>3.2438299165849993</v>
      </c>
      <c r="I105" s="288">
        <f t="shared" si="10"/>
        <v>0.30827756871197737</v>
      </c>
      <c r="J105" s="283">
        <f t="shared" si="7"/>
        <v>984540.76727987244</v>
      </c>
      <c r="K105" s="284">
        <v>979771.06</v>
      </c>
      <c r="L105" s="291">
        <f t="shared" si="11"/>
        <v>-4769.7072798723821</v>
      </c>
      <c r="M105" s="289">
        <f t="shared" si="9"/>
        <v>-4.8681855125138947E-3</v>
      </c>
    </row>
    <row r="106" spans="1:13" x14ac:dyDescent="0.2">
      <c r="A106" s="150">
        <v>1920</v>
      </c>
      <c r="B106" s="276" t="s">
        <v>132</v>
      </c>
      <c r="C106" s="277">
        <v>0</v>
      </c>
      <c r="D106" s="278"/>
      <c r="E106" s="278">
        <v>0</v>
      </c>
      <c r="F106" s="279">
        <v>0</v>
      </c>
      <c r="G106" s="280">
        <f t="shared" si="8"/>
        <v>0</v>
      </c>
      <c r="H106" s="290"/>
      <c r="I106" s="288">
        <f t="shared" si="10"/>
        <v>0</v>
      </c>
      <c r="J106" s="283">
        <f t="shared" si="7"/>
        <v>0</v>
      </c>
      <c r="K106" s="284">
        <v>0</v>
      </c>
      <c r="L106" s="291">
        <f t="shared" si="11"/>
        <v>0</v>
      </c>
      <c r="M106" s="292">
        <f t="shared" si="9"/>
        <v>0</v>
      </c>
    </row>
    <row r="107" spans="1:13" x14ac:dyDescent="0.2">
      <c r="A107" s="150">
        <v>1920</v>
      </c>
      <c r="B107" s="276" t="s">
        <v>133</v>
      </c>
      <c r="C107" s="277">
        <v>0</v>
      </c>
      <c r="D107" s="278"/>
      <c r="E107" s="278">
        <v>0</v>
      </c>
      <c r="F107" s="279">
        <v>0</v>
      </c>
      <c r="G107" s="280">
        <f t="shared" si="8"/>
        <v>0</v>
      </c>
      <c r="H107" s="290"/>
      <c r="I107" s="288">
        <f t="shared" si="10"/>
        <v>0</v>
      </c>
      <c r="J107" s="283">
        <f t="shared" si="7"/>
        <v>0</v>
      </c>
      <c r="K107" s="284">
        <v>0</v>
      </c>
      <c r="L107" s="291">
        <f t="shared" si="11"/>
        <v>0</v>
      </c>
      <c r="M107" s="292">
        <f t="shared" si="9"/>
        <v>0</v>
      </c>
    </row>
    <row r="108" spans="1:13" x14ac:dyDescent="0.2">
      <c r="A108" s="150">
        <v>1930</v>
      </c>
      <c r="B108" s="276" t="s">
        <v>134</v>
      </c>
      <c r="C108" s="277">
        <v>5408261.7299999995</v>
      </c>
      <c r="D108" s="278"/>
      <c r="E108" s="278">
        <v>1478718.9</v>
      </c>
      <c r="F108" s="279">
        <v>19624.830000000016</v>
      </c>
      <c r="G108" s="280">
        <f t="shared" si="8"/>
        <v>6127996.3499999996</v>
      </c>
      <c r="H108" s="290">
        <v>6.6864373606754892</v>
      </c>
      <c r="I108" s="288">
        <f t="shared" si="10"/>
        <v>0.1495564747052347</v>
      </c>
      <c r="J108" s="283">
        <f t="shared" si="7"/>
        <v>916481.5311125454</v>
      </c>
      <c r="K108" s="284">
        <v>916543.3600000001</v>
      </c>
      <c r="L108" s="291">
        <f t="shared" si="11"/>
        <v>61.828887454699725</v>
      </c>
      <c r="M108" s="289">
        <f t="shared" si="9"/>
        <v>6.7458769713524218E-5</v>
      </c>
    </row>
    <row r="109" spans="1:13" x14ac:dyDescent="0.2">
      <c r="A109" s="150">
        <v>1935</v>
      </c>
      <c r="B109" s="276" t="s">
        <v>135</v>
      </c>
      <c r="C109" s="277">
        <v>61512.329999999994</v>
      </c>
      <c r="D109" s="278"/>
      <c r="E109" s="278">
        <v>0</v>
      </c>
      <c r="F109" s="279">
        <v>0</v>
      </c>
      <c r="G109" s="280">
        <f t="shared" si="8"/>
        <v>61512.329999999994</v>
      </c>
      <c r="H109" s="290">
        <v>5.4945355191256828</v>
      </c>
      <c r="I109" s="288">
        <f t="shared" si="10"/>
        <v>0.18199900546991546</v>
      </c>
      <c r="J109" s="283">
        <f t="shared" si="7"/>
        <v>11195.182884137244</v>
      </c>
      <c r="K109" s="284">
        <v>11186.850000000006</v>
      </c>
      <c r="L109" s="291">
        <f t="shared" si="11"/>
        <v>-8.3328841372385796</v>
      </c>
      <c r="M109" s="289">
        <f t="shared" si="9"/>
        <v>-7.4488208362841863E-4</v>
      </c>
    </row>
    <row r="110" spans="1:13" x14ac:dyDescent="0.2">
      <c r="A110" s="150">
        <v>1940</v>
      </c>
      <c r="B110" s="276" t="s">
        <v>136</v>
      </c>
      <c r="C110" s="277">
        <v>1291692.3200000003</v>
      </c>
      <c r="D110" s="278"/>
      <c r="E110" s="278">
        <v>152760.76999999999</v>
      </c>
      <c r="F110" s="279">
        <v>0</v>
      </c>
      <c r="G110" s="280">
        <f t="shared" si="8"/>
        <v>1368072.7050000003</v>
      </c>
      <c r="H110" s="290">
        <v>6.0384399502850847</v>
      </c>
      <c r="I110" s="288">
        <f t="shared" si="10"/>
        <v>0.16560568760028629</v>
      </c>
      <c r="J110" s="283">
        <f t="shared" si="7"/>
        <v>226560.62099870868</v>
      </c>
      <c r="K110" s="284">
        <v>226471.69999999995</v>
      </c>
      <c r="L110" s="291">
        <f t="shared" si="11"/>
        <v>-88.920998708723346</v>
      </c>
      <c r="M110" s="292">
        <f t="shared" si="9"/>
        <v>-3.9263624862940209E-4</v>
      </c>
    </row>
    <row r="111" spans="1:13" x14ac:dyDescent="0.2">
      <c r="A111" s="150">
        <v>1945</v>
      </c>
      <c r="B111" s="276" t="s">
        <v>137</v>
      </c>
      <c r="C111" s="277">
        <v>42175.56</v>
      </c>
      <c r="D111" s="278"/>
      <c r="E111" s="278">
        <v>22114.78</v>
      </c>
      <c r="F111" s="279">
        <v>0</v>
      </c>
      <c r="G111" s="280">
        <f t="shared" si="8"/>
        <v>53232.95</v>
      </c>
      <c r="H111" s="290">
        <v>4.0837027917862523</v>
      </c>
      <c r="I111" s="288">
        <f t="shared" si="10"/>
        <v>0.24487580291380365</v>
      </c>
      <c r="J111" s="283">
        <f t="shared" si="7"/>
        <v>13035.461372720363</v>
      </c>
      <c r="K111" s="284">
        <v>13039.059999999998</v>
      </c>
      <c r="L111" s="291">
        <f t="shared" si="11"/>
        <v>3.5986272796344565</v>
      </c>
      <c r="M111" s="289">
        <f t="shared" si="9"/>
        <v>2.759882445233366E-4</v>
      </c>
    </row>
    <row r="112" spans="1:13" x14ac:dyDescent="0.2">
      <c r="A112" s="150">
        <v>1950</v>
      </c>
      <c r="B112" s="276" t="s">
        <v>138</v>
      </c>
      <c r="C112" s="277">
        <v>0</v>
      </c>
      <c r="D112" s="278"/>
      <c r="E112" s="278">
        <v>0</v>
      </c>
      <c r="F112" s="279">
        <v>0</v>
      </c>
      <c r="G112" s="280">
        <f t="shared" si="8"/>
        <v>0</v>
      </c>
      <c r="H112" s="290"/>
      <c r="I112" s="288">
        <f t="shared" si="10"/>
        <v>0</v>
      </c>
      <c r="J112" s="283">
        <f t="shared" si="7"/>
        <v>0</v>
      </c>
      <c r="K112" s="284">
        <v>0</v>
      </c>
      <c r="L112" s="291">
        <f t="shared" si="11"/>
        <v>0</v>
      </c>
      <c r="M112" s="292">
        <f t="shared" si="9"/>
        <v>0</v>
      </c>
    </row>
    <row r="113" spans="1:13" x14ac:dyDescent="0.2">
      <c r="A113" s="150">
        <v>1955</v>
      </c>
      <c r="B113" s="276" t="s">
        <v>139</v>
      </c>
      <c r="C113" s="277">
        <v>853739.35999999964</v>
      </c>
      <c r="D113" s="278"/>
      <c r="E113" s="278">
        <v>0</v>
      </c>
      <c r="F113" s="279">
        <v>0</v>
      </c>
      <c r="G113" s="280">
        <f t="shared" si="8"/>
        <v>853739.35999999964</v>
      </c>
      <c r="H113" s="290">
        <v>4.2936934503448221</v>
      </c>
      <c r="I113" s="288">
        <f t="shared" si="10"/>
        <v>0.23289971945241947</v>
      </c>
      <c r="J113" s="283">
        <f t="shared" si="7"/>
        <v>198835.65742948806</v>
      </c>
      <c r="K113" s="284">
        <v>198707.87000000011</v>
      </c>
      <c r="L113" s="291">
        <f t="shared" si="11"/>
        <v>-127.78742948794388</v>
      </c>
      <c r="M113" s="292">
        <f t="shared" si="9"/>
        <v>-6.4309193937786059E-4</v>
      </c>
    </row>
    <row r="114" spans="1:13" x14ac:dyDescent="0.2">
      <c r="A114" s="150">
        <v>1955</v>
      </c>
      <c r="B114" s="276" t="s">
        <v>140</v>
      </c>
      <c r="C114" s="277">
        <v>0</v>
      </c>
      <c r="D114" s="278"/>
      <c r="E114" s="278">
        <v>0</v>
      </c>
      <c r="F114" s="279">
        <v>0</v>
      </c>
      <c r="G114" s="280">
        <f t="shared" si="8"/>
        <v>0</v>
      </c>
      <c r="H114" s="290"/>
      <c r="I114" s="288">
        <f t="shared" si="10"/>
        <v>0</v>
      </c>
      <c r="J114" s="283">
        <f t="shared" si="7"/>
        <v>0</v>
      </c>
      <c r="K114" s="284">
        <v>0</v>
      </c>
      <c r="L114" s="291">
        <f t="shared" si="11"/>
        <v>0</v>
      </c>
      <c r="M114" s="289">
        <f t="shared" si="9"/>
        <v>0</v>
      </c>
    </row>
    <row r="115" spans="1:13" x14ac:dyDescent="0.2">
      <c r="A115" s="150">
        <v>1960</v>
      </c>
      <c r="B115" s="276" t="s">
        <v>141</v>
      </c>
      <c r="C115" s="277">
        <v>221427.58999999997</v>
      </c>
      <c r="D115" s="278"/>
      <c r="E115" s="278">
        <v>18981.12</v>
      </c>
      <c r="F115" s="279">
        <v>0</v>
      </c>
      <c r="G115" s="280">
        <f t="shared" si="8"/>
        <v>230918.14999999997</v>
      </c>
      <c r="H115" s="290">
        <v>5.9495018606248067</v>
      </c>
      <c r="I115" s="288">
        <f t="shared" si="10"/>
        <v>0.16808129880893619</v>
      </c>
      <c r="J115" s="283">
        <f t="shared" si="7"/>
        <v>38813.022570556743</v>
      </c>
      <c r="K115" s="284">
        <v>38794.399999999994</v>
      </c>
      <c r="L115" s="291">
        <f t="shared" si="11"/>
        <v>-18.622570556748542</v>
      </c>
      <c r="M115" s="292">
        <f t="shared" si="9"/>
        <v>-4.8003244171191062E-4</v>
      </c>
    </row>
    <row r="116" spans="1:13" x14ac:dyDescent="0.2">
      <c r="A116" s="150">
        <v>1970</v>
      </c>
      <c r="B116" s="293" t="s">
        <v>142</v>
      </c>
      <c r="C116" s="277">
        <v>0</v>
      </c>
      <c r="D116" s="278"/>
      <c r="E116" s="278">
        <v>0</v>
      </c>
      <c r="F116" s="279">
        <v>0</v>
      </c>
      <c r="G116" s="280">
        <f t="shared" si="8"/>
        <v>0</v>
      </c>
      <c r="H116" s="290"/>
      <c r="I116" s="288">
        <f t="shared" si="10"/>
        <v>0</v>
      </c>
      <c r="J116" s="283">
        <f t="shared" si="7"/>
        <v>0</v>
      </c>
      <c r="K116" s="284">
        <v>0</v>
      </c>
      <c r="L116" s="291">
        <f t="shared" si="11"/>
        <v>0</v>
      </c>
      <c r="M116" s="292">
        <f t="shared" si="9"/>
        <v>0</v>
      </c>
    </row>
    <row r="117" spans="1:13" x14ac:dyDescent="0.2">
      <c r="A117" s="150">
        <v>1975</v>
      </c>
      <c r="B117" s="276" t="s">
        <v>143</v>
      </c>
      <c r="C117" s="277">
        <v>0</v>
      </c>
      <c r="D117" s="278"/>
      <c r="E117" s="278">
        <v>0</v>
      </c>
      <c r="F117" s="279">
        <v>0</v>
      </c>
      <c r="G117" s="280">
        <f t="shared" si="8"/>
        <v>0</v>
      </c>
      <c r="H117" s="290"/>
      <c r="I117" s="288">
        <f t="shared" si="10"/>
        <v>0</v>
      </c>
      <c r="J117" s="283">
        <f t="shared" si="7"/>
        <v>0</v>
      </c>
      <c r="K117" s="284">
        <v>0</v>
      </c>
      <c r="L117" s="291">
        <f t="shared" si="11"/>
        <v>0</v>
      </c>
      <c r="M117" s="289">
        <f t="shared" si="9"/>
        <v>0</v>
      </c>
    </row>
    <row r="118" spans="1:13" x14ac:dyDescent="0.2">
      <c r="A118" s="150">
        <v>1980</v>
      </c>
      <c r="B118" s="276" t="s">
        <v>144</v>
      </c>
      <c r="C118" s="277">
        <v>4161247.0689999992</v>
      </c>
      <c r="D118" s="278"/>
      <c r="E118" s="278">
        <v>612475.78</v>
      </c>
      <c r="F118" s="279">
        <v>0</v>
      </c>
      <c r="G118" s="280">
        <f t="shared" si="8"/>
        <v>4467484.9589999989</v>
      </c>
      <c r="H118" s="290">
        <v>10.703861759982281</v>
      </c>
      <c r="I118" s="288">
        <f t="shared" si="10"/>
        <v>9.3424225987168888E-2</v>
      </c>
      <c r="J118" s="283">
        <f t="shared" si="7"/>
        <v>417371.32440389384</v>
      </c>
      <c r="K118" s="284">
        <v>419909.91000000015</v>
      </c>
      <c r="L118" s="291">
        <f t="shared" si="11"/>
        <v>2538.5855961063062</v>
      </c>
      <c r="M118" s="289">
        <f t="shared" si="9"/>
        <v>6.0455481893873508E-3</v>
      </c>
    </row>
    <row r="119" spans="1:13" x14ac:dyDescent="0.2">
      <c r="A119" s="150">
        <v>1985</v>
      </c>
      <c r="B119" s="276" t="s">
        <v>145</v>
      </c>
      <c r="C119" s="277">
        <v>0</v>
      </c>
      <c r="D119" s="278"/>
      <c r="E119" s="278">
        <v>0</v>
      </c>
      <c r="F119" s="279">
        <v>0</v>
      </c>
      <c r="G119" s="280">
        <f t="shared" si="8"/>
        <v>0</v>
      </c>
      <c r="H119" s="290"/>
      <c r="I119" s="288">
        <f t="shared" si="10"/>
        <v>0</v>
      </c>
      <c r="J119" s="283">
        <f t="shared" si="7"/>
        <v>0</v>
      </c>
      <c r="K119" s="284">
        <v>0</v>
      </c>
      <c r="L119" s="291">
        <f t="shared" si="11"/>
        <v>0</v>
      </c>
      <c r="M119" s="292">
        <f t="shared" si="9"/>
        <v>0</v>
      </c>
    </row>
    <row r="120" spans="1:13" x14ac:dyDescent="0.2">
      <c r="A120" s="150">
        <v>1990</v>
      </c>
      <c r="B120" s="235" t="s">
        <v>146</v>
      </c>
      <c r="C120" s="277">
        <v>0</v>
      </c>
      <c r="D120" s="278"/>
      <c r="E120" s="278">
        <v>0</v>
      </c>
      <c r="F120" s="279">
        <v>0</v>
      </c>
      <c r="G120" s="280">
        <f t="shared" si="8"/>
        <v>0</v>
      </c>
      <c r="H120" s="290"/>
      <c r="I120" s="288">
        <f t="shared" si="10"/>
        <v>0</v>
      </c>
      <c r="J120" s="283">
        <f t="shared" si="7"/>
        <v>0</v>
      </c>
      <c r="K120" s="284">
        <v>0</v>
      </c>
      <c r="L120" s="291">
        <f t="shared" si="11"/>
        <v>0</v>
      </c>
      <c r="M120" s="289">
        <f t="shared" si="9"/>
        <v>0</v>
      </c>
    </row>
    <row r="121" spans="1:13" x14ac:dyDescent="0.2">
      <c r="A121" s="150">
        <v>1995</v>
      </c>
      <c r="B121" s="276" t="s">
        <v>147</v>
      </c>
      <c r="C121" s="277">
        <v>0</v>
      </c>
      <c r="D121" s="278"/>
      <c r="E121" s="278">
        <v>0</v>
      </c>
      <c r="F121" s="279">
        <v>0</v>
      </c>
      <c r="G121" s="280">
        <f t="shared" si="8"/>
        <v>0</v>
      </c>
      <c r="H121" s="290"/>
      <c r="I121" s="294">
        <f t="shared" si="10"/>
        <v>0</v>
      </c>
      <c r="J121" s="295">
        <f t="shared" si="7"/>
        <v>0</v>
      </c>
      <c r="K121" s="284">
        <v>0</v>
      </c>
      <c r="L121" s="291">
        <f t="shared" si="11"/>
        <v>0</v>
      </c>
      <c r="M121" s="289">
        <f t="shared" si="9"/>
        <v>0</v>
      </c>
    </row>
    <row r="122" spans="1:13" x14ac:dyDescent="0.2">
      <c r="A122" s="150">
        <v>2075</v>
      </c>
      <c r="B122" s="276" t="s">
        <v>148</v>
      </c>
      <c r="C122" s="277">
        <v>897828.47999999975</v>
      </c>
      <c r="D122" s="278"/>
      <c r="E122" s="278">
        <v>0</v>
      </c>
      <c r="F122" s="279">
        <v>0</v>
      </c>
      <c r="G122" s="280">
        <f t="shared" si="8"/>
        <v>897828.47999999975</v>
      </c>
      <c r="H122" s="290">
        <v>15.00895771743042</v>
      </c>
      <c r="I122" s="294">
        <f t="shared" si="10"/>
        <v>6.6626878350031296E-2</v>
      </c>
      <c r="J122" s="295">
        <f t="shared" si="7"/>
        <v>59819.508916153492</v>
      </c>
      <c r="K122" s="284">
        <v>57867.919999999984</v>
      </c>
      <c r="L122" s="291">
        <f t="shared" si="11"/>
        <v>-1951.5889161535088</v>
      </c>
      <c r="M122" s="289">
        <f t="shared" si="9"/>
        <v>-3.3724884463680556E-2</v>
      </c>
    </row>
    <row r="123" spans="1:13" x14ac:dyDescent="0.2">
      <c r="A123" s="150">
        <v>2440</v>
      </c>
      <c r="B123" s="151" t="s">
        <v>166</v>
      </c>
      <c r="C123" s="277">
        <v>-74147818.590000004</v>
      </c>
      <c r="D123" s="278"/>
      <c r="E123" s="278">
        <v>-15664639.98</v>
      </c>
      <c r="F123" s="279">
        <v>0</v>
      </c>
      <c r="G123" s="280">
        <f t="shared" si="8"/>
        <v>-81980138.579999998</v>
      </c>
      <c r="H123" s="290">
        <v>37.858457607422174</v>
      </c>
      <c r="I123" s="294">
        <f t="shared" si="10"/>
        <v>2.6414176994995944E-2</v>
      </c>
      <c r="J123" s="295">
        <f t="shared" si="7"/>
        <v>-2165437.8905264153</v>
      </c>
      <c r="K123" s="284">
        <v>-2174242.7699999996</v>
      </c>
      <c r="L123" s="291">
        <f t="shared" si="11"/>
        <v>-8804.8794735842384</v>
      </c>
      <c r="M123" s="289">
        <f t="shared" si="9"/>
        <v>4.0496303334076351E-3</v>
      </c>
    </row>
    <row r="124" spans="1:13" ht="13.5" thickBot="1" x14ac:dyDescent="0.25">
      <c r="A124" s="232">
        <v>2005</v>
      </c>
      <c r="B124" s="296" t="s">
        <v>329</v>
      </c>
      <c r="C124" s="277">
        <v>1099370.0300000003</v>
      </c>
      <c r="D124" s="278"/>
      <c r="E124" s="278">
        <v>-42583.88</v>
      </c>
      <c r="F124" s="279">
        <v>0</v>
      </c>
      <c r="G124" s="280">
        <f t="shared" si="8"/>
        <v>1078078.0900000003</v>
      </c>
      <c r="H124" s="297">
        <v>3.0582332864615154</v>
      </c>
      <c r="I124" s="298">
        <f t="shared" si="10"/>
        <v>0.3269861734966058</v>
      </c>
      <c r="J124" s="299">
        <f t="shared" si="7"/>
        <v>352516.62937962951</v>
      </c>
      <c r="K124" s="284">
        <v>329064.02</v>
      </c>
      <c r="L124" s="300">
        <f t="shared" si="11"/>
        <v>-23452.609379629488</v>
      </c>
      <c r="M124" s="301">
        <f t="shared" si="9"/>
        <v>-7.1270658456155392E-2</v>
      </c>
    </row>
    <row r="125" spans="1:13" ht="13.5" thickBot="1" x14ac:dyDescent="0.25">
      <c r="A125" s="302"/>
      <c r="B125" s="303" t="s">
        <v>43</v>
      </c>
      <c r="C125" s="304">
        <f>SUM(C80:C124)</f>
        <v>356071074.81360006</v>
      </c>
      <c r="D125" s="304">
        <f t="shared" ref="D125:F125" si="12">SUM(D80:D124)</f>
        <v>0</v>
      </c>
      <c r="E125" s="304">
        <f t="shared" si="12"/>
        <v>46682897.770000003</v>
      </c>
      <c r="F125" s="304">
        <f t="shared" si="12"/>
        <v>543476.18999999994</v>
      </c>
      <c r="G125" s="304">
        <f>SUM(G82:G124)</f>
        <v>375425686.86860007</v>
      </c>
      <c r="H125" s="304"/>
      <c r="I125" s="305"/>
      <c r="J125" s="304">
        <f>SUM(J80:J124)</f>
        <v>19461707.112020869</v>
      </c>
      <c r="K125" s="304">
        <f t="shared" ref="K125:L125" si="13">SUM(K80:K124)</f>
        <v>19448140.069999997</v>
      </c>
      <c r="L125" s="306">
        <f t="shared" si="13"/>
        <v>-13567.04202086405</v>
      </c>
      <c r="M125" s="307">
        <f t="shared" si="9"/>
        <v>-6.9760100307957376E-4</v>
      </c>
    </row>
    <row r="126" spans="1:13" x14ac:dyDescent="0.2">
      <c r="A126" s="122"/>
      <c r="B126" s="124"/>
      <c r="C126" s="308"/>
      <c r="D126" s="308"/>
      <c r="E126" s="308"/>
      <c r="F126" s="308"/>
      <c r="G126" s="308"/>
      <c r="H126" s="308"/>
      <c r="I126" s="308"/>
      <c r="J126" s="308"/>
      <c r="K126" s="308"/>
    </row>
    <row r="127" spans="1:13" ht="13.5" thickBot="1" x14ac:dyDescent="0.25"/>
    <row r="128" spans="1:13" ht="18" customHeight="1" thickBot="1" x14ac:dyDescent="0.3">
      <c r="A128" s="253"/>
      <c r="B128" s="253"/>
      <c r="C128" s="253"/>
      <c r="D128" s="253"/>
      <c r="E128" s="254" t="s">
        <v>300</v>
      </c>
      <c r="F128" s="259">
        <v>2022</v>
      </c>
      <c r="G128" s="253"/>
      <c r="H128" s="253"/>
      <c r="I128" s="253"/>
      <c r="J128" s="253"/>
      <c r="K128" s="253"/>
    </row>
    <row r="129" spans="1:17" ht="13.5" thickBot="1" x14ac:dyDescent="0.25">
      <c r="A129" s="260"/>
      <c r="B129" s="260"/>
      <c r="C129" s="260"/>
      <c r="D129" s="260"/>
      <c r="E129" s="260"/>
      <c r="F129" s="260"/>
      <c r="G129" s="260"/>
      <c r="H129" s="260"/>
      <c r="I129" s="260"/>
      <c r="J129" s="260"/>
      <c r="K129" s="260"/>
      <c r="Q129" s="123">
        <v>2017</v>
      </c>
    </row>
    <row r="130" spans="1:17" ht="19.149999999999999" customHeight="1" thickBot="1" x14ac:dyDescent="0.3">
      <c r="A130" s="253"/>
      <c r="B130" s="253"/>
      <c r="C130" s="457" t="s">
        <v>301</v>
      </c>
      <c r="D130" s="458"/>
      <c r="E130" s="458"/>
      <c r="F130" s="458"/>
      <c r="G130" s="459" t="s">
        <v>302</v>
      </c>
      <c r="H130" s="460"/>
      <c r="I130" s="261" t="s">
        <v>303</v>
      </c>
      <c r="J130" s="253"/>
      <c r="K130" s="253"/>
      <c r="Q130" s="123">
        <v>2018</v>
      </c>
    </row>
    <row r="131" spans="1:17" ht="78.75" customHeight="1" thickBot="1" x14ac:dyDescent="0.25">
      <c r="A131" s="453" t="s">
        <v>304</v>
      </c>
      <c r="B131" s="455" t="s">
        <v>305</v>
      </c>
      <c r="C131" s="262" t="s">
        <v>306</v>
      </c>
      <c r="D131" s="263" t="s">
        <v>307</v>
      </c>
      <c r="E131" s="264" t="s">
        <v>308</v>
      </c>
      <c r="F131" s="265" t="s">
        <v>309</v>
      </c>
      <c r="G131" s="265" t="s">
        <v>310</v>
      </c>
      <c r="H131" s="262" t="s">
        <v>311</v>
      </c>
      <c r="I131" s="266" t="s">
        <v>312</v>
      </c>
      <c r="J131" s="267" t="s">
        <v>313</v>
      </c>
      <c r="K131" s="264" t="s">
        <v>314</v>
      </c>
      <c r="L131" s="266" t="s">
        <v>315</v>
      </c>
      <c r="M131" s="266" t="s">
        <v>316</v>
      </c>
    </row>
    <row r="132" spans="1:17" ht="13.5" customHeight="1" thickBot="1" x14ac:dyDescent="0.25">
      <c r="A132" s="454"/>
      <c r="B132" s="456"/>
      <c r="C132" s="268" t="s">
        <v>317</v>
      </c>
      <c r="D132" s="269" t="s">
        <v>318</v>
      </c>
      <c r="E132" s="270" t="s">
        <v>319</v>
      </c>
      <c r="F132" s="270" t="s">
        <v>320</v>
      </c>
      <c r="G132" s="271" t="s">
        <v>321</v>
      </c>
      <c r="H132" s="272" t="s">
        <v>322</v>
      </c>
      <c r="I132" s="270" t="s">
        <v>323</v>
      </c>
      <c r="J132" s="268" t="s">
        <v>324</v>
      </c>
      <c r="K132" s="273" t="s">
        <v>325</v>
      </c>
      <c r="L132" s="271" t="s">
        <v>326</v>
      </c>
      <c r="M132" s="274" t="s">
        <v>327</v>
      </c>
    </row>
    <row r="133" spans="1:17" ht="13.5" thickBot="1" x14ac:dyDescent="0.25">
      <c r="A133" s="275">
        <v>1609</v>
      </c>
      <c r="B133" s="276" t="s">
        <v>108</v>
      </c>
      <c r="C133" s="277">
        <v>1887869.69</v>
      </c>
      <c r="D133" s="278"/>
      <c r="E133" s="278">
        <v>0</v>
      </c>
      <c r="F133" s="279">
        <v>0</v>
      </c>
      <c r="G133" s="280">
        <f>C133-D133+(E133*0.5)-F133</f>
        <v>1887869.69</v>
      </c>
      <c r="H133" s="281">
        <v>11.495890410958904</v>
      </c>
      <c r="I133" s="282">
        <f>IF(H133=0,0,1/H133)</f>
        <v>8.6987607244995241E-2</v>
      </c>
      <c r="J133" s="283">
        <f t="shared" ref="J133:J177" si="14">IF(H133=0,0,+G133/H133)</f>
        <v>164221.2671234509</v>
      </c>
      <c r="K133" s="284">
        <v>164103.94</v>
      </c>
      <c r="L133" s="285">
        <f>IF(ISERROR(+K133-J133), 0, +K133-J133)</f>
        <v>-117.32712345090113</v>
      </c>
      <c r="M133" s="286">
        <f>IFERROR(L133/K133,0)</f>
        <v>-7.1495616406834061E-4</v>
      </c>
    </row>
    <row r="134" spans="1:17" x14ac:dyDescent="0.2">
      <c r="A134" s="275">
        <v>1610</v>
      </c>
      <c r="B134" s="287" t="s">
        <v>328</v>
      </c>
      <c r="C134" s="277">
        <v>1088063.1599999997</v>
      </c>
      <c r="D134" s="278"/>
      <c r="E134" s="278">
        <v>218311.8200000003</v>
      </c>
      <c r="F134" s="279">
        <v>0</v>
      </c>
      <c r="G134" s="280">
        <f>C134-D134+(E134*0.5)-F134</f>
        <v>1197219.0699999998</v>
      </c>
      <c r="H134" s="281">
        <v>2.9078918170526782</v>
      </c>
      <c r="I134" s="282">
        <f>IF(H134=0,0,1/H134)</f>
        <v>0.34389174801336303</v>
      </c>
      <c r="J134" s="283">
        <f t="shared" si="14"/>
        <v>411713.75873723277</v>
      </c>
      <c r="K134" s="284">
        <v>411945.99000000022</v>
      </c>
      <c r="L134" s="285">
        <f>IF(ISERROR(+K134-J134), 0, +K134-J134)</f>
        <v>232.23126276745461</v>
      </c>
      <c r="M134" s="286">
        <f>IFERROR(L134/K134,0)</f>
        <v>5.6374201571292022E-4</v>
      </c>
    </row>
    <row r="135" spans="1:17" x14ac:dyDescent="0.2">
      <c r="A135" s="234">
        <v>1611</v>
      </c>
      <c r="B135" s="287" t="s">
        <v>111</v>
      </c>
      <c r="C135" s="277">
        <v>3609734.1100000013</v>
      </c>
      <c r="D135" s="278"/>
      <c r="E135" s="278">
        <v>1885559.1999999997</v>
      </c>
      <c r="F135" s="279">
        <v>0</v>
      </c>
      <c r="G135" s="280">
        <f t="shared" ref="G135:G177" si="15">C135-D135+(E135*0.5)-F135</f>
        <v>4552513.7100000009</v>
      </c>
      <c r="H135" s="281">
        <v>2.2307396107142723</v>
      </c>
      <c r="I135" s="288">
        <f>IF(H135=0,0,1/H135)</f>
        <v>0.4482818143350244</v>
      </c>
      <c r="J135" s="283">
        <f t="shared" si="14"/>
        <v>2040809.1057038736</v>
      </c>
      <c r="K135" s="284">
        <v>2042517.1700000009</v>
      </c>
      <c r="L135" s="285">
        <f>IF(ISERROR(+K135-J135), 0, +K135-J135)</f>
        <v>1708.064296127297</v>
      </c>
      <c r="M135" s="289">
        <f t="shared" ref="M135:M178" si="16">IFERROR(L135/K135,0)</f>
        <v>8.3625455943036025E-4</v>
      </c>
    </row>
    <row r="136" spans="1:17" x14ac:dyDescent="0.2">
      <c r="A136" s="150">
        <v>1612</v>
      </c>
      <c r="B136" s="276" t="s">
        <v>112</v>
      </c>
      <c r="C136" s="277">
        <v>369482.60000000056</v>
      </c>
      <c r="D136" s="278"/>
      <c r="E136" s="278"/>
      <c r="F136" s="279">
        <v>0</v>
      </c>
      <c r="G136" s="280">
        <f t="shared" si="15"/>
        <v>369482.60000000056</v>
      </c>
      <c r="H136" s="290">
        <v>30.013892468040378</v>
      </c>
      <c r="I136" s="288">
        <f t="shared" ref="I136:I177" si="17">IF(H136=0,0,1/H136)</f>
        <v>3.3317904402597152E-2</v>
      </c>
      <c r="J136" s="283">
        <f t="shared" si="14"/>
        <v>12310.385945223061</v>
      </c>
      <c r="K136" s="284">
        <v>12301.73000000001</v>
      </c>
      <c r="L136" s="291">
        <f t="shared" ref="L136:L177" si="18">IF(ISERROR(+K136-J136), 0, +K136-J136)</f>
        <v>-8.6559452230503666</v>
      </c>
      <c r="M136" s="289">
        <f t="shared" si="16"/>
        <v>-7.0363641723971825E-4</v>
      </c>
    </row>
    <row r="137" spans="1:17" x14ac:dyDescent="0.2">
      <c r="A137" s="150">
        <v>1612</v>
      </c>
      <c r="B137" s="276" t="s">
        <v>330</v>
      </c>
      <c r="C137" s="277">
        <v>3841402</v>
      </c>
      <c r="D137" s="278"/>
      <c r="E137" s="278">
        <v>-3841402</v>
      </c>
      <c r="F137" s="279"/>
      <c r="G137" s="280">
        <f t="shared" si="15"/>
        <v>1920701</v>
      </c>
      <c r="H137" s="290"/>
      <c r="I137" s="288">
        <f t="shared" si="17"/>
        <v>0</v>
      </c>
      <c r="J137" s="283">
        <f t="shared" si="14"/>
        <v>0</v>
      </c>
      <c r="K137" s="284"/>
      <c r="L137" s="291">
        <f t="shared" si="18"/>
        <v>0</v>
      </c>
      <c r="M137" s="289">
        <f t="shared" si="16"/>
        <v>0</v>
      </c>
    </row>
    <row r="138" spans="1:17" x14ac:dyDescent="0.2">
      <c r="A138" s="150">
        <v>1805</v>
      </c>
      <c r="B138" s="276" t="s">
        <v>113</v>
      </c>
      <c r="C138" s="277">
        <v>981172.99</v>
      </c>
      <c r="D138" s="278"/>
      <c r="E138" s="278">
        <v>16193.100000000035</v>
      </c>
      <c r="F138" s="279">
        <v>2376.5599999999977</v>
      </c>
      <c r="G138" s="280">
        <f t="shared" si="15"/>
        <v>986892.98</v>
      </c>
      <c r="H138" s="290"/>
      <c r="I138" s="288">
        <f t="shared" si="17"/>
        <v>0</v>
      </c>
      <c r="J138" s="283">
        <f t="shared" si="14"/>
        <v>0</v>
      </c>
      <c r="K138" s="284">
        <v>0</v>
      </c>
      <c r="L138" s="291">
        <f t="shared" si="18"/>
        <v>0</v>
      </c>
      <c r="M138" s="289">
        <f t="shared" si="16"/>
        <v>0</v>
      </c>
    </row>
    <row r="139" spans="1:17" x14ac:dyDescent="0.2">
      <c r="A139" s="150">
        <v>1808</v>
      </c>
      <c r="B139" s="276" t="s">
        <v>114</v>
      </c>
      <c r="C139" s="277">
        <v>216727.85999999987</v>
      </c>
      <c r="D139" s="278"/>
      <c r="E139" s="278">
        <v>0</v>
      </c>
      <c r="F139" s="279">
        <v>0</v>
      </c>
      <c r="G139" s="280">
        <f t="shared" si="15"/>
        <v>216727.85999999987</v>
      </c>
      <c r="H139" s="290">
        <v>22.623465010595762</v>
      </c>
      <c r="I139" s="288">
        <f t="shared" si="17"/>
        <v>4.420189389784665E-2</v>
      </c>
      <c r="J139" s="283">
        <f t="shared" si="14"/>
        <v>9579.7818724273566</v>
      </c>
      <c r="K139" s="284">
        <v>9573.8200000000652</v>
      </c>
      <c r="L139" s="291">
        <f t="shared" si="18"/>
        <v>-5.9618724272913823</v>
      </c>
      <c r="M139" s="289">
        <f t="shared" si="16"/>
        <v>-6.2272660518908254E-4</v>
      </c>
    </row>
    <row r="140" spans="1:17" x14ac:dyDescent="0.2">
      <c r="A140" s="150">
        <v>1810</v>
      </c>
      <c r="B140" s="276" t="s">
        <v>115</v>
      </c>
      <c r="C140" s="277">
        <v>0</v>
      </c>
      <c r="D140" s="278"/>
      <c r="E140" s="278">
        <v>0</v>
      </c>
      <c r="F140" s="279">
        <v>0</v>
      </c>
      <c r="G140" s="280">
        <f t="shared" si="15"/>
        <v>0</v>
      </c>
      <c r="H140" s="290"/>
      <c r="I140" s="288">
        <f t="shared" si="17"/>
        <v>0</v>
      </c>
      <c r="J140" s="283">
        <f t="shared" si="14"/>
        <v>0</v>
      </c>
      <c r="K140" s="284">
        <v>0</v>
      </c>
      <c r="L140" s="291">
        <f t="shared" si="18"/>
        <v>0</v>
      </c>
      <c r="M140" s="289">
        <f t="shared" si="16"/>
        <v>0</v>
      </c>
    </row>
    <row r="141" spans="1:17" x14ac:dyDescent="0.2">
      <c r="A141" s="150">
        <v>1815</v>
      </c>
      <c r="B141" s="276" t="s">
        <v>116</v>
      </c>
      <c r="C141" s="277">
        <v>176425.31999999998</v>
      </c>
      <c r="D141" s="278"/>
      <c r="E141" s="278">
        <v>0</v>
      </c>
      <c r="F141" s="279">
        <v>0</v>
      </c>
      <c r="G141" s="280">
        <f t="shared" si="15"/>
        <v>176425.31999999998</v>
      </c>
      <c r="H141" s="290">
        <v>26.683786309282961</v>
      </c>
      <c r="I141" s="288">
        <f t="shared" si="17"/>
        <v>3.7475940948159682E-2</v>
      </c>
      <c r="J141" s="283">
        <f t="shared" si="14"/>
        <v>6611.7048740801738</v>
      </c>
      <c r="K141" s="284">
        <v>5533.6300000000047</v>
      </c>
      <c r="L141" s="291">
        <f t="shared" si="18"/>
        <v>-1078.0748740801691</v>
      </c>
      <c r="M141" s="289">
        <f t="shared" si="16"/>
        <v>-0.19482236327332478</v>
      </c>
    </row>
    <row r="142" spans="1:17" x14ac:dyDescent="0.2">
      <c r="A142" s="150">
        <v>1820</v>
      </c>
      <c r="B142" s="276" t="s">
        <v>117</v>
      </c>
      <c r="C142" s="277">
        <v>53892385.568100005</v>
      </c>
      <c r="D142" s="278"/>
      <c r="E142" s="278">
        <v>2299674.15</v>
      </c>
      <c r="F142" s="279">
        <v>11885.139999999994</v>
      </c>
      <c r="G142" s="280">
        <f t="shared" si="15"/>
        <v>55030337.503100008</v>
      </c>
      <c r="H142" s="290">
        <v>28.102826214131646</v>
      </c>
      <c r="I142" s="288">
        <f t="shared" si="17"/>
        <v>3.5583609718838352E-2</v>
      </c>
      <c r="J142" s="283">
        <f t="shared" si="14"/>
        <v>1958178.052406264</v>
      </c>
      <c r="K142" s="284">
        <v>1952949.29</v>
      </c>
      <c r="L142" s="291">
        <f t="shared" si="18"/>
        <v>-5228.7624062639661</v>
      </c>
      <c r="M142" s="289">
        <f t="shared" si="16"/>
        <v>-2.6773672173863593E-3</v>
      </c>
    </row>
    <row r="143" spans="1:17" x14ac:dyDescent="0.2">
      <c r="A143" s="150">
        <v>1825</v>
      </c>
      <c r="B143" s="276" t="s">
        <v>118</v>
      </c>
      <c r="C143" s="277">
        <v>0</v>
      </c>
      <c r="D143" s="278"/>
      <c r="E143" s="278">
        <v>0</v>
      </c>
      <c r="F143" s="279">
        <v>0</v>
      </c>
      <c r="G143" s="280">
        <f t="shared" si="15"/>
        <v>0</v>
      </c>
      <c r="H143" s="290"/>
      <c r="I143" s="288">
        <f t="shared" si="17"/>
        <v>0</v>
      </c>
      <c r="J143" s="283">
        <f t="shared" si="14"/>
        <v>0</v>
      </c>
      <c r="K143" s="284">
        <v>0</v>
      </c>
      <c r="L143" s="291">
        <f t="shared" si="18"/>
        <v>0</v>
      </c>
      <c r="M143" s="289">
        <f t="shared" si="16"/>
        <v>0</v>
      </c>
    </row>
    <row r="144" spans="1:17" x14ac:dyDescent="0.2">
      <c r="A144" s="150">
        <v>1830</v>
      </c>
      <c r="B144" s="276" t="s">
        <v>119</v>
      </c>
      <c r="C144" s="277">
        <v>84809254.039999992</v>
      </c>
      <c r="D144" s="278"/>
      <c r="E144" s="278">
        <v>12378908.51</v>
      </c>
      <c r="F144" s="279">
        <v>444896.58999999985</v>
      </c>
      <c r="G144" s="280">
        <f t="shared" si="15"/>
        <v>90553811.704999983</v>
      </c>
      <c r="H144" s="290">
        <v>32.606711363779645</v>
      </c>
      <c r="I144" s="288">
        <f t="shared" si="17"/>
        <v>3.0668532893225936E-2</v>
      </c>
      <c r="J144" s="283">
        <f t="shared" si="14"/>
        <v>2777152.5528817801</v>
      </c>
      <c r="K144" s="284">
        <v>2789882.89</v>
      </c>
      <c r="L144" s="291">
        <f t="shared" si="18"/>
        <v>12730.33711822005</v>
      </c>
      <c r="M144" s="292">
        <f t="shared" si="16"/>
        <v>4.5630363782832653E-3</v>
      </c>
    </row>
    <row r="145" spans="1:13" x14ac:dyDescent="0.2">
      <c r="A145" s="150">
        <v>1835</v>
      </c>
      <c r="B145" s="276" t="s">
        <v>120</v>
      </c>
      <c r="C145" s="277">
        <v>61451752.187499993</v>
      </c>
      <c r="D145" s="278"/>
      <c r="E145" s="278">
        <v>5962963.6600000001</v>
      </c>
      <c r="F145" s="279">
        <v>160279.00000000017</v>
      </c>
      <c r="G145" s="280">
        <f t="shared" si="15"/>
        <v>64272955.017499991</v>
      </c>
      <c r="H145" s="290">
        <v>33.131121819944838</v>
      </c>
      <c r="I145" s="288">
        <f t="shared" si="17"/>
        <v>3.0183101116666774E-2</v>
      </c>
      <c r="J145" s="283">
        <f t="shared" si="14"/>
        <v>1939957.1003601775</v>
      </c>
      <c r="K145" s="284">
        <v>1945949.72</v>
      </c>
      <c r="L145" s="291">
        <f t="shared" si="18"/>
        <v>5992.6196398225147</v>
      </c>
      <c r="M145" s="289">
        <f t="shared" si="16"/>
        <v>3.0795346756557077E-3</v>
      </c>
    </row>
    <row r="146" spans="1:13" x14ac:dyDescent="0.2">
      <c r="A146" s="150">
        <v>1840</v>
      </c>
      <c r="B146" s="276" t="s">
        <v>121</v>
      </c>
      <c r="C146" s="277">
        <v>48379375.5933</v>
      </c>
      <c r="D146" s="278"/>
      <c r="E146" s="278">
        <v>3431792.73</v>
      </c>
      <c r="F146" s="279">
        <v>283500.71999999997</v>
      </c>
      <c r="G146" s="280">
        <f t="shared" si="15"/>
        <v>49811771.238300003</v>
      </c>
      <c r="H146" s="290">
        <v>49.955892117378546</v>
      </c>
      <c r="I146" s="288">
        <f t="shared" si="17"/>
        <v>2.0017658730833117E-2</v>
      </c>
      <c r="J146" s="283">
        <f t="shared" si="14"/>
        <v>997115.03742661804</v>
      </c>
      <c r="K146" s="284">
        <v>1003834.9899999998</v>
      </c>
      <c r="L146" s="291">
        <f t="shared" si="18"/>
        <v>6719.9525733817136</v>
      </c>
      <c r="M146" s="292">
        <f t="shared" si="16"/>
        <v>6.6942800762321659E-3</v>
      </c>
    </row>
    <row r="147" spans="1:13" x14ac:dyDescent="0.2">
      <c r="A147" s="150">
        <v>1845</v>
      </c>
      <c r="B147" s="276" t="s">
        <v>122</v>
      </c>
      <c r="C147" s="277">
        <v>73444483.979899988</v>
      </c>
      <c r="D147" s="278"/>
      <c r="E147" s="278">
        <v>7034342.7000000002</v>
      </c>
      <c r="F147" s="279">
        <v>459499.72000000009</v>
      </c>
      <c r="G147" s="280">
        <f t="shared" si="15"/>
        <v>76502155.609899983</v>
      </c>
      <c r="H147" s="290">
        <v>30.812722085303733</v>
      </c>
      <c r="I147" s="288">
        <f t="shared" si="17"/>
        <v>3.245412713721111E-2</v>
      </c>
      <c r="J147" s="283">
        <f t="shared" si="14"/>
        <v>2482810.6844344023</v>
      </c>
      <c r="K147" s="284">
        <v>2501373.15</v>
      </c>
      <c r="L147" s="291">
        <f t="shared" si="18"/>
        <v>18562.465565597638</v>
      </c>
      <c r="M147" s="289">
        <f t="shared" si="16"/>
        <v>7.4209102170932151E-3</v>
      </c>
    </row>
    <row r="148" spans="1:13" x14ac:dyDescent="0.2">
      <c r="A148" s="150">
        <v>1850</v>
      </c>
      <c r="B148" s="276" t="s">
        <v>123</v>
      </c>
      <c r="C148" s="277">
        <v>52198726.297400013</v>
      </c>
      <c r="D148" s="278"/>
      <c r="E148" s="278">
        <v>5723708.29</v>
      </c>
      <c r="F148" s="279">
        <v>323358.86</v>
      </c>
      <c r="G148" s="280">
        <f t="shared" si="15"/>
        <v>54737221.582400016</v>
      </c>
      <c r="H148" s="290">
        <v>22.156241852680246</v>
      </c>
      <c r="I148" s="288">
        <f t="shared" si="17"/>
        <v>4.5134008134101934E-2</v>
      </c>
      <c r="J148" s="283">
        <f t="shared" si="14"/>
        <v>2470510.2041381826</v>
      </c>
      <c r="K148" s="284">
        <v>2485626.4700000002</v>
      </c>
      <c r="L148" s="291">
        <f t="shared" si="18"/>
        <v>15116.265861817636</v>
      </c>
      <c r="M148" s="289">
        <f t="shared" si="16"/>
        <v>6.0814712283851864E-3</v>
      </c>
    </row>
    <row r="149" spans="1:13" x14ac:dyDescent="0.2">
      <c r="A149" s="150">
        <v>1855</v>
      </c>
      <c r="B149" s="276" t="s">
        <v>124</v>
      </c>
      <c r="C149" s="277">
        <v>38771068.859400004</v>
      </c>
      <c r="D149" s="278"/>
      <c r="E149" s="278">
        <v>2904698.5</v>
      </c>
      <c r="F149" s="279">
        <v>0</v>
      </c>
      <c r="G149" s="280">
        <f t="shared" si="15"/>
        <v>40223418.109400004</v>
      </c>
      <c r="H149" s="290">
        <v>33.650529069169245</v>
      </c>
      <c r="I149" s="288">
        <f t="shared" si="17"/>
        <v>2.971721478567195E-2</v>
      </c>
      <c r="J149" s="283">
        <f t="shared" si="14"/>
        <v>1195327.9553709265</v>
      </c>
      <c r="K149" s="284">
        <v>1195230.97</v>
      </c>
      <c r="L149" s="291">
        <f t="shared" si="18"/>
        <v>-96.985370926558971</v>
      </c>
      <c r="M149" s="289">
        <f t="shared" si="16"/>
        <v>-8.1143622748127892E-5</v>
      </c>
    </row>
    <row r="150" spans="1:13" x14ac:dyDescent="0.2">
      <c r="A150" s="150">
        <v>1860</v>
      </c>
      <c r="B150" s="276" t="s">
        <v>125</v>
      </c>
      <c r="C150" s="277">
        <v>2201451.3200000003</v>
      </c>
      <c r="D150" s="278"/>
      <c r="E150" s="278">
        <v>27870.729999999734</v>
      </c>
      <c r="F150" s="279">
        <v>65663.459999999992</v>
      </c>
      <c r="G150" s="280">
        <f t="shared" si="15"/>
        <v>2149723.2250000001</v>
      </c>
      <c r="H150" s="290">
        <v>18.056587085769419</v>
      </c>
      <c r="I150" s="288">
        <f t="shared" si="17"/>
        <v>5.5381451392224071E-2</v>
      </c>
      <c r="J150" s="283">
        <f t="shared" si="14"/>
        <v>119054.79229207269</v>
      </c>
      <c r="K150" s="284">
        <v>119825.47999999994</v>
      </c>
      <c r="L150" s="291">
        <f t="shared" si="18"/>
        <v>770.68770792725263</v>
      </c>
      <c r="M150" s="289">
        <f t="shared" si="16"/>
        <v>6.4317514766246133E-3</v>
      </c>
    </row>
    <row r="151" spans="1:13" x14ac:dyDescent="0.2">
      <c r="A151" s="150">
        <v>1860</v>
      </c>
      <c r="B151" s="276" t="s">
        <v>126</v>
      </c>
      <c r="C151" s="277">
        <v>9263009.548999995</v>
      </c>
      <c r="D151" s="278"/>
      <c r="E151" s="278">
        <v>879564.85000000254</v>
      </c>
      <c r="F151" s="279">
        <v>33552.840000000026</v>
      </c>
      <c r="G151" s="280">
        <f t="shared" si="15"/>
        <v>9669239.1339999959</v>
      </c>
      <c r="H151" s="290">
        <v>5.1616929870656705</v>
      </c>
      <c r="I151" s="288">
        <f t="shared" si="17"/>
        <v>0.19373488553190413</v>
      </c>
      <c r="J151" s="283">
        <f t="shared" si="14"/>
        <v>1873268.9368060972</v>
      </c>
      <c r="K151" s="284">
        <v>1877275.1400000004</v>
      </c>
      <c r="L151" s="291">
        <f t="shared" si="18"/>
        <v>4006.2031939032022</v>
      </c>
      <c r="M151" s="289">
        <f t="shared" si="16"/>
        <v>2.1340522273699323E-3</v>
      </c>
    </row>
    <row r="152" spans="1:13" x14ac:dyDescent="0.2">
      <c r="A152" s="150">
        <v>1865</v>
      </c>
      <c r="B152" s="276" t="s">
        <v>127</v>
      </c>
      <c r="C152" s="277">
        <v>0</v>
      </c>
      <c r="D152" s="278"/>
      <c r="E152" s="278">
        <v>0</v>
      </c>
      <c r="F152" s="279">
        <v>0</v>
      </c>
      <c r="G152" s="280">
        <f t="shared" si="15"/>
        <v>0</v>
      </c>
      <c r="H152" s="290"/>
      <c r="I152" s="288">
        <f t="shared" si="17"/>
        <v>0</v>
      </c>
      <c r="J152" s="283">
        <f t="shared" si="14"/>
        <v>0</v>
      </c>
      <c r="K152" s="284">
        <v>0</v>
      </c>
      <c r="L152" s="291">
        <f t="shared" si="18"/>
        <v>0</v>
      </c>
      <c r="M152" s="289">
        <f t="shared" si="16"/>
        <v>0</v>
      </c>
    </row>
    <row r="153" spans="1:13" x14ac:dyDescent="0.2">
      <c r="A153" s="150">
        <v>1905</v>
      </c>
      <c r="B153" s="276" t="s">
        <v>113</v>
      </c>
      <c r="C153" s="277">
        <v>1195031.3199999998</v>
      </c>
      <c r="D153" s="278"/>
      <c r="E153" s="278">
        <v>-2.0000000018626451E-2</v>
      </c>
      <c r="F153" s="279">
        <v>0</v>
      </c>
      <c r="G153" s="280">
        <f t="shared" si="15"/>
        <v>1195031.3099999998</v>
      </c>
      <c r="H153" s="290"/>
      <c r="I153" s="288">
        <f t="shared" si="17"/>
        <v>0</v>
      </c>
      <c r="J153" s="283">
        <f t="shared" si="14"/>
        <v>0</v>
      </c>
      <c r="K153" s="284">
        <v>0</v>
      </c>
      <c r="L153" s="291">
        <f t="shared" si="18"/>
        <v>0</v>
      </c>
      <c r="M153" s="289">
        <f t="shared" si="16"/>
        <v>0</v>
      </c>
    </row>
    <row r="154" spans="1:13" x14ac:dyDescent="0.2">
      <c r="A154" s="150">
        <v>1908</v>
      </c>
      <c r="B154" s="276" t="s">
        <v>128</v>
      </c>
      <c r="C154" s="277">
        <v>14745857.26</v>
      </c>
      <c r="D154" s="278"/>
      <c r="E154" s="278">
        <v>5214434.38</v>
      </c>
      <c r="F154" s="279">
        <v>0</v>
      </c>
      <c r="G154" s="280">
        <f t="shared" si="15"/>
        <v>17353074.449999999</v>
      </c>
      <c r="H154" s="290">
        <v>14.509231041377504</v>
      </c>
      <c r="I154" s="288">
        <f t="shared" si="17"/>
        <v>6.8921640102648757E-2</v>
      </c>
      <c r="J154" s="283">
        <f t="shared" si="14"/>
        <v>1196002.3519173695</v>
      </c>
      <c r="K154" s="284">
        <v>1195904.4600000007</v>
      </c>
      <c r="L154" s="291">
        <f t="shared" si="18"/>
        <v>-97.891917368862778</v>
      </c>
      <c r="M154" s="289">
        <f t="shared" si="16"/>
        <v>-8.1855968133827956E-5</v>
      </c>
    </row>
    <row r="155" spans="1:13" x14ac:dyDescent="0.2">
      <c r="A155" s="150">
        <v>1910</v>
      </c>
      <c r="B155" s="276" t="s">
        <v>115</v>
      </c>
      <c r="C155" s="277">
        <v>0</v>
      </c>
      <c r="D155" s="278"/>
      <c r="E155" s="278">
        <v>0</v>
      </c>
      <c r="F155" s="279">
        <v>0</v>
      </c>
      <c r="G155" s="280">
        <f t="shared" si="15"/>
        <v>0</v>
      </c>
      <c r="H155" s="290"/>
      <c r="I155" s="288">
        <f t="shared" si="17"/>
        <v>0</v>
      </c>
      <c r="J155" s="283">
        <f t="shared" si="14"/>
        <v>0</v>
      </c>
      <c r="K155" s="284">
        <v>0</v>
      </c>
      <c r="L155" s="291">
        <f t="shared" si="18"/>
        <v>0</v>
      </c>
      <c r="M155" s="289">
        <f t="shared" si="16"/>
        <v>0</v>
      </c>
    </row>
    <row r="156" spans="1:13" x14ac:dyDescent="0.2">
      <c r="A156" s="150">
        <v>1915</v>
      </c>
      <c r="B156" s="276" t="s">
        <v>129</v>
      </c>
      <c r="C156" s="277">
        <v>619563.45999999973</v>
      </c>
      <c r="D156" s="278"/>
      <c r="E156" s="278">
        <v>162420.68999999994</v>
      </c>
      <c r="F156" s="279">
        <v>0</v>
      </c>
      <c r="G156" s="280">
        <f t="shared" si="15"/>
        <v>700773.8049999997</v>
      </c>
      <c r="H156" s="290">
        <v>5.8611388466793777</v>
      </c>
      <c r="I156" s="288">
        <f t="shared" si="17"/>
        <v>0.17061530636943517</v>
      </c>
      <c r="J156" s="283">
        <f t="shared" si="14"/>
        <v>119562.73743574978</v>
      </c>
      <c r="K156" s="284">
        <v>119562.46999999997</v>
      </c>
      <c r="L156" s="291">
        <f t="shared" si="18"/>
        <v>-0.26743574980355334</v>
      </c>
      <c r="M156" s="289">
        <f t="shared" si="16"/>
        <v>-2.2367867592861991E-6</v>
      </c>
    </row>
    <row r="157" spans="1:13" x14ac:dyDescent="0.2">
      <c r="A157" s="150">
        <v>1915</v>
      </c>
      <c r="B157" s="276" t="s">
        <v>130</v>
      </c>
      <c r="C157" s="277">
        <v>0</v>
      </c>
      <c r="D157" s="278"/>
      <c r="E157" s="278">
        <v>0</v>
      </c>
      <c r="F157" s="279">
        <v>0</v>
      </c>
      <c r="G157" s="280">
        <f t="shared" si="15"/>
        <v>0</v>
      </c>
      <c r="H157" s="290"/>
      <c r="I157" s="288">
        <f t="shared" si="17"/>
        <v>0</v>
      </c>
      <c r="J157" s="283">
        <f t="shared" si="14"/>
        <v>0</v>
      </c>
      <c r="K157" s="284">
        <v>0</v>
      </c>
      <c r="L157" s="291">
        <f t="shared" si="18"/>
        <v>0</v>
      </c>
      <c r="M157" s="289">
        <f t="shared" si="16"/>
        <v>0</v>
      </c>
    </row>
    <row r="158" spans="1:13" x14ac:dyDescent="0.2">
      <c r="A158" s="150">
        <v>1920</v>
      </c>
      <c r="B158" s="276" t="s">
        <v>131</v>
      </c>
      <c r="C158" s="277">
        <v>3209222.9400000004</v>
      </c>
      <c r="D158" s="278"/>
      <c r="E158" s="278">
        <v>2507697.9000000008</v>
      </c>
      <c r="F158" s="279">
        <v>0</v>
      </c>
      <c r="G158" s="280">
        <f t="shared" si="15"/>
        <v>4463071.8900000006</v>
      </c>
      <c r="H158" s="290">
        <v>3.4909039544111971</v>
      </c>
      <c r="I158" s="288">
        <f t="shared" si="17"/>
        <v>0.2864587548266328</v>
      </c>
      <c r="J158" s="283">
        <f t="shared" si="14"/>
        <v>1278486.0163111468</v>
      </c>
      <c r="K158" s="284">
        <v>1280115.2000000002</v>
      </c>
      <c r="L158" s="291">
        <f t="shared" si="18"/>
        <v>1629.1836888534017</v>
      </c>
      <c r="M158" s="289">
        <f t="shared" si="16"/>
        <v>1.2726852152473477E-3</v>
      </c>
    </row>
    <row r="159" spans="1:13" x14ac:dyDescent="0.2">
      <c r="A159" s="150">
        <v>1920</v>
      </c>
      <c r="B159" s="276" t="s">
        <v>132</v>
      </c>
      <c r="C159" s="277">
        <v>0</v>
      </c>
      <c r="D159" s="278"/>
      <c r="E159" s="278">
        <v>0</v>
      </c>
      <c r="F159" s="279">
        <v>0</v>
      </c>
      <c r="G159" s="280">
        <f t="shared" si="15"/>
        <v>0</v>
      </c>
      <c r="H159" s="290"/>
      <c r="I159" s="288">
        <f t="shared" si="17"/>
        <v>0</v>
      </c>
      <c r="J159" s="283">
        <f t="shared" si="14"/>
        <v>0</v>
      </c>
      <c r="K159" s="284">
        <v>0</v>
      </c>
      <c r="L159" s="291">
        <f t="shared" si="18"/>
        <v>0</v>
      </c>
      <c r="M159" s="292">
        <f t="shared" si="16"/>
        <v>0</v>
      </c>
    </row>
    <row r="160" spans="1:13" x14ac:dyDescent="0.2">
      <c r="A160" s="150">
        <v>1920</v>
      </c>
      <c r="B160" s="276" t="s">
        <v>133</v>
      </c>
      <c r="C160" s="277">
        <v>0</v>
      </c>
      <c r="D160" s="278"/>
      <c r="E160" s="278">
        <v>0</v>
      </c>
      <c r="F160" s="279">
        <v>0</v>
      </c>
      <c r="G160" s="280">
        <f t="shared" si="15"/>
        <v>0</v>
      </c>
      <c r="H160" s="290"/>
      <c r="I160" s="288">
        <f t="shared" si="17"/>
        <v>0</v>
      </c>
      <c r="J160" s="283">
        <f t="shared" si="14"/>
        <v>0</v>
      </c>
      <c r="K160" s="284">
        <v>0</v>
      </c>
      <c r="L160" s="291">
        <f t="shared" si="18"/>
        <v>0</v>
      </c>
      <c r="M160" s="292">
        <f t="shared" si="16"/>
        <v>0</v>
      </c>
    </row>
    <row r="161" spans="1:13" x14ac:dyDescent="0.2">
      <c r="A161" s="150">
        <v>1930</v>
      </c>
      <c r="B161" s="276" t="s">
        <v>134</v>
      </c>
      <c r="C161" s="277">
        <v>5950812.4399999995</v>
      </c>
      <c r="D161" s="278"/>
      <c r="E161" s="278">
        <v>2455255.0499999998</v>
      </c>
      <c r="F161" s="279">
        <v>0</v>
      </c>
      <c r="G161" s="280">
        <f t="shared" si="15"/>
        <v>7178439.9649999999</v>
      </c>
      <c r="H161" s="290">
        <v>7.3405523732789533</v>
      </c>
      <c r="I161" s="288">
        <f t="shared" si="17"/>
        <v>0.1362295300337609</v>
      </c>
      <c r="J161" s="283">
        <f t="shared" si="14"/>
        <v>977915.50280751695</v>
      </c>
      <c r="K161" s="284">
        <v>978396.00999999966</v>
      </c>
      <c r="L161" s="291">
        <f t="shared" si="18"/>
        <v>480.50719248270616</v>
      </c>
      <c r="M161" s="289">
        <f t="shared" si="16"/>
        <v>4.9111728540543248E-4</v>
      </c>
    </row>
    <row r="162" spans="1:13" x14ac:dyDescent="0.2">
      <c r="A162" s="150">
        <v>1935</v>
      </c>
      <c r="B162" s="276" t="s">
        <v>135</v>
      </c>
      <c r="C162" s="277">
        <v>50325.479999999989</v>
      </c>
      <c r="D162" s="278"/>
      <c r="E162" s="278">
        <v>0</v>
      </c>
      <c r="F162" s="279">
        <v>0</v>
      </c>
      <c r="G162" s="280">
        <f t="shared" si="15"/>
        <v>50325.479999999989</v>
      </c>
      <c r="H162" s="290">
        <v>4.4958904109589053</v>
      </c>
      <c r="I162" s="288">
        <f t="shared" si="17"/>
        <v>0.22242535039609987</v>
      </c>
      <c r="J162" s="283">
        <f t="shared" si="14"/>
        <v>11193.662522851913</v>
      </c>
      <c r="K162" s="284">
        <v>11186.849999999991</v>
      </c>
      <c r="L162" s="291">
        <f t="shared" si="18"/>
        <v>-6.81252285192204</v>
      </c>
      <c r="M162" s="289">
        <f t="shared" si="16"/>
        <v>-6.0897597196011796E-4</v>
      </c>
    </row>
    <row r="163" spans="1:13" x14ac:dyDescent="0.2">
      <c r="A163" s="150">
        <v>1940</v>
      </c>
      <c r="B163" s="276" t="s">
        <v>136</v>
      </c>
      <c r="C163" s="277">
        <v>1217981.3900000004</v>
      </c>
      <c r="D163" s="278"/>
      <c r="E163" s="278">
        <v>431334.31999999983</v>
      </c>
      <c r="F163" s="279">
        <v>0</v>
      </c>
      <c r="G163" s="280">
        <f t="shared" si="15"/>
        <v>1433648.5500000003</v>
      </c>
      <c r="H163" s="290">
        <v>5.7599272062880313</v>
      </c>
      <c r="I163" s="288">
        <f t="shared" si="17"/>
        <v>0.17361330520085638</v>
      </c>
      <c r="J163" s="283">
        <f t="shared" si="14"/>
        <v>248900.46326191525</v>
      </c>
      <c r="K163" s="284">
        <v>247751.91999999993</v>
      </c>
      <c r="L163" s="291">
        <f t="shared" si="18"/>
        <v>-1148.5432619153289</v>
      </c>
      <c r="M163" s="292">
        <f t="shared" si="16"/>
        <v>-4.6358601859284448E-3</v>
      </c>
    </row>
    <row r="164" spans="1:13" x14ac:dyDescent="0.2">
      <c r="A164" s="150">
        <v>1945</v>
      </c>
      <c r="B164" s="276" t="s">
        <v>137</v>
      </c>
      <c r="C164" s="277">
        <v>51251.28</v>
      </c>
      <c r="D164" s="278"/>
      <c r="E164" s="278">
        <v>0</v>
      </c>
      <c r="F164" s="279">
        <v>0</v>
      </c>
      <c r="G164" s="280">
        <f t="shared" si="15"/>
        <v>51251.28</v>
      </c>
      <c r="H164" s="290">
        <v>3.6253963197167614</v>
      </c>
      <c r="I164" s="288">
        <f t="shared" si="17"/>
        <v>0.27583191237920335</v>
      </c>
      <c r="J164" s="283">
        <f t="shared" si="14"/>
        <v>14136.738574282017</v>
      </c>
      <c r="K164" s="284">
        <v>14135.119999999995</v>
      </c>
      <c r="L164" s="291">
        <f t="shared" si="18"/>
        <v>-1.6185742820216547</v>
      </c>
      <c r="M164" s="289">
        <f t="shared" si="16"/>
        <v>-1.145072897875402E-4</v>
      </c>
    </row>
    <row r="165" spans="1:13" x14ac:dyDescent="0.2">
      <c r="A165" s="150">
        <v>1950</v>
      </c>
      <c r="B165" s="276" t="s">
        <v>138</v>
      </c>
      <c r="C165" s="277">
        <v>0</v>
      </c>
      <c r="D165" s="278"/>
      <c r="E165" s="278">
        <v>0</v>
      </c>
      <c r="F165" s="279">
        <v>0</v>
      </c>
      <c r="G165" s="280">
        <f t="shared" si="15"/>
        <v>0</v>
      </c>
      <c r="H165" s="290"/>
      <c r="I165" s="288">
        <f t="shared" si="17"/>
        <v>0</v>
      </c>
      <c r="J165" s="283">
        <f t="shared" si="14"/>
        <v>0</v>
      </c>
      <c r="K165" s="284">
        <v>0</v>
      </c>
      <c r="L165" s="291">
        <f t="shared" si="18"/>
        <v>0</v>
      </c>
      <c r="M165" s="292">
        <f t="shared" si="16"/>
        <v>0</v>
      </c>
    </row>
    <row r="166" spans="1:13" x14ac:dyDescent="0.2">
      <c r="A166" s="150">
        <v>1955</v>
      </c>
      <c r="B166" s="276" t="s">
        <v>139</v>
      </c>
      <c r="C166" s="277">
        <v>655031.48999999953</v>
      </c>
      <c r="D166" s="278"/>
      <c r="E166" s="278">
        <v>339287.24</v>
      </c>
      <c r="F166" s="279">
        <v>0</v>
      </c>
      <c r="G166" s="280">
        <f t="shared" si="15"/>
        <v>824675.10999999952</v>
      </c>
      <c r="H166" s="290">
        <v>4.0391645209264224</v>
      </c>
      <c r="I166" s="288">
        <f t="shared" si="17"/>
        <v>0.24757595161551876</v>
      </c>
      <c r="J166" s="283">
        <f t="shared" si="14"/>
        <v>204169.7251318825</v>
      </c>
      <c r="K166" s="284">
        <v>204237.35</v>
      </c>
      <c r="L166" s="291">
        <f t="shared" si="18"/>
        <v>67.624868117505684</v>
      </c>
      <c r="M166" s="292">
        <f t="shared" si="16"/>
        <v>3.3110921248001742E-4</v>
      </c>
    </row>
    <row r="167" spans="1:13" x14ac:dyDescent="0.2">
      <c r="A167" s="150">
        <v>1955</v>
      </c>
      <c r="B167" s="276" t="s">
        <v>140</v>
      </c>
      <c r="C167" s="277">
        <v>0</v>
      </c>
      <c r="D167" s="278"/>
      <c r="E167" s="278">
        <v>0</v>
      </c>
      <c r="F167" s="279">
        <v>0</v>
      </c>
      <c r="G167" s="280">
        <f t="shared" si="15"/>
        <v>0</v>
      </c>
      <c r="H167" s="290"/>
      <c r="I167" s="288">
        <f t="shared" si="17"/>
        <v>0</v>
      </c>
      <c r="J167" s="283">
        <f t="shared" si="14"/>
        <v>0</v>
      </c>
      <c r="K167" s="284">
        <v>0</v>
      </c>
      <c r="L167" s="291">
        <f t="shared" si="18"/>
        <v>0</v>
      </c>
      <c r="M167" s="289">
        <f t="shared" si="16"/>
        <v>0</v>
      </c>
    </row>
    <row r="168" spans="1:13" x14ac:dyDescent="0.2">
      <c r="A168" s="150">
        <v>1960</v>
      </c>
      <c r="B168" s="276" t="s">
        <v>141</v>
      </c>
      <c r="C168" s="277">
        <v>201614.30999999997</v>
      </c>
      <c r="D168" s="278"/>
      <c r="E168" s="278">
        <v>25626.859999999986</v>
      </c>
      <c r="F168" s="279">
        <v>0</v>
      </c>
      <c r="G168" s="280">
        <f t="shared" si="15"/>
        <v>214427.73999999996</v>
      </c>
      <c r="H168" s="290">
        <v>5.6843598497934487</v>
      </c>
      <c r="I168" s="288">
        <f t="shared" si="17"/>
        <v>0.1759213044959384</v>
      </c>
      <c r="J168" s="283">
        <f t="shared" si="14"/>
        <v>37722.407740915907</v>
      </c>
      <c r="K168" s="284">
        <v>37715.400000000023</v>
      </c>
      <c r="L168" s="291">
        <f t="shared" si="18"/>
        <v>-7.0077409158839146</v>
      </c>
      <c r="M168" s="292">
        <f t="shared" si="16"/>
        <v>-1.8580582244610716E-4</v>
      </c>
    </row>
    <row r="169" spans="1:13" x14ac:dyDescent="0.2">
      <c r="A169" s="150">
        <v>1970</v>
      </c>
      <c r="B169" s="293" t="s">
        <v>142</v>
      </c>
      <c r="C169" s="277">
        <v>0</v>
      </c>
      <c r="D169" s="278"/>
      <c r="E169" s="278">
        <v>0</v>
      </c>
      <c r="F169" s="279">
        <v>0</v>
      </c>
      <c r="G169" s="280">
        <f t="shared" si="15"/>
        <v>0</v>
      </c>
      <c r="H169" s="290"/>
      <c r="I169" s="288">
        <f t="shared" si="17"/>
        <v>0</v>
      </c>
      <c r="J169" s="283">
        <f t="shared" si="14"/>
        <v>0</v>
      </c>
      <c r="K169" s="284">
        <v>0</v>
      </c>
      <c r="L169" s="291">
        <f t="shared" si="18"/>
        <v>0</v>
      </c>
      <c r="M169" s="292">
        <f t="shared" si="16"/>
        <v>0</v>
      </c>
    </row>
    <row r="170" spans="1:13" x14ac:dyDescent="0.2">
      <c r="A170" s="150">
        <v>1975</v>
      </c>
      <c r="B170" s="276" t="s">
        <v>143</v>
      </c>
      <c r="C170" s="277">
        <v>0</v>
      </c>
      <c r="D170" s="278"/>
      <c r="E170" s="278">
        <v>0</v>
      </c>
      <c r="F170" s="279">
        <v>0</v>
      </c>
      <c r="G170" s="280">
        <f t="shared" si="15"/>
        <v>0</v>
      </c>
      <c r="H170" s="290"/>
      <c r="I170" s="288">
        <f t="shared" si="17"/>
        <v>0</v>
      </c>
      <c r="J170" s="283">
        <f t="shared" si="14"/>
        <v>0</v>
      </c>
      <c r="K170" s="284">
        <v>0</v>
      </c>
      <c r="L170" s="291">
        <f t="shared" si="18"/>
        <v>0</v>
      </c>
      <c r="M170" s="289">
        <f t="shared" si="16"/>
        <v>0</v>
      </c>
    </row>
    <row r="171" spans="1:13" x14ac:dyDescent="0.2">
      <c r="A171" s="150">
        <v>1980</v>
      </c>
      <c r="B171" s="276" t="s">
        <v>144</v>
      </c>
      <c r="C171" s="277">
        <v>4353812.9389999984</v>
      </c>
      <c r="D171" s="278"/>
      <c r="E171" s="278">
        <v>531740.69999999902</v>
      </c>
      <c r="F171" s="279">
        <v>0</v>
      </c>
      <c r="G171" s="280">
        <f t="shared" si="15"/>
        <v>4619683.288999998</v>
      </c>
      <c r="H171" s="290">
        <v>10.336344293992729</v>
      </c>
      <c r="I171" s="288">
        <f t="shared" si="17"/>
        <v>9.6746003379664838E-2</v>
      </c>
      <c r="J171" s="283">
        <f t="shared" si="14"/>
        <v>446935.89509057498</v>
      </c>
      <c r="K171" s="284">
        <v>446847.12</v>
      </c>
      <c r="L171" s="291">
        <f t="shared" si="18"/>
        <v>-88.77509057498537</v>
      </c>
      <c r="M171" s="289">
        <f t="shared" si="16"/>
        <v>-1.9866994012400789E-4</v>
      </c>
    </row>
    <row r="172" spans="1:13" x14ac:dyDescent="0.2">
      <c r="A172" s="150">
        <v>1985</v>
      </c>
      <c r="B172" s="276" t="s">
        <v>145</v>
      </c>
      <c r="C172" s="277">
        <v>0</v>
      </c>
      <c r="D172" s="278"/>
      <c r="E172" s="278">
        <v>0</v>
      </c>
      <c r="F172" s="279">
        <v>0</v>
      </c>
      <c r="G172" s="280">
        <f t="shared" si="15"/>
        <v>0</v>
      </c>
      <c r="H172" s="290"/>
      <c r="I172" s="288">
        <f t="shared" si="17"/>
        <v>0</v>
      </c>
      <c r="J172" s="283">
        <f t="shared" si="14"/>
        <v>0</v>
      </c>
      <c r="K172" s="284">
        <v>0</v>
      </c>
      <c r="L172" s="291">
        <f t="shared" si="18"/>
        <v>0</v>
      </c>
      <c r="M172" s="292">
        <f t="shared" si="16"/>
        <v>0</v>
      </c>
    </row>
    <row r="173" spans="1:13" x14ac:dyDescent="0.2">
      <c r="A173" s="150">
        <v>1990</v>
      </c>
      <c r="B173" s="235" t="s">
        <v>146</v>
      </c>
      <c r="C173" s="277">
        <v>0</v>
      </c>
      <c r="D173" s="278"/>
      <c r="E173" s="278">
        <v>0</v>
      </c>
      <c r="F173" s="279">
        <v>0</v>
      </c>
      <c r="G173" s="280">
        <f t="shared" si="15"/>
        <v>0</v>
      </c>
      <c r="H173" s="290"/>
      <c r="I173" s="288">
        <f t="shared" si="17"/>
        <v>0</v>
      </c>
      <c r="J173" s="283">
        <f t="shared" si="14"/>
        <v>0</v>
      </c>
      <c r="K173" s="284">
        <v>0</v>
      </c>
      <c r="L173" s="291">
        <f t="shared" si="18"/>
        <v>0</v>
      </c>
      <c r="M173" s="289">
        <f t="shared" si="16"/>
        <v>0</v>
      </c>
    </row>
    <row r="174" spans="1:13" x14ac:dyDescent="0.2">
      <c r="A174" s="150">
        <v>1995</v>
      </c>
      <c r="B174" s="276" t="s">
        <v>147</v>
      </c>
      <c r="C174" s="277">
        <v>0</v>
      </c>
      <c r="D174" s="278"/>
      <c r="E174" s="278">
        <v>0</v>
      </c>
      <c r="F174" s="279">
        <v>0</v>
      </c>
      <c r="G174" s="280">
        <f t="shared" si="15"/>
        <v>0</v>
      </c>
      <c r="H174" s="290"/>
      <c r="I174" s="294">
        <f t="shared" si="17"/>
        <v>0</v>
      </c>
      <c r="J174" s="295">
        <f t="shared" si="14"/>
        <v>0</v>
      </c>
      <c r="K174" s="284">
        <v>0</v>
      </c>
      <c r="L174" s="291">
        <f t="shared" si="18"/>
        <v>0</v>
      </c>
      <c r="M174" s="289">
        <f t="shared" si="16"/>
        <v>0</v>
      </c>
    </row>
    <row r="175" spans="1:13" x14ac:dyDescent="0.2">
      <c r="A175" s="150">
        <v>2075</v>
      </c>
      <c r="B175" s="276" t="s">
        <v>148</v>
      </c>
      <c r="C175" s="277">
        <v>839960.55999999982</v>
      </c>
      <c r="D175" s="278"/>
      <c r="E175" s="278">
        <v>0.43</v>
      </c>
      <c r="F175" s="279">
        <v>0</v>
      </c>
      <c r="G175" s="280">
        <f t="shared" si="15"/>
        <v>839960.77499999979</v>
      </c>
      <c r="H175" s="290">
        <v>14.007670021705071</v>
      </c>
      <c r="I175" s="294">
        <f t="shared" si="17"/>
        <v>7.1389460092255649E-2</v>
      </c>
      <c r="J175" s="295">
        <f t="shared" si="14"/>
        <v>59964.346225922614</v>
      </c>
      <c r="K175" s="284">
        <v>57868.360000000044</v>
      </c>
      <c r="L175" s="291">
        <f t="shared" si="18"/>
        <v>-2095.9862259225702</v>
      </c>
      <c r="M175" s="289">
        <f t="shared" si="16"/>
        <v>-3.6219900234300204E-2</v>
      </c>
    </row>
    <row r="176" spans="1:13" x14ac:dyDescent="0.2">
      <c r="A176" s="150">
        <v>2440</v>
      </c>
      <c r="B176" s="151" t="s">
        <v>166</v>
      </c>
      <c r="C176" s="277">
        <v>-87638215.799999997</v>
      </c>
      <c r="D176" s="278"/>
      <c r="E176" s="278">
        <v>-12068411.39000001</v>
      </c>
      <c r="F176" s="279">
        <v>-429497.69</v>
      </c>
      <c r="G176" s="280">
        <f t="shared" si="15"/>
        <v>-93242923.805000007</v>
      </c>
      <c r="H176" s="290">
        <v>37.388305047580239</v>
      </c>
      <c r="I176" s="294">
        <f t="shared" si="17"/>
        <v>2.6746331472566172E-2</v>
      </c>
      <c r="J176" s="295">
        <f t="shared" si="14"/>
        <v>-2493906.1475597611</v>
      </c>
      <c r="K176" s="284">
        <v>-2506465.5799999996</v>
      </c>
      <c r="L176" s="291">
        <f t="shared" si="18"/>
        <v>-12559.432440238539</v>
      </c>
      <c r="M176" s="289">
        <f t="shared" si="16"/>
        <v>5.0108138489731585E-3</v>
      </c>
    </row>
    <row r="177" spans="1:17" ht="13.5" thickBot="1" x14ac:dyDescent="0.25">
      <c r="A177" s="150">
        <v>2005</v>
      </c>
      <c r="B177" s="276" t="s">
        <v>329</v>
      </c>
      <c r="C177" s="277">
        <v>727722.13000000012</v>
      </c>
      <c r="D177" s="278"/>
      <c r="E177" s="278">
        <v>0</v>
      </c>
      <c r="F177" s="279">
        <v>0</v>
      </c>
      <c r="G177" s="280">
        <f t="shared" si="15"/>
        <v>727722.13000000012</v>
      </c>
      <c r="H177" s="297">
        <v>3.3844946615733646</v>
      </c>
      <c r="I177" s="298">
        <f t="shared" si="17"/>
        <v>0.29546508415384104</v>
      </c>
      <c r="J177" s="299">
        <f t="shared" si="14"/>
        <v>215016.48038106249</v>
      </c>
      <c r="K177" s="284">
        <v>216734.99</v>
      </c>
      <c r="L177" s="300">
        <f t="shared" si="18"/>
        <v>1718.5096189375035</v>
      </c>
      <c r="M177" s="301">
        <f t="shared" si="16"/>
        <v>7.9290825119539016E-3</v>
      </c>
    </row>
    <row r="178" spans="1:17" ht="13.5" thickBot="1" x14ac:dyDescent="0.25">
      <c r="A178" s="309"/>
      <c r="B178" s="310" t="s">
        <v>43</v>
      </c>
      <c r="C178" s="304">
        <f>SUM(C133:C177)</f>
        <v>382762356.32359987</v>
      </c>
      <c r="D178" s="304">
        <f t="shared" ref="D178:F178" si="19">SUM(D133:D177)</f>
        <v>0</v>
      </c>
      <c r="E178" s="304">
        <f t="shared" si="19"/>
        <v>38521572.399999976</v>
      </c>
      <c r="F178" s="304">
        <f t="shared" si="19"/>
        <v>1355515.2</v>
      </c>
      <c r="G178" s="304">
        <f>SUM(G135:G177)</f>
        <v>397582538.56359994</v>
      </c>
      <c r="H178" s="304"/>
      <c r="I178" s="305"/>
      <c r="J178" s="304">
        <f>SUM(J133:J177)</f>
        <v>20774721.500214245</v>
      </c>
      <c r="K178" s="304">
        <f t="shared" ref="K178:L178" si="20">SUM(K133:K177)</f>
        <v>20821914.050000001</v>
      </c>
      <c r="L178" s="306">
        <f t="shared" si="20"/>
        <v>47192.549785764022</v>
      </c>
      <c r="M178" s="307">
        <f t="shared" si="16"/>
        <v>2.2664847080071404E-3</v>
      </c>
    </row>
    <row r="179" spans="1:17" x14ac:dyDescent="0.2">
      <c r="C179" s="172"/>
      <c r="E179" s="172"/>
      <c r="F179" s="172"/>
      <c r="K179" s="172"/>
    </row>
    <row r="180" spans="1:17" ht="13.5" thickBot="1" x14ac:dyDescent="0.25"/>
    <row r="181" spans="1:17" ht="18" customHeight="1" thickBot="1" x14ac:dyDescent="0.3">
      <c r="A181" s="253"/>
      <c r="B181" s="253"/>
      <c r="C181" s="253"/>
      <c r="D181" s="253"/>
      <c r="E181" s="254" t="s">
        <v>300</v>
      </c>
      <c r="F181" s="259">
        <v>2023</v>
      </c>
      <c r="G181" s="253"/>
      <c r="H181" s="253"/>
      <c r="I181" s="253"/>
      <c r="J181" s="253"/>
      <c r="K181" s="253"/>
    </row>
    <row r="182" spans="1:17" ht="13.5" thickBot="1" x14ac:dyDescent="0.25">
      <c r="A182" s="260"/>
      <c r="B182" s="260"/>
      <c r="C182" s="260"/>
      <c r="D182" s="260"/>
      <c r="E182" s="260"/>
      <c r="F182" s="260"/>
      <c r="G182" s="260"/>
      <c r="H182" s="260"/>
      <c r="I182" s="260"/>
      <c r="J182" s="260"/>
      <c r="K182" s="260"/>
      <c r="Q182" s="123">
        <v>2017</v>
      </c>
    </row>
    <row r="183" spans="1:17" ht="19.149999999999999" customHeight="1" thickBot="1" x14ac:dyDescent="0.3">
      <c r="A183" s="253"/>
      <c r="B183" s="253"/>
      <c r="C183" s="457" t="s">
        <v>301</v>
      </c>
      <c r="D183" s="458"/>
      <c r="E183" s="458"/>
      <c r="F183" s="458"/>
      <c r="G183" s="459" t="s">
        <v>302</v>
      </c>
      <c r="H183" s="460"/>
      <c r="I183" s="261" t="s">
        <v>303</v>
      </c>
      <c r="J183" s="253"/>
      <c r="K183" s="253"/>
      <c r="Q183" s="123">
        <v>2018</v>
      </c>
    </row>
    <row r="184" spans="1:17" ht="77.25" customHeight="1" thickBot="1" x14ac:dyDescent="0.25">
      <c r="A184" s="453" t="s">
        <v>304</v>
      </c>
      <c r="B184" s="455" t="s">
        <v>305</v>
      </c>
      <c r="C184" s="262" t="s">
        <v>306</v>
      </c>
      <c r="D184" s="263" t="s">
        <v>307</v>
      </c>
      <c r="E184" s="264" t="s">
        <v>308</v>
      </c>
      <c r="F184" s="265" t="s">
        <v>309</v>
      </c>
      <c r="G184" s="265" t="s">
        <v>310</v>
      </c>
      <c r="H184" s="262" t="s">
        <v>311</v>
      </c>
      <c r="I184" s="266" t="s">
        <v>312</v>
      </c>
      <c r="J184" s="267" t="s">
        <v>313</v>
      </c>
      <c r="K184" s="264" t="s">
        <v>314</v>
      </c>
      <c r="L184" s="266" t="s">
        <v>315</v>
      </c>
      <c r="M184" s="266" t="s">
        <v>316</v>
      </c>
    </row>
    <row r="185" spans="1:17" ht="13.5" thickBot="1" x14ac:dyDescent="0.25">
      <c r="A185" s="454"/>
      <c r="B185" s="456"/>
      <c r="C185" s="268" t="s">
        <v>317</v>
      </c>
      <c r="D185" s="269" t="s">
        <v>318</v>
      </c>
      <c r="E185" s="270" t="s">
        <v>319</v>
      </c>
      <c r="F185" s="270" t="s">
        <v>320</v>
      </c>
      <c r="G185" s="271" t="s">
        <v>321</v>
      </c>
      <c r="H185" s="272" t="s">
        <v>322</v>
      </c>
      <c r="I185" s="270" t="s">
        <v>323</v>
      </c>
      <c r="J185" s="268" t="s">
        <v>324</v>
      </c>
      <c r="K185" s="273" t="s">
        <v>325</v>
      </c>
      <c r="L185" s="271" t="s">
        <v>326</v>
      </c>
      <c r="M185" s="274" t="s">
        <v>327</v>
      </c>
    </row>
    <row r="186" spans="1:17" ht="13.5" thickBot="1" x14ac:dyDescent="0.25">
      <c r="A186" s="275">
        <v>1609</v>
      </c>
      <c r="B186" s="276" t="s">
        <v>108</v>
      </c>
      <c r="C186" s="277">
        <v>1723765.75</v>
      </c>
      <c r="D186" s="278"/>
      <c r="E186" s="278">
        <v>0</v>
      </c>
      <c r="F186" s="279">
        <v>0</v>
      </c>
      <c r="G186" s="280">
        <f>C186-D186+(E186*0.5)-F186</f>
        <v>1723765.75</v>
      </c>
      <c r="H186" s="281">
        <v>10.495890410958904</v>
      </c>
      <c r="I186" s="282">
        <f>IF(H186=0,0,1/H186)</f>
        <v>9.5275385016966849E-2</v>
      </c>
      <c r="J186" s="283">
        <f t="shared" ref="J186:J229" si="21">IF(H186=0,0,+G186/H186)</f>
        <v>164232.44551031064</v>
      </c>
      <c r="K186" s="284">
        <v>164103.93999999994</v>
      </c>
      <c r="L186" s="285">
        <f>IF(ISERROR(+K186-J186), 0, +K186-J186)</f>
        <v>-128.50551031070063</v>
      </c>
      <c r="M186" s="286">
        <f>IFERROR(L186/K186,0)</f>
        <v>-7.8307388787070362E-4</v>
      </c>
    </row>
    <row r="187" spans="1:17" x14ac:dyDescent="0.2">
      <c r="A187" s="275">
        <v>1610</v>
      </c>
      <c r="B187" s="287" t="s">
        <v>328</v>
      </c>
      <c r="C187" s="277">
        <v>894428.99000000022</v>
      </c>
      <c r="D187" s="278"/>
      <c r="E187" s="278">
        <v>310063.09999999963</v>
      </c>
      <c r="F187" s="279">
        <v>0</v>
      </c>
      <c r="G187" s="280">
        <f>C187-D187+(E187*0.5)-F187</f>
        <v>1049460.54</v>
      </c>
      <c r="H187" s="281">
        <v>2.9995434123083782</v>
      </c>
      <c r="I187" s="282">
        <f>IF(H187=0,0,1/H187)</f>
        <v>0.33338407302144146</v>
      </c>
      <c r="J187" s="283">
        <f t="shared" si="21"/>
        <v>349873.4293004814</v>
      </c>
      <c r="K187" s="284">
        <v>350134.25999999978</v>
      </c>
      <c r="L187" s="285">
        <f>IF(ISERROR(+K187-J187), 0, +K187-J187)</f>
        <v>260.83069951838115</v>
      </c>
      <c r="M187" s="286">
        <f>IFERROR(L187/K187,0)</f>
        <v>7.4494480922369986E-4</v>
      </c>
    </row>
    <row r="188" spans="1:17" x14ac:dyDescent="0.2">
      <c r="A188" s="234">
        <v>1611</v>
      </c>
      <c r="B188" s="287" t="s">
        <v>111</v>
      </c>
      <c r="C188" s="277">
        <v>3452776.1400000006</v>
      </c>
      <c r="D188" s="278"/>
      <c r="E188" s="278">
        <v>1843017.0499999998</v>
      </c>
      <c r="F188" s="279">
        <v>0</v>
      </c>
      <c r="G188" s="280">
        <f t="shared" ref="G188:G229" si="22">C188-D188+(E188*0.5)-F188</f>
        <v>4374284.665000001</v>
      </c>
      <c r="H188" s="281">
        <v>2.2314182333399608</v>
      </c>
      <c r="I188" s="288">
        <f>IF(H188=0,0,1/H188)</f>
        <v>0.44814548212381128</v>
      </c>
      <c r="J188" s="283">
        <f t="shared" si="21"/>
        <v>1960315.9101432199</v>
      </c>
      <c r="K188" s="284">
        <v>1952593.5799999991</v>
      </c>
      <c r="L188" s="285">
        <f>IF(ISERROR(+K188-J188), 0, +K188-J188)</f>
        <v>-7722.3301432207227</v>
      </c>
      <c r="M188" s="289">
        <f t="shared" ref="M188:M230" si="23">IFERROR(L188/K188,0)</f>
        <v>-3.954909112842994E-3</v>
      </c>
    </row>
    <row r="189" spans="1:17" x14ac:dyDescent="0.2">
      <c r="A189" s="150">
        <v>1612</v>
      </c>
      <c r="B189" s="276" t="s">
        <v>112</v>
      </c>
      <c r="C189" s="277">
        <v>357180.87000000034</v>
      </c>
      <c r="D189" s="278"/>
      <c r="E189" s="278">
        <v>0</v>
      </c>
      <c r="F189" s="279">
        <v>0</v>
      </c>
      <c r="G189" s="280">
        <f t="shared" si="22"/>
        <v>357180.87000000034</v>
      </c>
      <c r="H189" s="290">
        <v>29.013861795970506</v>
      </c>
      <c r="I189" s="288">
        <f t="shared" ref="I189:I229" si="24">IF(H189=0,0,1/H189)</f>
        <v>3.446628397943502E-2</v>
      </c>
      <c r="J189" s="283">
        <f t="shared" si="21"/>
        <v>12310.697297441675</v>
      </c>
      <c r="K189" s="284">
        <v>12301.75</v>
      </c>
      <c r="L189" s="291">
        <f t="shared" ref="L189:L229" si="25">IF(ISERROR(+K189-J189), 0, +K189-J189)</f>
        <v>-8.9472974416748912</v>
      </c>
      <c r="M189" s="289">
        <f t="shared" si="23"/>
        <v>-7.2731907587740693E-4</v>
      </c>
    </row>
    <row r="190" spans="1:17" x14ac:dyDescent="0.2">
      <c r="A190" s="150">
        <v>1805</v>
      </c>
      <c r="B190" s="276" t="s">
        <v>113</v>
      </c>
      <c r="C190" s="277">
        <v>994989.53</v>
      </c>
      <c r="D190" s="278"/>
      <c r="E190" s="278">
        <v>195630.35999999987</v>
      </c>
      <c r="F190" s="279">
        <v>0</v>
      </c>
      <c r="G190" s="280">
        <f t="shared" si="22"/>
        <v>1092804.71</v>
      </c>
      <c r="H190" s="290"/>
      <c r="I190" s="288">
        <f t="shared" si="24"/>
        <v>0</v>
      </c>
      <c r="J190" s="283">
        <f t="shared" si="21"/>
        <v>0</v>
      </c>
      <c r="K190" s="284">
        <v>0</v>
      </c>
      <c r="L190" s="291">
        <f t="shared" si="25"/>
        <v>0</v>
      </c>
      <c r="M190" s="289">
        <f t="shared" si="23"/>
        <v>0</v>
      </c>
    </row>
    <row r="191" spans="1:17" x14ac:dyDescent="0.2">
      <c r="A191" s="150">
        <v>1808</v>
      </c>
      <c r="B191" s="276" t="s">
        <v>114</v>
      </c>
      <c r="C191" s="277">
        <v>207154.0399999998</v>
      </c>
      <c r="D191" s="278"/>
      <c r="E191" s="278">
        <v>0</v>
      </c>
      <c r="F191" s="279">
        <v>0</v>
      </c>
      <c r="G191" s="280">
        <f t="shared" si="22"/>
        <v>207154.0399999998</v>
      </c>
      <c r="H191" s="290">
        <v>21.623455069497822</v>
      </c>
      <c r="I191" s="288">
        <f t="shared" si="24"/>
        <v>4.6246078472935902E-2</v>
      </c>
      <c r="J191" s="283">
        <f t="shared" si="21"/>
        <v>9580.0619898256937</v>
      </c>
      <c r="K191" s="284">
        <v>9573.8200000000652</v>
      </c>
      <c r="L191" s="291">
        <f t="shared" si="25"/>
        <v>-6.2419898256284796</v>
      </c>
      <c r="M191" s="289">
        <f t="shared" si="23"/>
        <v>-6.5198529172560559E-4</v>
      </c>
    </row>
    <row r="192" spans="1:17" x14ac:dyDescent="0.2">
      <c r="A192" s="150">
        <v>1810</v>
      </c>
      <c r="B192" s="276" t="s">
        <v>115</v>
      </c>
      <c r="C192" s="277">
        <v>0</v>
      </c>
      <c r="D192" s="278"/>
      <c r="E192" s="278">
        <v>0</v>
      </c>
      <c r="F192" s="279">
        <v>0</v>
      </c>
      <c r="G192" s="280">
        <f t="shared" si="22"/>
        <v>0</v>
      </c>
      <c r="H192" s="290"/>
      <c r="I192" s="288">
        <f t="shared" si="24"/>
        <v>0</v>
      </c>
      <c r="J192" s="283">
        <f t="shared" si="21"/>
        <v>0</v>
      </c>
      <c r="K192" s="284">
        <v>0</v>
      </c>
      <c r="L192" s="291">
        <f t="shared" si="25"/>
        <v>0</v>
      </c>
      <c r="M192" s="289">
        <f t="shared" si="23"/>
        <v>0</v>
      </c>
    </row>
    <row r="193" spans="1:13" x14ac:dyDescent="0.2">
      <c r="A193" s="150">
        <v>1815</v>
      </c>
      <c r="B193" s="276" t="s">
        <v>116</v>
      </c>
      <c r="C193" s="277">
        <v>170891.68999999997</v>
      </c>
      <c r="D193" s="278"/>
      <c r="E193" s="278">
        <v>0</v>
      </c>
      <c r="F193" s="279">
        <v>0</v>
      </c>
      <c r="G193" s="280">
        <f t="shared" si="22"/>
        <v>170891.68999999997</v>
      </c>
      <c r="H193" s="290">
        <v>30.860056676840099</v>
      </c>
      <c r="I193" s="288">
        <f t="shared" si="24"/>
        <v>3.2404347486195043E-2</v>
      </c>
      <c r="J193" s="283">
        <f t="shared" si="21"/>
        <v>5537.6337052631216</v>
      </c>
      <c r="K193" s="284">
        <v>5533.64</v>
      </c>
      <c r="L193" s="291">
        <f t="shared" si="25"/>
        <v>-3.9937052631212282</v>
      </c>
      <c r="M193" s="289">
        <f t="shared" si="23"/>
        <v>-7.2171396460941222E-4</v>
      </c>
    </row>
    <row r="194" spans="1:13" x14ac:dyDescent="0.2">
      <c r="A194" s="150">
        <v>1820</v>
      </c>
      <c r="B194" s="276" t="s">
        <v>117</v>
      </c>
      <c r="C194" s="277">
        <v>54325594.838100016</v>
      </c>
      <c r="D194" s="278"/>
      <c r="E194" s="278">
        <v>5073036.55</v>
      </c>
      <c r="F194" s="279">
        <v>27387.040000000008</v>
      </c>
      <c r="G194" s="280">
        <f t="shared" si="22"/>
        <v>56834726.073100016</v>
      </c>
      <c r="H194" s="290">
        <v>27.8660287560255</v>
      </c>
      <c r="I194" s="288">
        <f t="shared" si="24"/>
        <v>3.58859889493141E-2</v>
      </c>
      <c r="J194" s="283">
        <f t="shared" si="21"/>
        <v>2039570.3517965612</v>
      </c>
      <c r="K194" s="284">
        <v>2054117.6300000001</v>
      </c>
      <c r="L194" s="291">
        <f t="shared" si="25"/>
        <v>14547.278203438967</v>
      </c>
      <c r="M194" s="289">
        <f t="shared" si="23"/>
        <v>7.0820083480024297E-3</v>
      </c>
    </row>
    <row r="195" spans="1:13" x14ac:dyDescent="0.2">
      <c r="A195" s="150">
        <v>1825</v>
      </c>
      <c r="B195" s="276" t="s">
        <v>118</v>
      </c>
      <c r="C195" s="277">
        <v>0</v>
      </c>
      <c r="D195" s="278"/>
      <c r="E195" s="278">
        <v>0</v>
      </c>
      <c r="F195" s="279">
        <v>0</v>
      </c>
      <c r="G195" s="280">
        <f t="shared" si="22"/>
        <v>0</v>
      </c>
      <c r="H195" s="290"/>
      <c r="I195" s="288">
        <f t="shared" si="24"/>
        <v>0</v>
      </c>
      <c r="J195" s="283">
        <f t="shared" si="21"/>
        <v>0</v>
      </c>
      <c r="K195" s="284">
        <v>0</v>
      </c>
      <c r="L195" s="291">
        <f t="shared" si="25"/>
        <v>0</v>
      </c>
      <c r="M195" s="289">
        <f t="shared" si="23"/>
        <v>0</v>
      </c>
    </row>
    <row r="196" spans="1:13" x14ac:dyDescent="0.2">
      <c r="A196" s="150">
        <v>1830</v>
      </c>
      <c r="B196" s="276" t="s">
        <v>119</v>
      </c>
      <c r="C196" s="277">
        <v>96694135.910000011</v>
      </c>
      <c r="D196" s="278"/>
      <c r="E196" s="278">
        <v>11978595.619999999</v>
      </c>
      <c r="F196" s="279">
        <v>155639.72000000006</v>
      </c>
      <c r="G196" s="280">
        <f t="shared" si="22"/>
        <v>102527794.00000001</v>
      </c>
      <c r="H196" s="290">
        <v>32.605851327425789</v>
      </c>
      <c r="I196" s="288">
        <f t="shared" si="24"/>
        <v>3.066934182941787E-2</v>
      </c>
      <c r="J196" s="283">
        <f t="shared" si="21"/>
        <v>3144459.961202139</v>
      </c>
      <c r="K196" s="284">
        <v>3148074.41</v>
      </c>
      <c r="L196" s="291">
        <f t="shared" si="25"/>
        <v>3614.4487978611141</v>
      </c>
      <c r="M196" s="292">
        <f t="shared" si="23"/>
        <v>1.1481459225930793E-3</v>
      </c>
    </row>
    <row r="197" spans="1:13" x14ac:dyDescent="0.2">
      <c r="A197" s="150">
        <v>1835</v>
      </c>
      <c r="B197" s="276" t="s">
        <v>120</v>
      </c>
      <c r="C197" s="277">
        <v>65592556.857499987</v>
      </c>
      <c r="D197" s="278"/>
      <c r="E197" s="278">
        <v>4949462.6899999995</v>
      </c>
      <c r="F197" s="279">
        <v>117593.23999999993</v>
      </c>
      <c r="G197" s="280">
        <f t="shared" si="22"/>
        <v>67949694.962499991</v>
      </c>
      <c r="H197" s="290">
        <v>32.987685184885947</v>
      </c>
      <c r="I197" s="288">
        <f t="shared" si="24"/>
        <v>3.0314342894789494E-2</v>
      </c>
      <c r="J197" s="283">
        <f t="shared" si="21"/>
        <v>2059850.3526895752</v>
      </c>
      <c r="K197" s="284">
        <v>2068736.86</v>
      </c>
      <c r="L197" s="291">
        <f t="shared" si="25"/>
        <v>8886.5073104249313</v>
      </c>
      <c r="M197" s="289">
        <f t="shared" si="23"/>
        <v>4.2956199419315853E-3</v>
      </c>
    </row>
    <row r="198" spans="1:13" x14ac:dyDescent="0.2">
      <c r="A198" s="150">
        <v>1840</v>
      </c>
      <c r="B198" s="276" t="s">
        <v>121</v>
      </c>
      <c r="C198" s="277">
        <v>50523832.613300003</v>
      </c>
      <c r="D198" s="278"/>
      <c r="E198" s="278">
        <v>6281379.5700000003</v>
      </c>
      <c r="F198" s="279">
        <v>256618.40000000005</v>
      </c>
      <c r="G198" s="280">
        <f t="shared" si="22"/>
        <v>53407903.998300008</v>
      </c>
      <c r="H198" s="290">
        <v>49.727715906341551</v>
      </c>
      <c r="I198" s="288">
        <f t="shared" si="24"/>
        <v>2.0109509994052924E-2</v>
      </c>
      <c r="J198" s="283">
        <f t="shared" si="21"/>
        <v>1074006.7792152332</v>
      </c>
      <c r="K198" s="284">
        <v>1075875.8</v>
      </c>
      <c r="L198" s="291">
        <f t="shared" si="25"/>
        <v>1869.0207847668789</v>
      </c>
      <c r="M198" s="292">
        <f t="shared" si="23"/>
        <v>1.7372086859532287E-3</v>
      </c>
    </row>
    <row r="199" spans="1:13" x14ac:dyDescent="0.2">
      <c r="A199" s="150">
        <v>1845</v>
      </c>
      <c r="B199" s="276" t="s">
        <v>122</v>
      </c>
      <c r="C199" s="277">
        <v>77892663.929899976</v>
      </c>
      <c r="D199" s="278"/>
      <c r="E199" s="278">
        <v>8257100.0100000007</v>
      </c>
      <c r="F199" s="279">
        <v>425733.52000000014</v>
      </c>
      <c r="G199" s="280">
        <f t="shared" si="22"/>
        <v>81595480.414899975</v>
      </c>
      <c r="H199" s="290">
        <v>30.548851341497386</v>
      </c>
      <c r="I199" s="288">
        <f t="shared" si="24"/>
        <v>3.2734455015059949E-2</v>
      </c>
      <c r="J199" s="283">
        <f t="shared" si="21"/>
        <v>2670983.5830737483</v>
      </c>
      <c r="K199" s="284">
        <v>2670669.81</v>
      </c>
      <c r="L199" s="291">
        <f t="shared" si="25"/>
        <v>-313.77307374821976</v>
      </c>
      <c r="M199" s="289">
        <f t="shared" si="23"/>
        <v>-1.1748853136892267E-4</v>
      </c>
    </row>
    <row r="200" spans="1:13" x14ac:dyDescent="0.2">
      <c r="A200" s="150">
        <v>1850</v>
      </c>
      <c r="B200" s="276" t="s">
        <v>123</v>
      </c>
      <c r="C200" s="277">
        <v>55700921.427400023</v>
      </c>
      <c r="D200" s="278"/>
      <c r="E200" s="278">
        <v>6732715.21</v>
      </c>
      <c r="F200" s="279">
        <v>241117.04999999987</v>
      </c>
      <c r="G200" s="280">
        <f t="shared" si="22"/>
        <v>58826161.982400022</v>
      </c>
      <c r="H200" s="290">
        <v>22.181682633976976</v>
      </c>
      <c r="I200" s="288">
        <f t="shared" si="24"/>
        <v>4.5082242700030417E-2</v>
      </c>
      <c r="J200" s="283">
        <f t="shared" si="21"/>
        <v>2652015.3116018604</v>
      </c>
      <c r="K200" s="284">
        <v>2659217.02</v>
      </c>
      <c r="L200" s="291">
        <f t="shared" si="25"/>
        <v>7201.7083981395699</v>
      </c>
      <c r="M200" s="289">
        <f t="shared" si="23"/>
        <v>2.7082063419327732E-3</v>
      </c>
    </row>
    <row r="201" spans="1:13" x14ac:dyDescent="0.2">
      <c r="A201" s="150">
        <v>1855</v>
      </c>
      <c r="B201" s="276" t="s">
        <v>124</v>
      </c>
      <c r="C201" s="277">
        <v>40562784.249400005</v>
      </c>
      <c r="D201" s="278"/>
      <c r="E201" s="278">
        <v>4235835</v>
      </c>
      <c r="F201" s="279">
        <v>0</v>
      </c>
      <c r="G201" s="280">
        <f t="shared" si="22"/>
        <v>42680701.749400005</v>
      </c>
      <c r="H201" s="290">
        <v>33.30179219244453</v>
      </c>
      <c r="I201" s="288">
        <f t="shared" si="24"/>
        <v>3.0028413913016933E-2</v>
      </c>
      <c r="J201" s="283">
        <f t="shared" si="21"/>
        <v>1281633.7782290091</v>
      </c>
      <c r="K201" s="284">
        <v>1281128.6600000001</v>
      </c>
      <c r="L201" s="291">
        <f t="shared" si="25"/>
        <v>-505.11822900897823</v>
      </c>
      <c r="M201" s="289">
        <f t="shared" si="23"/>
        <v>-3.9427595742724087E-4</v>
      </c>
    </row>
    <row r="202" spans="1:13" x14ac:dyDescent="0.2">
      <c r="A202" s="150">
        <v>1860</v>
      </c>
      <c r="B202" s="276" t="s">
        <v>125</v>
      </c>
      <c r="C202" s="277">
        <v>2043833.1100000003</v>
      </c>
      <c r="D202" s="278"/>
      <c r="E202" s="278">
        <v>209471.89999999994</v>
      </c>
      <c r="F202" s="279">
        <v>177.48999999999069</v>
      </c>
      <c r="G202" s="280">
        <f t="shared" si="22"/>
        <v>2148391.5700000003</v>
      </c>
      <c r="H202" s="290">
        <v>17.353479495696757</v>
      </c>
      <c r="I202" s="288">
        <f t="shared" si="24"/>
        <v>5.762533100338614E-2</v>
      </c>
      <c r="J202" s="283">
        <f t="shared" si="21"/>
        <v>123801.77534613444</v>
      </c>
      <c r="K202" s="284">
        <v>123221.77999999994</v>
      </c>
      <c r="L202" s="291">
        <f t="shared" si="25"/>
        <v>-579.99534613449941</v>
      </c>
      <c r="M202" s="289">
        <f t="shared" si="23"/>
        <v>-4.706922316286128E-3</v>
      </c>
    </row>
    <row r="203" spans="1:13" x14ac:dyDescent="0.2">
      <c r="A203" s="150">
        <v>1860</v>
      </c>
      <c r="B203" s="276" t="s">
        <v>126</v>
      </c>
      <c r="C203" s="277">
        <v>8231746.418999996</v>
      </c>
      <c r="D203" s="278"/>
      <c r="E203" s="278">
        <v>1393688.5199999993</v>
      </c>
      <c r="F203" s="279">
        <v>1187.5000000000291</v>
      </c>
      <c r="G203" s="280">
        <f t="shared" si="22"/>
        <v>8927403.1789999958</v>
      </c>
      <c r="H203" s="290">
        <v>4.5903698600719238</v>
      </c>
      <c r="I203" s="288">
        <f t="shared" si="24"/>
        <v>0.21784736970722696</v>
      </c>
      <c r="J203" s="283">
        <f t="shared" si="21"/>
        <v>1944811.3008610853</v>
      </c>
      <c r="K203" s="284">
        <v>1943852.1599999995</v>
      </c>
      <c r="L203" s="291">
        <f t="shared" si="25"/>
        <v>-959.14086108584888</v>
      </c>
      <c r="M203" s="289">
        <f t="shared" si="23"/>
        <v>-4.9342274110282601E-4</v>
      </c>
    </row>
    <row r="204" spans="1:13" x14ac:dyDescent="0.2">
      <c r="A204" s="150">
        <v>1865</v>
      </c>
      <c r="B204" s="276" t="s">
        <v>127</v>
      </c>
      <c r="C204" s="277">
        <v>0</v>
      </c>
      <c r="D204" s="278"/>
      <c r="E204" s="278">
        <v>0</v>
      </c>
      <c r="F204" s="279">
        <v>0</v>
      </c>
      <c r="G204" s="280">
        <f t="shared" si="22"/>
        <v>0</v>
      </c>
      <c r="H204" s="290"/>
      <c r="I204" s="288">
        <f t="shared" si="24"/>
        <v>0</v>
      </c>
      <c r="J204" s="283">
        <f t="shared" si="21"/>
        <v>0</v>
      </c>
      <c r="K204" s="284">
        <v>0</v>
      </c>
      <c r="L204" s="291">
        <f t="shared" si="25"/>
        <v>0</v>
      </c>
      <c r="M204" s="289">
        <f t="shared" si="23"/>
        <v>0</v>
      </c>
    </row>
    <row r="205" spans="1:13" x14ac:dyDescent="0.2">
      <c r="A205" s="150">
        <v>1905</v>
      </c>
      <c r="B205" s="276" t="s">
        <v>113</v>
      </c>
      <c r="C205" s="277">
        <v>1195031.2999999998</v>
      </c>
      <c r="D205" s="278"/>
      <c r="E205" s="278">
        <v>0</v>
      </c>
      <c r="F205" s="279">
        <v>0</v>
      </c>
      <c r="G205" s="280">
        <f t="shared" si="22"/>
        <v>1195031.2999999998</v>
      </c>
      <c r="H205" s="290"/>
      <c r="I205" s="288">
        <f t="shared" si="24"/>
        <v>0</v>
      </c>
      <c r="J205" s="283">
        <f t="shared" si="21"/>
        <v>0</v>
      </c>
      <c r="K205" s="284">
        <v>0</v>
      </c>
      <c r="L205" s="291">
        <f t="shared" si="25"/>
        <v>0</v>
      </c>
      <c r="M205" s="289">
        <f t="shared" si="23"/>
        <v>0</v>
      </c>
    </row>
    <row r="206" spans="1:13" x14ac:dyDescent="0.2">
      <c r="A206" s="150">
        <v>1908</v>
      </c>
      <c r="B206" s="276" t="s">
        <v>128</v>
      </c>
      <c r="C206" s="277">
        <v>18764387.18</v>
      </c>
      <c r="D206" s="278"/>
      <c r="E206" s="278">
        <v>1290285.3000000021</v>
      </c>
      <c r="F206" s="279">
        <v>0</v>
      </c>
      <c r="G206" s="280">
        <f t="shared" si="22"/>
        <v>19409529.830000002</v>
      </c>
      <c r="H206" s="290">
        <v>14.572799246190851</v>
      </c>
      <c r="I206" s="288">
        <f t="shared" si="24"/>
        <v>6.8620996083603336E-2</v>
      </c>
      <c r="J206" s="283">
        <f t="shared" si="21"/>
        <v>1331901.2704490123</v>
      </c>
      <c r="K206" s="284">
        <v>1331191.7999999996</v>
      </c>
      <c r="L206" s="291">
        <f t="shared" si="25"/>
        <v>-709.47044901270419</v>
      </c>
      <c r="M206" s="289">
        <f t="shared" si="23"/>
        <v>-5.3295884861423004E-4</v>
      </c>
    </row>
    <row r="207" spans="1:13" x14ac:dyDescent="0.2">
      <c r="A207" s="150">
        <v>1910</v>
      </c>
      <c r="B207" s="276" t="s">
        <v>115</v>
      </c>
      <c r="C207" s="277">
        <v>0</v>
      </c>
      <c r="D207" s="278"/>
      <c r="E207" s="278">
        <v>0</v>
      </c>
      <c r="F207" s="279">
        <v>0</v>
      </c>
      <c r="G207" s="280">
        <f t="shared" si="22"/>
        <v>0</v>
      </c>
      <c r="H207" s="290"/>
      <c r="I207" s="288">
        <f t="shared" si="24"/>
        <v>0</v>
      </c>
      <c r="J207" s="283">
        <f t="shared" si="21"/>
        <v>0</v>
      </c>
      <c r="K207" s="284">
        <v>0</v>
      </c>
      <c r="L207" s="291">
        <f t="shared" si="25"/>
        <v>0</v>
      </c>
      <c r="M207" s="289">
        <f t="shared" si="23"/>
        <v>0</v>
      </c>
    </row>
    <row r="208" spans="1:13" x14ac:dyDescent="0.2">
      <c r="A208" s="150">
        <v>1915</v>
      </c>
      <c r="B208" s="276" t="s">
        <v>129</v>
      </c>
      <c r="C208" s="277">
        <v>662421.6799999997</v>
      </c>
      <c r="D208" s="278"/>
      <c r="E208" s="278">
        <v>68714.520000000019</v>
      </c>
      <c r="F208" s="279">
        <v>0</v>
      </c>
      <c r="G208" s="280">
        <f t="shared" si="22"/>
        <v>696778.93999999971</v>
      </c>
      <c r="H208" s="290">
        <v>5.4683588511021703</v>
      </c>
      <c r="I208" s="288">
        <f t="shared" si="24"/>
        <v>0.18287022253458107</v>
      </c>
      <c r="J208" s="283">
        <f t="shared" si="21"/>
        <v>127420.11981520946</v>
      </c>
      <c r="K208" s="284">
        <v>127361.62000000011</v>
      </c>
      <c r="L208" s="291">
        <f t="shared" si="25"/>
        <v>-58.499815209346707</v>
      </c>
      <c r="M208" s="289">
        <f t="shared" si="23"/>
        <v>-4.5932059602686159E-4</v>
      </c>
    </row>
    <row r="209" spans="1:13" x14ac:dyDescent="0.2">
      <c r="A209" s="150">
        <v>1915</v>
      </c>
      <c r="B209" s="276" t="s">
        <v>130</v>
      </c>
      <c r="C209" s="277">
        <v>0</v>
      </c>
      <c r="D209" s="278"/>
      <c r="E209" s="278">
        <v>0</v>
      </c>
      <c r="F209" s="279">
        <v>0</v>
      </c>
      <c r="G209" s="280">
        <f t="shared" si="22"/>
        <v>0</v>
      </c>
      <c r="H209" s="290"/>
      <c r="I209" s="288">
        <f t="shared" si="24"/>
        <v>0</v>
      </c>
      <c r="J209" s="283">
        <f t="shared" si="21"/>
        <v>0</v>
      </c>
      <c r="K209" s="284">
        <v>0</v>
      </c>
      <c r="L209" s="291">
        <f t="shared" si="25"/>
        <v>0</v>
      </c>
      <c r="M209" s="289">
        <f t="shared" si="23"/>
        <v>0</v>
      </c>
    </row>
    <row r="210" spans="1:13" x14ac:dyDescent="0.2">
      <c r="A210" s="150">
        <v>1920</v>
      </c>
      <c r="B210" s="276" t="s">
        <v>131</v>
      </c>
      <c r="C210" s="277">
        <v>4436805.6400000015</v>
      </c>
      <c r="D210" s="278"/>
      <c r="E210" s="278">
        <v>1529499.6799999992</v>
      </c>
      <c r="F210" s="279">
        <v>0</v>
      </c>
      <c r="G210" s="280">
        <f t="shared" si="22"/>
        <v>5201555.4800000014</v>
      </c>
      <c r="H210" s="290">
        <v>3.346547773730713</v>
      </c>
      <c r="I210" s="288">
        <f t="shared" si="24"/>
        <v>0.298815396525837</v>
      </c>
      <c r="J210" s="283">
        <f t="shared" si="21"/>
        <v>1554304.8633073408</v>
      </c>
      <c r="K210" s="284">
        <v>1544745.5899999996</v>
      </c>
      <c r="L210" s="291">
        <f t="shared" si="25"/>
        <v>-9559.2733073411509</v>
      </c>
      <c r="M210" s="289">
        <f t="shared" si="23"/>
        <v>-6.1882509127869747E-3</v>
      </c>
    </row>
    <row r="211" spans="1:13" x14ac:dyDescent="0.2">
      <c r="A211" s="150">
        <v>1920</v>
      </c>
      <c r="B211" s="276" t="s">
        <v>132</v>
      </c>
      <c r="C211" s="277">
        <v>0</v>
      </c>
      <c r="D211" s="278"/>
      <c r="E211" s="278">
        <v>0</v>
      </c>
      <c r="F211" s="279">
        <v>0</v>
      </c>
      <c r="G211" s="280">
        <f t="shared" si="22"/>
        <v>0</v>
      </c>
      <c r="H211" s="290"/>
      <c r="I211" s="288">
        <f t="shared" si="24"/>
        <v>0</v>
      </c>
      <c r="J211" s="283">
        <f t="shared" si="21"/>
        <v>0</v>
      </c>
      <c r="K211" s="284">
        <v>0</v>
      </c>
      <c r="L211" s="291">
        <f t="shared" si="25"/>
        <v>0</v>
      </c>
      <c r="M211" s="292">
        <f t="shared" si="23"/>
        <v>0</v>
      </c>
    </row>
    <row r="212" spans="1:13" x14ac:dyDescent="0.2">
      <c r="A212" s="150">
        <v>1920</v>
      </c>
      <c r="B212" s="276" t="s">
        <v>133</v>
      </c>
      <c r="C212" s="277">
        <v>0</v>
      </c>
      <c r="D212" s="278"/>
      <c r="E212" s="278">
        <v>0</v>
      </c>
      <c r="F212" s="279">
        <v>0</v>
      </c>
      <c r="G212" s="280">
        <f t="shared" si="22"/>
        <v>0</v>
      </c>
      <c r="H212" s="290"/>
      <c r="I212" s="288">
        <f t="shared" si="24"/>
        <v>0</v>
      </c>
      <c r="J212" s="283">
        <f t="shared" si="21"/>
        <v>0</v>
      </c>
      <c r="K212" s="284">
        <v>0</v>
      </c>
      <c r="L212" s="291">
        <f t="shared" si="25"/>
        <v>0</v>
      </c>
      <c r="M212" s="292">
        <f t="shared" si="23"/>
        <v>0</v>
      </c>
    </row>
    <row r="213" spans="1:13" x14ac:dyDescent="0.2">
      <c r="A213" s="150">
        <v>1930</v>
      </c>
      <c r="B213" s="276" t="s">
        <v>134</v>
      </c>
      <c r="C213" s="277">
        <v>7427671.4800000004</v>
      </c>
      <c r="D213" s="278"/>
      <c r="E213" s="278">
        <v>1656251.7099999995</v>
      </c>
      <c r="F213" s="279">
        <v>35733.620000000024</v>
      </c>
      <c r="G213" s="280">
        <f t="shared" si="22"/>
        <v>8220063.7149999999</v>
      </c>
      <c r="H213" s="290">
        <v>7.8064611591326978</v>
      </c>
      <c r="I213" s="288">
        <f t="shared" si="24"/>
        <v>0.12809901690602923</v>
      </c>
      <c r="J213" s="283">
        <f t="shared" si="21"/>
        <v>1052982.0807964224</v>
      </c>
      <c r="K213" s="284">
        <v>1068258.3499999999</v>
      </c>
      <c r="L213" s="291">
        <f t="shared" si="25"/>
        <v>15276.269203577423</v>
      </c>
      <c r="M213" s="289">
        <f t="shared" si="23"/>
        <v>1.4300163629497889E-2</v>
      </c>
    </row>
    <row r="214" spans="1:13" x14ac:dyDescent="0.2">
      <c r="A214" s="150">
        <v>1935</v>
      </c>
      <c r="B214" s="276" t="s">
        <v>135</v>
      </c>
      <c r="C214" s="277">
        <v>39138.62999999999</v>
      </c>
      <c r="D214" s="278"/>
      <c r="E214" s="278">
        <v>0</v>
      </c>
      <c r="F214" s="279">
        <v>0</v>
      </c>
      <c r="G214" s="280">
        <f t="shared" si="22"/>
        <v>39138.62999999999</v>
      </c>
      <c r="H214" s="290">
        <v>3.495890410958904</v>
      </c>
      <c r="I214" s="288">
        <f t="shared" si="24"/>
        <v>0.28605015673981193</v>
      </c>
      <c r="J214" s="283">
        <f t="shared" si="21"/>
        <v>11195.611246081502</v>
      </c>
      <c r="K214" s="284">
        <v>11186.840000000011</v>
      </c>
      <c r="L214" s="291">
        <f t="shared" si="25"/>
        <v>-8.7712460814909718</v>
      </c>
      <c r="M214" s="289">
        <f t="shared" si="23"/>
        <v>-7.8406825175750825E-4</v>
      </c>
    </row>
    <row r="215" spans="1:13" x14ac:dyDescent="0.2">
      <c r="A215" s="150">
        <v>1940</v>
      </c>
      <c r="B215" s="276" t="s">
        <v>136</v>
      </c>
      <c r="C215" s="277">
        <v>1401563.7900000003</v>
      </c>
      <c r="D215" s="278"/>
      <c r="E215" s="278">
        <v>416236.54000000004</v>
      </c>
      <c r="F215" s="279">
        <v>0</v>
      </c>
      <c r="G215" s="280">
        <f t="shared" si="22"/>
        <v>1609682.0600000003</v>
      </c>
      <c r="H215" s="290">
        <v>5.7461030682115632</v>
      </c>
      <c r="I215" s="288">
        <f t="shared" si="24"/>
        <v>0.17403098902492248</v>
      </c>
      <c r="J215" s="283">
        <f t="shared" si="21"/>
        <v>280134.56091747468</v>
      </c>
      <c r="K215" s="284">
        <v>277632.29000000004</v>
      </c>
      <c r="L215" s="291">
        <f t="shared" si="25"/>
        <v>-2502.2709174746415</v>
      </c>
      <c r="M215" s="292">
        <f t="shared" si="23"/>
        <v>-9.0128958611933839E-3</v>
      </c>
    </row>
    <row r="216" spans="1:13" x14ac:dyDescent="0.2">
      <c r="A216" s="150">
        <v>1945</v>
      </c>
      <c r="B216" s="276" t="s">
        <v>137</v>
      </c>
      <c r="C216" s="277">
        <v>37116.160000000003</v>
      </c>
      <c r="D216" s="278"/>
      <c r="E216" s="278">
        <v>0</v>
      </c>
      <c r="F216" s="279">
        <v>0</v>
      </c>
      <c r="G216" s="280">
        <f t="shared" si="22"/>
        <v>37116.160000000003</v>
      </c>
      <c r="H216" s="290">
        <v>2.6254574711444527</v>
      </c>
      <c r="I216" s="288">
        <f t="shared" si="24"/>
        <v>0.38088600215035817</v>
      </c>
      <c r="J216" s="283">
        <f t="shared" si="21"/>
        <v>14137.02579757304</v>
      </c>
      <c r="K216" s="284">
        <v>14135.100000000006</v>
      </c>
      <c r="L216" s="291">
        <f t="shared" si="25"/>
        <v>-1.9257975730342878</v>
      </c>
      <c r="M216" s="289">
        <f t="shared" si="23"/>
        <v>-1.362422319639965E-4</v>
      </c>
    </row>
    <row r="217" spans="1:13" x14ac:dyDescent="0.2">
      <c r="A217" s="150">
        <v>1950</v>
      </c>
      <c r="B217" s="276" t="s">
        <v>138</v>
      </c>
      <c r="C217" s="277">
        <v>0</v>
      </c>
      <c r="D217" s="278"/>
      <c r="E217" s="278">
        <v>0</v>
      </c>
      <c r="F217" s="279">
        <v>0</v>
      </c>
      <c r="G217" s="280">
        <f t="shared" si="22"/>
        <v>0</v>
      </c>
      <c r="H217" s="290"/>
      <c r="I217" s="288">
        <f t="shared" si="24"/>
        <v>0</v>
      </c>
      <c r="J217" s="283">
        <f t="shared" si="21"/>
        <v>0</v>
      </c>
      <c r="K217" s="284">
        <v>0</v>
      </c>
      <c r="L217" s="291">
        <f t="shared" si="25"/>
        <v>0</v>
      </c>
      <c r="M217" s="292">
        <f t="shared" si="23"/>
        <v>0</v>
      </c>
    </row>
    <row r="218" spans="1:13" x14ac:dyDescent="0.2">
      <c r="A218" s="150">
        <v>1955</v>
      </c>
      <c r="B218" s="276" t="s">
        <v>139</v>
      </c>
      <c r="C218" s="277">
        <v>796055.4999999993</v>
      </c>
      <c r="D218" s="278"/>
      <c r="E218" s="278">
        <v>-6291</v>
      </c>
      <c r="F218" s="279">
        <v>0</v>
      </c>
      <c r="G218" s="280">
        <f t="shared" si="22"/>
        <v>792909.9999999993</v>
      </c>
      <c r="H218" s="290">
        <v>4.0872274836310289</v>
      </c>
      <c r="I218" s="288">
        <f t="shared" si="24"/>
        <v>0.24466462999794072</v>
      </c>
      <c r="J218" s="283">
        <f t="shared" si="21"/>
        <v>193997.03177166701</v>
      </c>
      <c r="K218" s="284">
        <v>193271.55</v>
      </c>
      <c r="L218" s="291">
        <f t="shared" si="25"/>
        <v>-725.48177166702226</v>
      </c>
      <c r="M218" s="292">
        <f t="shared" si="23"/>
        <v>-3.7536914857205952E-3</v>
      </c>
    </row>
    <row r="219" spans="1:13" x14ac:dyDescent="0.2">
      <c r="A219" s="150">
        <v>1955</v>
      </c>
      <c r="B219" s="276" t="s">
        <v>140</v>
      </c>
      <c r="C219" s="277">
        <v>0</v>
      </c>
      <c r="D219" s="278"/>
      <c r="E219" s="278">
        <v>0</v>
      </c>
      <c r="F219" s="279">
        <v>0</v>
      </c>
      <c r="G219" s="280">
        <f t="shared" si="22"/>
        <v>0</v>
      </c>
      <c r="H219" s="290"/>
      <c r="I219" s="288">
        <f t="shared" si="24"/>
        <v>0</v>
      </c>
      <c r="J219" s="283">
        <f t="shared" si="21"/>
        <v>0</v>
      </c>
      <c r="K219" s="284">
        <v>0</v>
      </c>
      <c r="L219" s="291">
        <f t="shared" si="25"/>
        <v>0</v>
      </c>
      <c r="M219" s="289">
        <f t="shared" si="23"/>
        <v>0</v>
      </c>
    </row>
    <row r="220" spans="1:13" x14ac:dyDescent="0.2">
      <c r="A220" s="150">
        <v>1960</v>
      </c>
      <c r="B220" s="276" t="s">
        <v>141</v>
      </c>
      <c r="C220" s="277">
        <v>189525.76999999996</v>
      </c>
      <c r="D220" s="278"/>
      <c r="E220" s="278">
        <v>4396</v>
      </c>
      <c r="F220" s="279">
        <v>0</v>
      </c>
      <c r="G220" s="280">
        <f t="shared" si="22"/>
        <v>191723.76999999996</v>
      </c>
      <c r="H220" s="290">
        <v>5.6814596689302324</v>
      </c>
      <c r="I220" s="288">
        <f t="shared" si="24"/>
        <v>0.17601110599598624</v>
      </c>
      <c r="J220" s="283">
        <f t="shared" si="21"/>
        <v>33745.512803420082</v>
      </c>
      <c r="K220" s="284">
        <v>33726.19</v>
      </c>
      <c r="L220" s="291">
        <f t="shared" si="25"/>
        <v>-19.322803420080163</v>
      </c>
      <c r="M220" s="292">
        <f t="shared" si="23"/>
        <v>-5.7293170144864162E-4</v>
      </c>
    </row>
    <row r="221" spans="1:13" x14ac:dyDescent="0.2">
      <c r="A221" s="150">
        <v>1970</v>
      </c>
      <c r="B221" s="293" t="s">
        <v>142</v>
      </c>
      <c r="C221" s="277">
        <v>0</v>
      </c>
      <c r="D221" s="278"/>
      <c r="E221" s="278">
        <v>0</v>
      </c>
      <c r="F221" s="279">
        <v>0</v>
      </c>
      <c r="G221" s="280">
        <f t="shared" si="22"/>
        <v>0</v>
      </c>
      <c r="H221" s="290"/>
      <c r="I221" s="288">
        <f t="shared" si="24"/>
        <v>0</v>
      </c>
      <c r="J221" s="283">
        <f t="shared" si="21"/>
        <v>0</v>
      </c>
      <c r="K221" s="284">
        <v>0</v>
      </c>
      <c r="L221" s="291">
        <f t="shared" si="25"/>
        <v>0</v>
      </c>
      <c r="M221" s="292">
        <f t="shared" si="23"/>
        <v>0</v>
      </c>
    </row>
    <row r="222" spans="1:13" x14ac:dyDescent="0.2">
      <c r="A222" s="150">
        <v>1975</v>
      </c>
      <c r="B222" s="276" t="s">
        <v>143</v>
      </c>
      <c r="C222" s="277">
        <v>0</v>
      </c>
      <c r="D222" s="278"/>
      <c r="E222" s="278">
        <v>0</v>
      </c>
      <c r="F222" s="279">
        <v>0</v>
      </c>
      <c r="G222" s="280">
        <f t="shared" si="22"/>
        <v>0</v>
      </c>
      <c r="H222" s="290"/>
      <c r="I222" s="288">
        <f t="shared" si="24"/>
        <v>0</v>
      </c>
      <c r="J222" s="283">
        <f t="shared" si="21"/>
        <v>0</v>
      </c>
      <c r="K222" s="284">
        <v>0</v>
      </c>
      <c r="L222" s="291">
        <f t="shared" si="25"/>
        <v>0</v>
      </c>
      <c r="M222" s="289">
        <f t="shared" si="23"/>
        <v>0</v>
      </c>
    </row>
    <row r="223" spans="1:13" x14ac:dyDescent="0.2">
      <c r="A223" s="150">
        <v>1980</v>
      </c>
      <c r="B223" s="276" t="s">
        <v>144</v>
      </c>
      <c r="C223" s="277">
        <v>4473804.0789999971</v>
      </c>
      <c r="D223" s="278"/>
      <c r="E223" s="278">
        <v>677573.56</v>
      </c>
      <c r="F223" s="279">
        <v>0</v>
      </c>
      <c r="G223" s="280">
        <f t="shared" si="22"/>
        <v>4812590.8589999974</v>
      </c>
      <c r="H223" s="290">
        <v>9.8797392457067534</v>
      </c>
      <c r="I223" s="288">
        <f t="shared" si="24"/>
        <v>0.10121724623800679</v>
      </c>
      <c r="J223" s="283">
        <f t="shared" si="21"/>
        <v>487117.19401818339</v>
      </c>
      <c r="K223" s="284">
        <v>486669.69</v>
      </c>
      <c r="L223" s="291">
        <f t="shared" si="25"/>
        <v>-447.50401818339014</v>
      </c>
      <c r="M223" s="289">
        <f t="shared" si="23"/>
        <v>-9.1952309210666095E-4</v>
      </c>
    </row>
    <row r="224" spans="1:13" x14ac:dyDescent="0.2">
      <c r="A224" s="150">
        <v>1985</v>
      </c>
      <c r="B224" s="276" t="s">
        <v>145</v>
      </c>
      <c r="C224" s="277">
        <v>0</v>
      </c>
      <c r="D224" s="278"/>
      <c r="E224" s="278">
        <v>0</v>
      </c>
      <c r="F224" s="279">
        <v>0</v>
      </c>
      <c r="G224" s="280">
        <f t="shared" si="22"/>
        <v>0</v>
      </c>
      <c r="H224" s="290"/>
      <c r="I224" s="288">
        <f t="shared" si="24"/>
        <v>0</v>
      </c>
      <c r="J224" s="283">
        <f t="shared" si="21"/>
        <v>0</v>
      </c>
      <c r="K224" s="284">
        <v>0</v>
      </c>
      <c r="L224" s="291">
        <f t="shared" si="25"/>
        <v>0</v>
      </c>
      <c r="M224" s="292">
        <f t="shared" si="23"/>
        <v>0</v>
      </c>
    </row>
    <row r="225" spans="1:17" x14ac:dyDescent="0.2">
      <c r="A225" s="150">
        <v>1990</v>
      </c>
      <c r="B225" s="235" t="s">
        <v>146</v>
      </c>
      <c r="C225" s="277">
        <v>0</v>
      </c>
      <c r="D225" s="278"/>
      <c r="E225" s="278">
        <v>0</v>
      </c>
      <c r="F225" s="279">
        <v>0</v>
      </c>
      <c r="G225" s="280">
        <f t="shared" si="22"/>
        <v>0</v>
      </c>
      <c r="H225" s="290"/>
      <c r="I225" s="288">
        <f t="shared" si="24"/>
        <v>0</v>
      </c>
      <c r="J225" s="283">
        <f t="shared" si="21"/>
        <v>0</v>
      </c>
      <c r="K225" s="284">
        <v>0</v>
      </c>
      <c r="L225" s="291">
        <f t="shared" si="25"/>
        <v>0</v>
      </c>
      <c r="M225" s="289">
        <f t="shared" si="23"/>
        <v>0</v>
      </c>
    </row>
    <row r="226" spans="1:17" x14ac:dyDescent="0.2">
      <c r="A226" s="150">
        <v>1995</v>
      </c>
      <c r="B226" s="276" t="s">
        <v>147</v>
      </c>
      <c r="C226" s="277">
        <v>0</v>
      </c>
      <c r="D226" s="278"/>
      <c r="E226" s="278">
        <v>0</v>
      </c>
      <c r="F226" s="279">
        <v>0</v>
      </c>
      <c r="G226" s="280">
        <f t="shared" si="22"/>
        <v>0</v>
      </c>
      <c r="H226" s="290"/>
      <c r="I226" s="294">
        <f t="shared" si="24"/>
        <v>0</v>
      </c>
      <c r="J226" s="295">
        <f t="shared" si="21"/>
        <v>0</v>
      </c>
      <c r="K226" s="284">
        <v>0</v>
      </c>
      <c r="L226" s="291">
        <f t="shared" si="25"/>
        <v>0</v>
      </c>
      <c r="M226" s="289">
        <f t="shared" si="23"/>
        <v>0</v>
      </c>
    </row>
    <row r="227" spans="1:17" x14ac:dyDescent="0.2">
      <c r="A227" s="150">
        <v>2075</v>
      </c>
      <c r="B227" s="276" t="s">
        <v>148</v>
      </c>
      <c r="C227" s="277">
        <v>782092.62999999966</v>
      </c>
      <c r="D227" s="278"/>
      <c r="E227" s="278">
        <v>0</v>
      </c>
      <c r="F227" s="279">
        <v>0</v>
      </c>
      <c r="G227" s="280">
        <f t="shared" si="22"/>
        <v>782092.62999999966</v>
      </c>
      <c r="H227" s="290">
        <v>13.004795003891951</v>
      </c>
      <c r="I227" s="294">
        <f t="shared" si="24"/>
        <v>7.6894714580332063E-2</v>
      </c>
      <c r="J227" s="295">
        <f t="shared" si="21"/>
        <v>60138.78955923122</v>
      </c>
      <c r="K227" s="284">
        <v>61440.040000000037</v>
      </c>
      <c r="L227" s="291">
        <f t="shared" si="25"/>
        <v>1301.2504407688175</v>
      </c>
      <c r="M227" s="289">
        <f t="shared" si="23"/>
        <v>2.1179192604184775E-2</v>
      </c>
    </row>
    <row r="228" spans="1:17" x14ac:dyDescent="0.2">
      <c r="A228" s="150">
        <v>2440</v>
      </c>
      <c r="B228" s="151" t="s">
        <v>166</v>
      </c>
      <c r="C228" s="277">
        <v>-96770663.920000017</v>
      </c>
      <c r="D228" s="278"/>
      <c r="E228" s="278">
        <v>-14159680.899999995</v>
      </c>
      <c r="F228" s="279">
        <v>-79177.25999999998</v>
      </c>
      <c r="G228" s="280">
        <f t="shared" si="22"/>
        <v>-103771327.11000001</v>
      </c>
      <c r="H228" s="290">
        <v>36.631861871578124</v>
      </c>
      <c r="I228" s="294">
        <f t="shared" si="24"/>
        <v>2.7298639733512386E-2</v>
      </c>
      <c r="J228" s="295">
        <f t="shared" si="21"/>
        <v>-2832816.0734443576</v>
      </c>
      <c r="K228" s="284">
        <v>-2834074.4200000018</v>
      </c>
      <c r="L228" s="291">
        <f t="shared" si="25"/>
        <v>-1258.3465556441806</v>
      </c>
      <c r="M228" s="289">
        <f t="shared" si="23"/>
        <v>4.4400617950045919E-4</v>
      </c>
    </row>
    <row r="229" spans="1:17" ht="13.5" thickBot="1" x14ac:dyDescent="0.25">
      <c r="A229" s="232">
        <v>2005</v>
      </c>
      <c r="B229" s="296" t="s">
        <v>329</v>
      </c>
      <c r="C229" s="277">
        <v>510987.14000000013</v>
      </c>
      <c r="D229" s="278"/>
      <c r="E229" s="278">
        <v>0</v>
      </c>
      <c r="F229" s="279">
        <v>0</v>
      </c>
      <c r="G229" s="280">
        <f t="shared" si="22"/>
        <v>510987.14000000013</v>
      </c>
      <c r="H229" s="297">
        <v>2.920214998352701</v>
      </c>
      <c r="I229" s="298">
        <f t="shared" si="24"/>
        <v>0.34244053967399729</v>
      </c>
      <c r="J229" s="299">
        <f t="shared" si="21"/>
        <v>174982.71198807243</v>
      </c>
      <c r="K229" s="284">
        <v>177155.01</v>
      </c>
      <c r="L229" s="300">
        <f t="shared" si="25"/>
        <v>2172.2980119275744</v>
      </c>
      <c r="M229" s="301">
        <f t="shared" si="23"/>
        <v>1.2262131406430867E-2</v>
      </c>
    </row>
    <row r="230" spans="1:17" ht="13.5" thickBot="1" x14ac:dyDescent="0.25">
      <c r="A230" s="302"/>
      <c r="B230" s="303" t="s">
        <v>43</v>
      </c>
      <c r="C230" s="304">
        <f>SUM(C186:C229)</f>
        <v>403315193.42360002</v>
      </c>
      <c r="D230" s="304">
        <f t="shared" ref="D230:F230" si="26">SUM(D186:D229)</f>
        <v>0</v>
      </c>
      <c r="E230" s="304">
        <f t="shared" si="26"/>
        <v>42936980.99000001</v>
      </c>
      <c r="F230" s="304">
        <f t="shared" si="26"/>
        <v>1182010.32</v>
      </c>
      <c r="G230" s="304">
        <f>SUM(G188:G229)</f>
        <v>420828447.30859995</v>
      </c>
      <c r="H230" s="304"/>
      <c r="I230" s="305"/>
      <c r="J230" s="304">
        <f>SUM(J186:J229)</f>
        <v>21982224.070987221</v>
      </c>
      <c r="K230" s="304">
        <f t="shared" ref="K230:L230" si="27">SUM(K186:K229)</f>
        <v>22011834.770000007</v>
      </c>
      <c r="L230" s="306">
        <f t="shared" si="27"/>
        <v>29610.699012777222</v>
      </c>
      <c r="M230" s="307">
        <f t="shared" si="23"/>
        <v>1.3452172125666567E-3</v>
      </c>
    </row>
    <row r="231" spans="1:17" x14ac:dyDescent="0.2">
      <c r="A231" s="122"/>
      <c r="B231" s="124"/>
      <c r="C231" s="308"/>
      <c r="D231" s="308"/>
      <c r="E231" s="308"/>
      <c r="F231" s="308"/>
      <c r="G231" s="308"/>
      <c r="H231" s="308"/>
      <c r="I231" s="308"/>
      <c r="J231" s="308"/>
      <c r="K231" s="308"/>
    </row>
    <row r="232" spans="1:17" ht="13.5" thickBot="1" x14ac:dyDescent="0.25"/>
    <row r="233" spans="1:17" ht="18" customHeight="1" thickBot="1" x14ac:dyDescent="0.3">
      <c r="A233" s="253"/>
      <c r="B233" s="253"/>
      <c r="C233" s="253"/>
      <c r="D233" s="253"/>
      <c r="E233" s="254" t="s">
        <v>300</v>
      </c>
      <c r="F233" s="259">
        <v>2024</v>
      </c>
      <c r="G233" s="253"/>
      <c r="H233" s="253"/>
      <c r="I233" s="253"/>
      <c r="J233" s="253"/>
      <c r="K233" s="253"/>
    </row>
    <row r="234" spans="1:17" ht="13.5" thickBot="1" x14ac:dyDescent="0.25">
      <c r="A234" s="260"/>
      <c r="B234" s="260"/>
      <c r="C234" s="260"/>
      <c r="D234" s="260"/>
      <c r="E234" s="260"/>
      <c r="F234" s="260"/>
      <c r="G234" s="260"/>
      <c r="H234" s="260"/>
      <c r="I234" s="260"/>
      <c r="J234" s="260"/>
      <c r="K234" s="260"/>
      <c r="Q234" s="123">
        <v>2017</v>
      </c>
    </row>
    <row r="235" spans="1:17" ht="19.149999999999999" customHeight="1" thickBot="1" x14ac:dyDescent="0.3">
      <c r="A235" s="253"/>
      <c r="B235" s="253"/>
      <c r="C235" s="457" t="s">
        <v>301</v>
      </c>
      <c r="D235" s="458"/>
      <c r="E235" s="458"/>
      <c r="F235" s="458"/>
      <c r="G235" s="459" t="s">
        <v>302</v>
      </c>
      <c r="H235" s="460"/>
      <c r="I235" s="261" t="s">
        <v>303</v>
      </c>
      <c r="J235" s="253"/>
      <c r="K235" s="253"/>
      <c r="Q235" s="123">
        <v>2018</v>
      </c>
    </row>
    <row r="236" spans="1:17" ht="64.150000000000006" customHeight="1" thickBot="1" x14ac:dyDescent="0.25">
      <c r="A236" s="453" t="s">
        <v>304</v>
      </c>
      <c r="B236" s="455" t="s">
        <v>305</v>
      </c>
      <c r="C236" s="262" t="s">
        <v>306</v>
      </c>
      <c r="D236" s="263" t="s">
        <v>307</v>
      </c>
      <c r="E236" s="264" t="s">
        <v>308</v>
      </c>
      <c r="F236" s="265" t="s">
        <v>309</v>
      </c>
      <c r="G236" s="265" t="s">
        <v>310</v>
      </c>
      <c r="H236" s="262" t="s">
        <v>311</v>
      </c>
      <c r="I236" s="266" t="s">
        <v>312</v>
      </c>
      <c r="J236" s="267" t="s">
        <v>313</v>
      </c>
      <c r="K236" s="264" t="s">
        <v>331</v>
      </c>
      <c r="L236" s="266" t="s">
        <v>315</v>
      </c>
      <c r="M236" s="266" t="s">
        <v>316</v>
      </c>
    </row>
    <row r="237" spans="1:17" ht="13.5" thickBot="1" x14ac:dyDescent="0.25">
      <c r="A237" s="454"/>
      <c r="B237" s="456"/>
      <c r="C237" s="268" t="s">
        <v>317</v>
      </c>
      <c r="D237" s="269" t="s">
        <v>318</v>
      </c>
      <c r="E237" s="270" t="s">
        <v>319</v>
      </c>
      <c r="F237" s="270" t="s">
        <v>320</v>
      </c>
      <c r="G237" s="271" t="s">
        <v>321</v>
      </c>
      <c r="H237" s="272" t="s">
        <v>322</v>
      </c>
      <c r="I237" s="270" t="s">
        <v>323</v>
      </c>
      <c r="J237" s="268" t="s">
        <v>324</v>
      </c>
      <c r="K237" s="273" t="s">
        <v>325</v>
      </c>
      <c r="L237" s="271" t="s">
        <v>326</v>
      </c>
      <c r="M237" s="274" t="s">
        <v>327</v>
      </c>
    </row>
    <row r="238" spans="1:17" ht="13.5" thickBot="1" x14ac:dyDescent="0.25">
      <c r="A238" s="275">
        <v>1609</v>
      </c>
      <c r="B238" s="276" t="s">
        <v>108</v>
      </c>
      <c r="C238" s="277">
        <v>1559661.81</v>
      </c>
      <c r="D238" s="278"/>
      <c r="E238" s="278">
        <v>4062099.9999999995</v>
      </c>
      <c r="F238" s="279">
        <v>0</v>
      </c>
      <c r="G238" s="280">
        <f>C238-D238+(E238*0.5)-F238</f>
        <v>3590711.8099999996</v>
      </c>
      <c r="H238" s="281">
        <v>9.2088848521485751</v>
      </c>
      <c r="I238" s="282">
        <f>IF(H238=0,0,1/H238)</f>
        <v>0.10859078119178399</v>
      </c>
      <c r="J238" s="283">
        <f t="shared" ref="J238:J281" si="28">IF(H238=0,0,+G238/H238)</f>
        <v>389918.20048246463</v>
      </c>
      <c r="K238" s="284">
        <v>391942.16</v>
      </c>
      <c r="L238" s="285">
        <f>IF(ISERROR(+K238-J238), 0, +K238-J238)</f>
        <v>2023.9595175353461</v>
      </c>
      <c r="M238" s="286">
        <f>IFERROR(L238/K238,0)</f>
        <v>5.1639239767810284E-3</v>
      </c>
    </row>
    <row r="239" spans="1:17" x14ac:dyDescent="0.2">
      <c r="A239" s="275">
        <v>1610</v>
      </c>
      <c r="B239" s="287" t="s">
        <v>328</v>
      </c>
      <c r="C239" s="277">
        <v>854357.83000000007</v>
      </c>
      <c r="D239" s="278"/>
      <c r="E239" s="278">
        <v>0</v>
      </c>
      <c r="F239" s="279">
        <v>0</v>
      </c>
      <c r="G239" s="280">
        <f>C239-D239+(E239*0.5)-F239</f>
        <v>854357.83000000007</v>
      </c>
      <c r="H239" s="281">
        <v>3.204251930524916</v>
      </c>
      <c r="I239" s="282">
        <f>IF(H239=0,0,1/H239)</f>
        <v>0.31208532340220246</v>
      </c>
      <c r="J239" s="283">
        <f t="shared" si="28"/>
        <v>266632.53967675392</v>
      </c>
      <c r="K239" s="284">
        <v>266955.62</v>
      </c>
      <c r="L239" s="285">
        <f>IF(ISERROR(+K239-J239), 0, +K239-J239)</f>
        <v>323.08032324607484</v>
      </c>
      <c r="M239" s="286">
        <f>IFERROR(L239/K239,0)</f>
        <v>1.2102398265527237E-3</v>
      </c>
    </row>
    <row r="240" spans="1:17" x14ac:dyDescent="0.2">
      <c r="A240" s="234">
        <v>1611</v>
      </c>
      <c r="B240" s="287" t="s">
        <v>111</v>
      </c>
      <c r="C240" s="277">
        <v>3343199.6100000031</v>
      </c>
      <c r="D240" s="278"/>
      <c r="E240" s="278">
        <v>1443687.73</v>
      </c>
      <c r="F240" s="279">
        <v>0</v>
      </c>
      <c r="G240" s="280">
        <f t="shared" ref="G240:G281" si="29">C240-D240+(E240*0.5)-F240</f>
        <v>4065043.4750000034</v>
      </c>
      <c r="H240" s="281">
        <v>2.337731249538066</v>
      </c>
      <c r="I240" s="288">
        <f>IF(H240=0,0,1/H240)</f>
        <v>0.42776516770163348</v>
      </c>
      <c r="J240" s="283">
        <f t="shared" si="28"/>
        <v>1738884.0037978075</v>
      </c>
      <c r="K240" s="284">
        <v>1749646.6599999997</v>
      </c>
      <c r="L240" s="285">
        <f>IF(ISERROR(+K240-J240), 0, +K240-J240)</f>
        <v>10762.656202192185</v>
      </c>
      <c r="M240" s="289">
        <f t="shared" ref="M240:M282" si="30">IFERROR(L240/K240,0)</f>
        <v>6.1513312649036159E-3</v>
      </c>
    </row>
    <row r="241" spans="1:13" x14ac:dyDescent="0.2">
      <c r="A241" s="150">
        <v>1612</v>
      </c>
      <c r="B241" s="276" t="s">
        <v>112</v>
      </c>
      <c r="C241" s="277">
        <v>344879.12000000034</v>
      </c>
      <c r="D241" s="278"/>
      <c r="E241" s="278">
        <v>0</v>
      </c>
      <c r="F241" s="279">
        <v>0</v>
      </c>
      <c r="G241" s="280">
        <f t="shared" si="29"/>
        <v>344879.12000000034</v>
      </c>
      <c r="H241" s="290">
        <v>28.013826837469296</v>
      </c>
      <c r="I241" s="288">
        <f t="shared" ref="I241:I281" si="31">IF(H241=0,0,1/H241)</f>
        <v>3.5696658146771698E-2</v>
      </c>
      <c r="J241" s="283">
        <f t="shared" si="28"/>
        <v>12311.032048599467</v>
      </c>
      <c r="K241" s="284">
        <v>12335.44</v>
      </c>
      <c r="L241" s="291">
        <f t="shared" ref="L241:L281" si="32">IF(ISERROR(+K241-J241), 0, +K241-J241)</f>
        <v>24.40795140053342</v>
      </c>
      <c r="M241" s="289">
        <f t="shared" si="30"/>
        <v>1.9786851057224889E-3</v>
      </c>
    </row>
    <row r="242" spans="1:13" x14ac:dyDescent="0.2">
      <c r="A242" s="150">
        <v>1805</v>
      </c>
      <c r="B242" s="276" t="s">
        <v>113</v>
      </c>
      <c r="C242" s="277">
        <v>1190619.8899999999</v>
      </c>
      <c r="D242" s="278"/>
      <c r="E242" s="278">
        <v>0</v>
      </c>
      <c r="F242" s="279">
        <v>0</v>
      </c>
      <c r="G242" s="280">
        <f t="shared" si="29"/>
        <v>1190619.8899999999</v>
      </c>
      <c r="H242" s="290"/>
      <c r="I242" s="288">
        <f t="shared" si="31"/>
        <v>0</v>
      </c>
      <c r="J242" s="283">
        <f t="shared" si="28"/>
        <v>0</v>
      </c>
      <c r="K242" s="284">
        <v>0</v>
      </c>
      <c r="L242" s="291">
        <f t="shared" si="32"/>
        <v>0</v>
      </c>
      <c r="M242" s="289">
        <f t="shared" si="30"/>
        <v>0</v>
      </c>
    </row>
    <row r="243" spans="1:13" x14ac:dyDescent="0.2">
      <c r="A243" s="150">
        <v>1808</v>
      </c>
      <c r="B243" s="276" t="s">
        <v>114</v>
      </c>
      <c r="C243" s="277">
        <v>197580.21999999974</v>
      </c>
      <c r="D243" s="278"/>
      <c r="E243" s="278">
        <v>0</v>
      </c>
      <c r="F243" s="279">
        <v>0</v>
      </c>
      <c r="G243" s="280">
        <f t="shared" si="29"/>
        <v>197580.21999999974</v>
      </c>
      <c r="H243" s="290">
        <v>20.623443666009926</v>
      </c>
      <c r="I243" s="288">
        <f t="shared" si="31"/>
        <v>4.8488507360588275E-2</v>
      </c>
      <c r="J243" s="283">
        <f t="shared" si="28"/>
        <v>9580.3699517766381</v>
      </c>
      <c r="K243" s="284">
        <v>9600.0400000000009</v>
      </c>
      <c r="L243" s="291">
        <f t="shared" si="32"/>
        <v>19.670048223362755</v>
      </c>
      <c r="M243" s="289">
        <f t="shared" si="30"/>
        <v>2.0489548192885398E-3</v>
      </c>
    </row>
    <row r="244" spans="1:13" x14ac:dyDescent="0.2">
      <c r="A244" s="150">
        <v>1810</v>
      </c>
      <c r="B244" s="276" t="s">
        <v>115</v>
      </c>
      <c r="C244" s="277">
        <v>0</v>
      </c>
      <c r="D244" s="278"/>
      <c r="E244" s="278">
        <v>0</v>
      </c>
      <c r="F244" s="279">
        <v>0</v>
      </c>
      <c r="G244" s="280">
        <f t="shared" si="29"/>
        <v>0</v>
      </c>
      <c r="H244" s="290"/>
      <c r="I244" s="288">
        <f t="shared" si="31"/>
        <v>0</v>
      </c>
      <c r="J244" s="283">
        <f t="shared" si="28"/>
        <v>0</v>
      </c>
      <c r="K244" s="284">
        <v>0</v>
      </c>
      <c r="L244" s="291">
        <f t="shared" si="32"/>
        <v>0</v>
      </c>
      <c r="M244" s="289">
        <f t="shared" si="30"/>
        <v>0</v>
      </c>
    </row>
    <row r="245" spans="1:13" x14ac:dyDescent="0.2">
      <c r="A245" s="150">
        <v>1815</v>
      </c>
      <c r="B245" s="276" t="s">
        <v>116</v>
      </c>
      <c r="C245" s="277">
        <v>165358.04999999996</v>
      </c>
      <c r="D245" s="278"/>
      <c r="E245" s="278">
        <v>0</v>
      </c>
      <c r="F245" s="279">
        <v>0</v>
      </c>
      <c r="G245" s="280">
        <f t="shared" si="29"/>
        <v>165358.04999999996</v>
      </c>
      <c r="H245" s="290">
        <v>29.860029050552143</v>
      </c>
      <c r="I245" s="288">
        <f t="shared" si="31"/>
        <v>3.3489585636605701E-2</v>
      </c>
      <c r="J245" s="283">
        <f t="shared" si="28"/>
        <v>5537.7725761771262</v>
      </c>
      <c r="K245" s="284">
        <v>5548.7800000000279</v>
      </c>
      <c r="L245" s="291">
        <f t="shared" si="32"/>
        <v>11.007423822901728</v>
      </c>
      <c r="M245" s="289">
        <f t="shared" si="30"/>
        <v>1.9837556765454159E-3</v>
      </c>
    </row>
    <row r="246" spans="1:13" x14ac:dyDescent="0.2">
      <c r="A246" s="150">
        <v>1820</v>
      </c>
      <c r="B246" s="276" t="s">
        <v>117</v>
      </c>
      <c r="C246" s="277">
        <v>57317126.718100019</v>
      </c>
      <c r="D246" s="278"/>
      <c r="E246" s="278">
        <v>5399197.3300000001</v>
      </c>
      <c r="F246" s="279">
        <v>646295.03000000014</v>
      </c>
      <c r="G246" s="280">
        <f t="shared" si="29"/>
        <v>59370430.353100017</v>
      </c>
      <c r="H246" s="290">
        <v>27.739452435412865</v>
      </c>
      <c r="I246" s="288">
        <f t="shared" si="31"/>
        <v>3.6049738268206601E-2</v>
      </c>
      <c r="J246" s="283">
        <f t="shared" si="28"/>
        <v>2140288.4751000446</v>
      </c>
      <c r="K246" s="284">
        <v>2173424.7400000002</v>
      </c>
      <c r="L246" s="291">
        <f t="shared" si="32"/>
        <v>33136.264899955597</v>
      </c>
      <c r="M246" s="289">
        <f t="shared" si="30"/>
        <v>1.5246106428307057E-2</v>
      </c>
    </row>
    <row r="247" spans="1:13" x14ac:dyDescent="0.2">
      <c r="A247" s="150">
        <v>1825</v>
      </c>
      <c r="B247" s="276" t="s">
        <v>118</v>
      </c>
      <c r="C247" s="277">
        <v>0</v>
      </c>
      <c r="D247" s="278"/>
      <c r="E247" s="278">
        <v>0</v>
      </c>
      <c r="F247" s="279">
        <v>0</v>
      </c>
      <c r="G247" s="280">
        <f t="shared" si="29"/>
        <v>0</v>
      </c>
      <c r="H247" s="290"/>
      <c r="I247" s="288">
        <f t="shared" si="31"/>
        <v>0</v>
      </c>
      <c r="J247" s="283">
        <f t="shared" si="28"/>
        <v>0</v>
      </c>
      <c r="K247" s="284">
        <v>0</v>
      </c>
      <c r="L247" s="291">
        <f t="shared" si="32"/>
        <v>0</v>
      </c>
      <c r="M247" s="289">
        <f t="shared" si="30"/>
        <v>0</v>
      </c>
    </row>
    <row r="248" spans="1:13" x14ac:dyDescent="0.2">
      <c r="A248" s="150">
        <v>1830</v>
      </c>
      <c r="B248" s="276" t="s">
        <v>119</v>
      </c>
      <c r="C248" s="277">
        <v>105369017.40000001</v>
      </c>
      <c r="D248" s="278"/>
      <c r="E248" s="278">
        <v>11109615.440000001</v>
      </c>
      <c r="F248" s="279">
        <v>250550.56</v>
      </c>
      <c r="G248" s="280">
        <f t="shared" si="29"/>
        <v>110673274.56</v>
      </c>
      <c r="H248" s="290">
        <v>32.320482158164332</v>
      </c>
      <c r="I248" s="288">
        <f t="shared" si="31"/>
        <v>3.0940132486463989E-2</v>
      </c>
      <c r="J248" s="283">
        <f t="shared" si="28"/>
        <v>3424245.7775972048</v>
      </c>
      <c r="K248" s="284">
        <v>3446565.1100000003</v>
      </c>
      <c r="L248" s="291">
        <f t="shared" si="32"/>
        <v>22319.332402795553</v>
      </c>
      <c r="M248" s="292">
        <f t="shared" si="30"/>
        <v>6.4758191679122378E-3</v>
      </c>
    </row>
    <row r="249" spans="1:13" x14ac:dyDescent="0.2">
      <c r="A249" s="150">
        <v>1835</v>
      </c>
      <c r="B249" s="276" t="s">
        <v>120</v>
      </c>
      <c r="C249" s="277">
        <v>68355689.44749999</v>
      </c>
      <c r="D249" s="278"/>
      <c r="E249" s="278">
        <v>4450190.2699999996</v>
      </c>
      <c r="F249" s="279">
        <v>122554.19</v>
      </c>
      <c r="G249" s="280">
        <f t="shared" si="29"/>
        <v>70458230.392499998</v>
      </c>
      <c r="H249" s="290">
        <v>32.808822637396844</v>
      </c>
      <c r="I249" s="288">
        <f t="shared" si="31"/>
        <v>3.0479606386733273E-2</v>
      </c>
      <c r="J249" s="283">
        <f t="shared" si="28"/>
        <v>2147539.1290691672</v>
      </c>
      <c r="K249" s="284">
        <v>2146292.88</v>
      </c>
      <c r="L249" s="291">
        <f t="shared" si="32"/>
        <v>-1246.2490691673011</v>
      </c>
      <c r="M249" s="289">
        <f t="shared" si="30"/>
        <v>-5.8065191418204827E-4</v>
      </c>
    </row>
    <row r="250" spans="1:13" x14ac:dyDescent="0.2">
      <c r="A250" s="150">
        <v>1840</v>
      </c>
      <c r="B250" s="276" t="s">
        <v>121</v>
      </c>
      <c r="C250" s="277">
        <v>55472717.9833</v>
      </c>
      <c r="D250" s="278"/>
      <c r="E250" s="278">
        <v>1839813.41</v>
      </c>
      <c r="F250" s="279">
        <v>0</v>
      </c>
      <c r="G250" s="280">
        <f t="shared" si="29"/>
        <v>56392624.688299999</v>
      </c>
      <c r="H250" s="290">
        <v>49.519500520743911</v>
      </c>
      <c r="I250" s="288">
        <f t="shared" si="31"/>
        <v>2.0194064751947492E-2</v>
      </c>
      <c r="J250" s="283">
        <f t="shared" si="28"/>
        <v>1138796.3144878028</v>
      </c>
      <c r="K250" s="284">
        <v>1141194.3899999999</v>
      </c>
      <c r="L250" s="291">
        <f t="shared" si="32"/>
        <v>2398.0755121971015</v>
      </c>
      <c r="M250" s="292">
        <f t="shared" si="30"/>
        <v>2.1013733796895915E-3</v>
      </c>
    </row>
    <row r="251" spans="1:13" x14ac:dyDescent="0.2">
      <c r="A251" s="150">
        <v>1845</v>
      </c>
      <c r="B251" s="276" t="s">
        <v>122</v>
      </c>
      <c r="C251" s="277">
        <v>83053360.609899983</v>
      </c>
      <c r="D251" s="278"/>
      <c r="E251" s="278">
        <v>4364170.9300000006</v>
      </c>
      <c r="F251" s="279">
        <v>84342.35</v>
      </c>
      <c r="G251" s="280">
        <f t="shared" si="29"/>
        <v>85151103.724899992</v>
      </c>
      <c r="H251" s="290">
        <v>30.10499355313641</v>
      </c>
      <c r="I251" s="288">
        <f t="shared" si="31"/>
        <v>3.3217080689121013E-2</v>
      </c>
      <c r="J251" s="283">
        <f t="shared" si="28"/>
        <v>2828471.0831977157</v>
      </c>
      <c r="K251" s="284">
        <v>2835581.07</v>
      </c>
      <c r="L251" s="291">
        <f t="shared" si="32"/>
        <v>7109.9868022841401</v>
      </c>
      <c r="M251" s="289">
        <f t="shared" si="30"/>
        <v>2.5074179248502815E-3</v>
      </c>
    </row>
    <row r="252" spans="1:13" x14ac:dyDescent="0.2">
      <c r="A252" s="150">
        <v>1850</v>
      </c>
      <c r="B252" s="276" t="s">
        <v>123</v>
      </c>
      <c r="C252" s="277">
        <v>59533302.567400023</v>
      </c>
      <c r="D252" s="278"/>
      <c r="E252" s="278">
        <v>4142032.1800000006</v>
      </c>
      <c r="F252" s="279">
        <v>242891.31</v>
      </c>
      <c r="G252" s="280">
        <f t="shared" si="29"/>
        <v>61361427.347400025</v>
      </c>
      <c r="H252" s="290">
        <v>22.002831237453897</v>
      </c>
      <c r="I252" s="288">
        <f t="shared" si="31"/>
        <v>4.5448696543096197E-2</v>
      </c>
      <c r="J252" s="283">
        <f t="shared" si="28"/>
        <v>2788796.890963228</v>
      </c>
      <c r="K252" s="284">
        <v>2799634.3499999996</v>
      </c>
      <c r="L252" s="291">
        <f t="shared" si="32"/>
        <v>10837.459036771674</v>
      </c>
      <c r="M252" s="289">
        <f t="shared" si="30"/>
        <v>3.871026599159878E-3</v>
      </c>
    </row>
    <row r="253" spans="1:13" x14ac:dyDescent="0.2">
      <c r="A253" s="150">
        <v>1855</v>
      </c>
      <c r="B253" s="276" t="s">
        <v>124</v>
      </c>
      <c r="C253" s="277">
        <v>43517490.589400001</v>
      </c>
      <c r="D253" s="278"/>
      <c r="E253" s="278">
        <v>3537149.99</v>
      </c>
      <c r="F253" s="279">
        <v>0</v>
      </c>
      <c r="G253" s="280">
        <f t="shared" si="29"/>
        <v>45286065.584399998</v>
      </c>
      <c r="H253" s="290">
        <v>33.005983911829816</v>
      </c>
      <c r="I253" s="288">
        <f t="shared" si="31"/>
        <v>3.0297536430707213E-2</v>
      </c>
      <c r="J253" s="283">
        <f t="shared" si="28"/>
        <v>1372056.2218467551</v>
      </c>
      <c r="K253" s="284">
        <v>1375079.7700000003</v>
      </c>
      <c r="L253" s="291">
        <f t="shared" si="32"/>
        <v>3023.5481532451231</v>
      </c>
      <c r="M253" s="289">
        <f t="shared" si="30"/>
        <v>2.1988165481084216E-3</v>
      </c>
    </row>
    <row r="254" spans="1:13" x14ac:dyDescent="0.2">
      <c r="A254" s="150">
        <v>1860</v>
      </c>
      <c r="B254" s="276" t="s">
        <v>125</v>
      </c>
      <c r="C254" s="277">
        <v>2129905.7400000002</v>
      </c>
      <c r="D254" s="278"/>
      <c r="E254" s="278">
        <v>275914.82</v>
      </c>
      <c r="F254" s="279">
        <v>3214.08</v>
      </c>
      <c r="G254" s="280">
        <f t="shared" si="29"/>
        <v>2264649.0700000003</v>
      </c>
      <c r="H254" s="290">
        <v>17.055526659037632</v>
      </c>
      <c r="I254" s="288">
        <f t="shared" si="31"/>
        <v>5.8632021161897419E-2</v>
      </c>
      <c r="J254" s="283">
        <f t="shared" si="28"/>
        <v>132780.95219651132</v>
      </c>
      <c r="K254" s="284">
        <v>133237.76999999999</v>
      </c>
      <c r="L254" s="291">
        <f t="shared" si="32"/>
        <v>456.81780348866596</v>
      </c>
      <c r="M254" s="289">
        <f t="shared" si="30"/>
        <v>3.4285908829655887E-3</v>
      </c>
    </row>
    <row r="255" spans="1:13" x14ac:dyDescent="0.2">
      <c r="A255" s="150">
        <v>1860</v>
      </c>
      <c r="B255" s="276" t="s">
        <v>126</v>
      </c>
      <c r="C255" s="277">
        <v>7680395.2789999954</v>
      </c>
      <c r="D255" s="278"/>
      <c r="E255" s="278">
        <v>1757413.7200000002</v>
      </c>
      <c r="F255" s="279">
        <v>2892.0799999999872</v>
      </c>
      <c r="G255" s="280">
        <f t="shared" si="29"/>
        <v>8556210.0589999948</v>
      </c>
      <c r="H255" s="290">
        <v>8.1743496983281538</v>
      </c>
      <c r="I255" s="288">
        <f t="shared" si="31"/>
        <v>0.12233389038941207</v>
      </c>
      <c r="J255" s="283">
        <f t="shared" si="28"/>
        <v>1046714.4635064903</v>
      </c>
      <c r="K255" s="284">
        <v>1048402.0599999999</v>
      </c>
      <c r="L255" s="291">
        <f t="shared" si="32"/>
        <v>1687.5964935095981</v>
      </c>
      <c r="M255" s="289">
        <f t="shared" si="30"/>
        <v>1.609684450171338E-3</v>
      </c>
    </row>
    <row r="256" spans="1:13" x14ac:dyDescent="0.2">
      <c r="A256" s="150">
        <v>1865</v>
      </c>
      <c r="B256" s="276" t="s">
        <v>127</v>
      </c>
      <c r="C256" s="277">
        <v>0</v>
      </c>
      <c r="D256" s="278"/>
      <c r="E256" s="278">
        <v>0</v>
      </c>
      <c r="F256" s="279">
        <v>0</v>
      </c>
      <c r="G256" s="280">
        <f t="shared" si="29"/>
        <v>0</v>
      </c>
      <c r="H256" s="290"/>
      <c r="I256" s="288">
        <f t="shared" si="31"/>
        <v>0</v>
      </c>
      <c r="J256" s="283">
        <f t="shared" si="28"/>
        <v>0</v>
      </c>
      <c r="K256" s="284">
        <v>0</v>
      </c>
      <c r="L256" s="291">
        <f t="shared" si="32"/>
        <v>0</v>
      </c>
      <c r="M256" s="289">
        <f t="shared" si="30"/>
        <v>0</v>
      </c>
    </row>
    <row r="257" spans="1:13" x14ac:dyDescent="0.2">
      <c r="A257" s="150">
        <v>1905</v>
      </c>
      <c r="B257" s="276" t="s">
        <v>113</v>
      </c>
      <c r="C257" s="277">
        <v>1195031.2999999998</v>
      </c>
      <c r="D257" s="278"/>
      <c r="E257" s="278">
        <v>0</v>
      </c>
      <c r="F257" s="279">
        <v>0</v>
      </c>
      <c r="G257" s="280">
        <f t="shared" si="29"/>
        <v>1195031.2999999998</v>
      </c>
      <c r="H257" s="290"/>
      <c r="I257" s="288">
        <f t="shared" si="31"/>
        <v>0</v>
      </c>
      <c r="J257" s="283">
        <f t="shared" si="28"/>
        <v>0</v>
      </c>
      <c r="K257" s="284">
        <v>0</v>
      </c>
      <c r="L257" s="291">
        <f t="shared" si="32"/>
        <v>0</v>
      </c>
      <c r="M257" s="289">
        <f t="shared" si="30"/>
        <v>0</v>
      </c>
    </row>
    <row r="258" spans="1:13" x14ac:dyDescent="0.2">
      <c r="A258" s="150">
        <v>1908</v>
      </c>
      <c r="B258" s="276" t="s">
        <v>128</v>
      </c>
      <c r="C258" s="277">
        <v>18723480.68</v>
      </c>
      <c r="D258" s="278"/>
      <c r="E258" s="278">
        <v>613154.39</v>
      </c>
      <c r="F258" s="279">
        <v>0</v>
      </c>
      <c r="G258" s="280">
        <f t="shared" si="29"/>
        <v>19030057.875</v>
      </c>
      <c r="H258" s="290">
        <v>13.822924011192999</v>
      </c>
      <c r="I258" s="288">
        <f t="shared" si="31"/>
        <v>7.2343593814901838E-2</v>
      </c>
      <c r="J258" s="283">
        <f t="shared" si="28"/>
        <v>1376702.777183074</v>
      </c>
      <c r="K258" s="284">
        <v>1379319.28</v>
      </c>
      <c r="L258" s="291">
        <f t="shared" si="32"/>
        <v>2616.5028169259895</v>
      </c>
      <c r="M258" s="289">
        <f t="shared" si="30"/>
        <v>1.8969522538146422E-3</v>
      </c>
    </row>
    <row r="259" spans="1:13" x14ac:dyDescent="0.2">
      <c r="A259" s="150">
        <v>1910</v>
      </c>
      <c r="B259" s="276" t="s">
        <v>115</v>
      </c>
      <c r="C259" s="277">
        <v>0</v>
      </c>
      <c r="D259" s="278"/>
      <c r="E259" s="278">
        <v>0</v>
      </c>
      <c r="F259" s="279">
        <v>0</v>
      </c>
      <c r="G259" s="280">
        <f t="shared" si="29"/>
        <v>0</v>
      </c>
      <c r="H259" s="290"/>
      <c r="I259" s="288">
        <f t="shared" si="31"/>
        <v>0</v>
      </c>
      <c r="J259" s="283">
        <f t="shared" si="28"/>
        <v>0</v>
      </c>
      <c r="K259" s="284">
        <v>0</v>
      </c>
      <c r="L259" s="291">
        <f t="shared" si="32"/>
        <v>0</v>
      </c>
      <c r="M259" s="289">
        <f t="shared" si="30"/>
        <v>0</v>
      </c>
    </row>
    <row r="260" spans="1:13" x14ac:dyDescent="0.2">
      <c r="A260" s="150">
        <v>1915</v>
      </c>
      <c r="B260" s="276" t="s">
        <v>129</v>
      </c>
      <c r="C260" s="277">
        <v>603774.57999999961</v>
      </c>
      <c r="D260" s="278"/>
      <c r="E260" s="278">
        <v>75058.880000000005</v>
      </c>
      <c r="F260" s="279">
        <v>0</v>
      </c>
      <c r="G260" s="280">
        <f t="shared" si="29"/>
        <v>641304.01999999955</v>
      </c>
      <c r="H260" s="290">
        <v>5.0331704475413481</v>
      </c>
      <c r="I260" s="288">
        <f t="shared" si="31"/>
        <v>0.19868192631713669</v>
      </c>
      <c r="J260" s="283">
        <f t="shared" si="28"/>
        <v>127415.51804852346</v>
      </c>
      <c r="K260" s="284">
        <v>127651.84</v>
      </c>
      <c r="L260" s="291">
        <f t="shared" si="32"/>
        <v>236.32195147653692</v>
      </c>
      <c r="M260" s="289">
        <f t="shared" si="30"/>
        <v>1.8513007840430418E-3</v>
      </c>
    </row>
    <row r="261" spans="1:13" x14ac:dyDescent="0.2">
      <c r="A261" s="150">
        <v>1915</v>
      </c>
      <c r="B261" s="276" t="s">
        <v>130</v>
      </c>
      <c r="C261" s="277">
        <v>0</v>
      </c>
      <c r="D261" s="278"/>
      <c r="E261" s="278">
        <v>0</v>
      </c>
      <c r="F261" s="279">
        <v>0</v>
      </c>
      <c r="G261" s="280">
        <f t="shared" si="29"/>
        <v>0</v>
      </c>
      <c r="H261" s="290"/>
      <c r="I261" s="288">
        <f t="shared" si="31"/>
        <v>0</v>
      </c>
      <c r="J261" s="283">
        <f t="shared" si="28"/>
        <v>0</v>
      </c>
      <c r="K261" s="284">
        <v>0</v>
      </c>
      <c r="L261" s="291">
        <f t="shared" si="32"/>
        <v>0</v>
      </c>
      <c r="M261" s="289">
        <f t="shared" si="30"/>
        <v>0</v>
      </c>
    </row>
    <row r="262" spans="1:13" x14ac:dyDescent="0.2">
      <c r="A262" s="150">
        <v>1920</v>
      </c>
      <c r="B262" s="276" t="s">
        <v>131</v>
      </c>
      <c r="C262" s="277">
        <v>4421559.7300000014</v>
      </c>
      <c r="D262" s="278"/>
      <c r="E262" s="278">
        <v>1585948.28</v>
      </c>
      <c r="F262" s="279">
        <v>0</v>
      </c>
      <c r="G262" s="280">
        <f t="shared" si="29"/>
        <v>5214533.870000001</v>
      </c>
      <c r="H262" s="290">
        <v>2.999541421465453</v>
      </c>
      <c r="I262" s="288">
        <f t="shared" si="31"/>
        <v>0.33338429429370608</v>
      </c>
      <c r="J262" s="283">
        <f t="shared" si="28"/>
        <v>1738443.6943205784</v>
      </c>
      <c r="K262" s="284">
        <v>1742280.38</v>
      </c>
      <c r="L262" s="291">
        <f t="shared" si="32"/>
        <v>3836.6856794215273</v>
      </c>
      <c r="M262" s="289">
        <f t="shared" si="30"/>
        <v>2.2021057709560661E-3</v>
      </c>
    </row>
    <row r="263" spans="1:13" x14ac:dyDescent="0.2">
      <c r="A263" s="150">
        <v>1920</v>
      </c>
      <c r="B263" s="276" t="s">
        <v>132</v>
      </c>
      <c r="C263" s="277">
        <v>0</v>
      </c>
      <c r="D263" s="278"/>
      <c r="E263" s="278">
        <v>0</v>
      </c>
      <c r="F263" s="279">
        <v>0</v>
      </c>
      <c r="G263" s="280">
        <f t="shared" si="29"/>
        <v>0</v>
      </c>
      <c r="H263" s="290"/>
      <c r="I263" s="288">
        <f t="shared" si="31"/>
        <v>0</v>
      </c>
      <c r="J263" s="283">
        <f t="shared" si="28"/>
        <v>0</v>
      </c>
      <c r="K263" s="284">
        <v>0</v>
      </c>
      <c r="L263" s="291">
        <f t="shared" si="32"/>
        <v>0</v>
      </c>
      <c r="M263" s="292">
        <f t="shared" si="30"/>
        <v>0</v>
      </c>
    </row>
    <row r="264" spans="1:13" x14ac:dyDescent="0.2">
      <c r="A264" s="150">
        <v>1920</v>
      </c>
      <c r="B264" s="276" t="s">
        <v>133</v>
      </c>
      <c r="C264" s="277">
        <v>0</v>
      </c>
      <c r="D264" s="278"/>
      <c r="E264" s="278">
        <v>0</v>
      </c>
      <c r="F264" s="279">
        <v>0</v>
      </c>
      <c r="G264" s="280">
        <f t="shared" si="29"/>
        <v>0</v>
      </c>
      <c r="H264" s="290"/>
      <c r="I264" s="288">
        <f t="shared" si="31"/>
        <v>0</v>
      </c>
      <c r="J264" s="283">
        <f t="shared" si="28"/>
        <v>0</v>
      </c>
      <c r="K264" s="284">
        <v>0</v>
      </c>
      <c r="L264" s="291">
        <f t="shared" si="32"/>
        <v>0</v>
      </c>
      <c r="M264" s="292">
        <f t="shared" si="30"/>
        <v>0</v>
      </c>
    </row>
    <row r="265" spans="1:13" x14ac:dyDescent="0.2">
      <c r="A265" s="150">
        <v>1930</v>
      </c>
      <c r="B265" s="276" t="s">
        <v>134</v>
      </c>
      <c r="C265" s="277">
        <v>7979931.2199999997</v>
      </c>
      <c r="D265" s="278"/>
      <c r="E265" s="278">
        <v>877034.91</v>
      </c>
      <c r="F265" s="279">
        <v>46929.089999999967</v>
      </c>
      <c r="G265" s="280">
        <f t="shared" si="29"/>
        <v>8371519.584999999</v>
      </c>
      <c r="H265" s="290">
        <v>7.6197109343128284</v>
      </c>
      <c r="I265" s="288">
        <f t="shared" si="31"/>
        <v>0.13123857435284497</v>
      </c>
      <c r="J265" s="283">
        <f t="shared" si="28"/>
        <v>1098666.2955023204</v>
      </c>
      <c r="K265" s="284">
        <v>1117542.2</v>
      </c>
      <c r="L265" s="291">
        <f t="shared" si="32"/>
        <v>18875.904497679556</v>
      </c>
      <c r="M265" s="289">
        <f t="shared" si="30"/>
        <v>1.6890551871490453E-2</v>
      </c>
    </row>
    <row r="266" spans="1:13" x14ac:dyDescent="0.2">
      <c r="A266" s="150">
        <v>1935</v>
      </c>
      <c r="B266" s="276" t="s">
        <v>135</v>
      </c>
      <c r="C266" s="277">
        <v>27951.789999999979</v>
      </c>
      <c r="D266" s="278"/>
      <c r="E266" s="278">
        <v>0</v>
      </c>
      <c r="F266" s="279">
        <v>0</v>
      </c>
      <c r="G266" s="280">
        <f t="shared" si="29"/>
        <v>27951.789999999979</v>
      </c>
      <c r="H266" s="290">
        <v>2.4958904109589035</v>
      </c>
      <c r="I266" s="288">
        <f t="shared" si="31"/>
        <v>0.40065861690450066</v>
      </c>
      <c r="J266" s="283">
        <f t="shared" si="28"/>
        <v>11199.125521405043</v>
      </c>
      <c r="K266" s="284">
        <v>11217.49</v>
      </c>
      <c r="L266" s="291">
        <f t="shared" si="32"/>
        <v>18.364478594956381</v>
      </c>
      <c r="M266" s="289">
        <f t="shared" si="30"/>
        <v>1.6371290364383102E-3</v>
      </c>
    </row>
    <row r="267" spans="1:13" x14ac:dyDescent="0.2">
      <c r="A267" s="150">
        <v>1940</v>
      </c>
      <c r="B267" s="276" t="s">
        <v>136</v>
      </c>
      <c r="C267" s="277">
        <v>1540168.0400000003</v>
      </c>
      <c r="D267" s="278"/>
      <c r="E267" s="278">
        <v>355089.37</v>
      </c>
      <c r="F267" s="279">
        <v>0</v>
      </c>
      <c r="G267" s="280">
        <f t="shared" si="29"/>
        <v>1717712.7250000003</v>
      </c>
      <c r="H267" s="290">
        <v>5.7528616383710087</v>
      </c>
      <c r="I267" s="288">
        <f t="shared" si="31"/>
        <v>0.17382653414260835</v>
      </c>
      <c r="J267" s="283">
        <f t="shared" si="28"/>
        <v>298584.04963940539</v>
      </c>
      <c r="K267" s="284">
        <v>295860.90000000002</v>
      </c>
      <c r="L267" s="291">
        <f t="shared" si="32"/>
        <v>-2723.1496394053684</v>
      </c>
      <c r="M267" s="292">
        <f t="shared" si="30"/>
        <v>-9.2041551938947253E-3</v>
      </c>
    </row>
    <row r="268" spans="1:13" x14ac:dyDescent="0.2">
      <c r="A268" s="150">
        <v>1945</v>
      </c>
      <c r="B268" s="276" t="s">
        <v>137</v>
      </c>
      <c r="C268" s="277">
        <v>22981.059999999998</v>
      </c>
      <c r="D268" s="278"/>
      <c r="E268" s="278">
        <v>0</v>
      </c>
      <c r="F268" s="279">
        <v>0</v>
      </c>
      <c r="G268" s="280">
        <f t="shared" si="29"/>
        <v>22981.059999999998</v>
      </c>
      <c r="H268" s="290">
        <v>2.7401137294278235</v>
      </c>
      <c r="I268" s="288">
        <f t="shared" si="31"/>
        <v>0.36494835570522649</v>
      </c>
      <c r="J268" s="283">
        <f t="shared" si="28"/>
        <v>8386.9000593631517</v>
      </c>
      <c r="K268" s="284">
        <v>8391.75</v>
      </c>
      <c r="L268" s="291">
        <f t="shared" si="32"/>
        <v>4.8499406368482596</v>
      </c>
      <c r="M268" s="289">
        <f t="shared" si="30"/>
        <v>5.7794150646149612E-4</v>
      </c>
    </row>
    <row r="269" spans="1:13" x14ac:dyDescent="0.2">
      <c r="A269" s="150">
        <v>1950</v>
      </c>
      <c r="B269" s="276" t="s">
        <v>138</v>
      </c>
      <c r="C269" s="277">
        <v>0</v>
      </c>
      <c r="D269" s="278"/>
      <c r="E269" s="278">
        <v>0</v>
      </c>
      <c r="F269" s="279">
        <v>0</v>
      </c>
      <c r="G269" s="280">
        <f t="shared" si="29"/>
        <v>0</v>
      </c>
      <c r="H269" s="290"/>
      <c r="I269" s="288">
        <f t="shared" si="31"/>
        <v>0</v>
      </c>
      <c r="J269" s="283">
        <f t="shared" si="28"/>
        <v>0</v>
      </c>
      <c r="K269" s="284">
        <v>0</v>
      </c>
      <c r="L269" s="291">
        <f t="shared" si="32"/>
        <v>0</v>
      </c>
      <c r="M269" s="292">
        <f t="shared" si="30"/>
        <v>0</v>
      </c>
    </row>
    <row r="270" spans="1:13" x14ac:dyDescent="0.2">
      <c r="A270" s="150">
        <v>1955</v>
      </c>
      <c r="B270" s="276" t="s">
        <v>139</v>
      </c>
      <c r="C270" s="277">
        <v>596492.94999999925</v>
      </c>
      <c r="D270" s="278"/>
      <c r="E270" s="278">
        <v>0</v>
      </c>
      <c r="F270" s="279">
        <v>0</v>
      </c>
      <c r="G270" s="280">
        <f t="shared" si="29"/>
        <v>596492.94999999925</v>
      </c>
      <c r="H270" s="290">
        <v>3.9484933659745414</v>
      </c>
      <c r="I270" s="288">
        <f t="shared" si="31"/>
        <v>0.25326115743724609</v>
      </c>
      <c r="J270" s="283">
        <f t="shared" si="28"/>
        <v>151068.49492015716</v>
      </c>
      <c r="K270" s="284">
        <v>151278.53</v>
      </c>
      <c r="L270" s="291">
        <f t="shared" si="32"/>
        <v>210.03507984284079</v>
      </c>
      <c r="M270" s="292">
        <f t="shared" si="30"/>
        <v>1.3883997936973659E-3</v>
      </c>
    </row>
    <row r="271" spans="1:13" x14ac:dyDescent="0.2">
      <c r="A271" s="150">
        <v>1955</v>
      </c>
      <c r="B271" s="276" t="s">
        <v>140</v>
      </c>
      <c r="C271" s="277">
        <v>0</v>
      </c>
      <c r="D271" s="278"/>
      <c r="E271" s="278">
        <v>0</v>
      </c>
      <c r="F271" s="279">
        <v>0</v>
      </c>
      <c r="G271" s="280">
        <f t="shared" si="29"/>
        <v>0</v>
      </c>
      <c r="H271" s="290"/>
      <c r="I271" s="288">
        <f t="shared" si="31"/>
        <v>0</v>
      </c>
      <c r="J271" s="283">
        <f t="shared" si="28"/>
        <v>0</v>
      </c>
      <c r="K271" s="284">
        <v>0</v>
      </c>
      <c r="L271" s="291">
        <f t="shared" si="32"/>
        <v>0</v>
      </c>
      <c r="M271" s="289">
        <f t="shared" si="30"/>
        <v>0</v>
      </c>
    </row>
    <row r="272" spans="1:13" x14ac:dyDescent="0.2">
      <c r="A272" s="150">
        <v>1960</v>
      </c>
      <c r="B272" s="276" t="s">
        <v>141</v>
      </c>
      <c r="C272" s="277">
        <v>160195.57999999996</v>
      </c>
      <c r="D272" s="278"/>
      <c r="E272" s="278">
        <v>0</v>
      </c>
      <c r="F272" s="279">
        <v>0</v>
      </c>
      <c r="G272" s="280">
        <f t="shared" si="29"/>
        <v>160195.57999999996</v>
      </c>
      <c r="H272" s="290">
        <v>5.1856535819082241</v>
      </c>
      <c r="I272" s="288">
        <f t="shared" si="31"/>
        <v>0.19283972294038557</v>
      </c>
      <c r="J272" s="283">
        <f t="shared" si="28"/>
        <v>30892.071263474365</v>
      </c>
      <c r="K272" s="284">
        <v>30950.15</v>
      </c>
      <c r="L272" s="291">
        <f t="shared" si="32"/>
        <v>58.078736525636486</v>
      </c>
      <c r="M272" s="292">
        <f t="shared" si="30"/>
        <v>1.8765252034525352E-3</v>
      </c>
    </row>
    <row r="273" spans="1:17" x14ac:dyDescent="0.2">
      <c r="A273" s="150">
        <v>1970</v>
      </c>
      <c r="B273" s="293" t="s">
        <v>142</v>
      </c>
      <c r="C273" s="277">
        <v>0</v>
      </c>
      <c r="D273" s="278"/>
      <c r="E273" s="278">
        <v>0</v>
      </c>
      <c r="F273" s="279">
        <v>0</v>
      </c>
      <c r="G273" s="280">
        <f t="shared" si="29"/>
        <v>0</v>
      </c>
      <c r="H273" s="290"/>
      <c r="I273" s="288">
        <f t="shared" si="31"/>
        <v>0</v>
      </c>
      <c r="J273" s="283">
        <f t="shared" si="28"/>
        <v>0</v>
      </c>
      <c r="K273" s="284">
        <v>0</v>
      </c>
      <c r="L273" s="291">
        <f t="shared" si="32"/>
        <v>0</v>
      </c>
      <c r="M273" s="292">
        <f t="shared" si="30"/>
        <v>0</v>
      </c>
    </row>
    <row r="274" spans="1:17" x14ac:dyDescent="0.2">
      <c r="A274" s="150">
        <v>1975</v>
      </c>
      <c r="B274" s="276" t="s">
        <v>143</v>
      </c>
      <c r="C274" s="277">
        <v>0</v>
      </c>
      <c r="D274" s="278"/>
      <c r="E274" s="278">
        <v>0</v>
      </c>
      <c r="F274" s="279">
        <v>0</v>
      </c>
      <c r="G274" s="280">
        <f t="shared" si="29"/>
        <v>0</v>
      </c>
      <c r="H274" s="290"/>
      <c r="I274" s="288">
        <f t="shared" si="31"/>
        <v>0</v>
      </c>
      <c r="J274" s="283">
        <f t="shared" si="28"/>
        <v>0</v>
      </c>
      <c r="K274" s="284">
        <v>0</v>
      </c>
      <c r="L274" s="291">
        <f t="shared" si="32"/>
        <v>0</v>
      </c>
      <c r="M274" s="289">
        <f t="shared" si="30"/>
        <v>0</v>
      </c>
    </row>
    <row r="275" spans="1:17" x14ac:dyDescent="0.2">
      <c r="A275" s="150">
        <v>1980</v>
      </c>
      <c r="B275" s="276" t="s">
        <v>144</v>
      </c>
      <c r="C275" s="277">
        <v>4664707.9489999972</v>
      </c>
      <c r="D275" s="278"/>
      <c r="E275" s="278">
        <v>597246.1</v>
      </c>
      <c r="F275" s="279">
        <v>0</v>
      </c>
      <c r="G275" s="280">
        <f t="shared" si="29"/>
        <v>4963330.998999997</v>
      </c>
      <c r="H275" s="290">
        <v>9.4127713879382569</v>
      </c>
      <c r="I275" s="288">
        <f t="shared" si="31"/>
        <v>0.10623863671876947</v>
      </c>
      <c r="J275" s="283">
        <f t="shared" si="28"/>
        <v>527297.51891776791</v>
      </c>
      <c r="K275" s="284">
        <v>528448.1399999999</v>
      </c>
      <c r="L275" s="291">
        <f t="shared" si="32"/>
        <v>1150.6210822319845</v>
      </c>
      <c r="M275" s="289">
        <f t="shared" si="30"/>
        <v>2.177358562056789E-3</v>
      </c>
    </row>
    <row r="276" spans="1:17" x14ac:dyDescent="0.2">
      <c r="A276" s="150">
        <v>1985</v>
      </c>
      <c r="B276" s="276" t="s">
        <v>145</v>
      </c>
      <c r="C276" s="277">
        <v>0</v>
      </c>
      <c r="D276" s="278"/>
      <c r="E276" s="278">
        <v>0</v>
      </c>
      <c r="F276" s="279">
        <v>0</v>
      </c>
      <c r="G276" s="280">
        <f t="shared" si="29"/>
        <v>0</v>
      </c>
      <c r="H276" s="290"/>
      <c r="I276" s="288">
        <f t="shared" si="31"/>
        <v>0</v>
      </c>
      <c r="J276" s="283">
        <f t="shared" si="28"/>
        <v>0</v>
      </c>
      <c r="K276" s="284">
        <v>0</v>
      </c>
      <c r="L276" s="291">
        <f t="shared" si="32"/>
        <v>0</v>
      </c>
      <c r="M276" s="292">
        <f t="shared" si="30"/>
        <v>0</v>
      </c>
    </row>
    <row r="277" spans="1:17" x14ac:dyDescent="0.2">
      <c r="A277" s="150">
        <v>1990</v>
      </c>
      <c r="B277" s="235" t="s">
        <v>146</v>
      </c>
      <c r="C277" s="277">
        <v>0</v>
      </c>
      <c r="D277" s="278"/>
      <c r="E277" s="278">
        <v>0</v>
      </c>
      <c r="F277" s="279">
        <v>0</v>
      </c>
      <c r="G277" s="280">
        <f t="shared" si="29"/>
        <v>0</v>
      </c>
      <c r="H277" s="290"/>
      <c r="I277" s="288">
        <f t="shared" si="31"/>
        <v>0</v>
      </c>
      <c r="J277" s="283">
        <f t="shared" si="28"/>
        <v>0</v>
      </c>
      <c r="K277" s="284">
        <v>0</v>
      </c>
      <c r="L277" s="291">
        <f t="shared" si="32"/>
        <v>0</v>
      </c>
      <c r="M277" s="289">
        <f t="shared" si="30"/>
        <v>0</v>
      </c>
    </row>
    <row r="278" spans="1:17" x14ac:dyDescent="0.2">
      <c r="A278" s="150">
        <v>1995</v>
      </c>
      <c r="B278" s="276" t="s">
        <v>147</v>
      </c>
      <c r="C278" s="277">
        <v>0</v>
      </c>
      <c r="D278" s="278"/>
      <c r="E278" s="278">
        <v>0</v>
      </c>
      <c r="F278" s="279">
        <v>0</v>
      </c>
      <c r="G278" s="280">
        <f t="shared" si="29"/>
        <v>0</v>
      </c>
      <c r="H278" s="290"/>
      <c r="I278" s="294">
        <f t="shared" si="31"/>
        <v>0</v>
      </c>
      <c r="J278" s="295">
        <f t="shared" si="28"/>
        <v>0</v>
      </c>
      <c r="K278" s="284">
        <v>0</v>
      </c>
      <c r="L278" s="291">
        <f t="shared" si="32"/>
        <v>0</v>
      </c>
      <c r="M278" s="289">
        <f t="shared" si="30"/>
        <v>0</v>
      </c>
    </row>
    <row r="279" spans="1:17" x14ac:dyDescent="0.2">
      <c r="A279" s="150">
        <v>2075</v>
      </c>
      <c r="B279" s="276" t="s">
        <v>148</v>
      </c>
      <c r="C279" s="277">
        <v>720652.58999999962</v>
      </c>
      <c r="D279" s="278"/>
      <c r="E279" s="278">
        <v>0</v>
      </c>
      <c r="F279" s="279">
        <v>0</v>
      </c>
      <c r="G279" s="280">
        <f t="shared" si="29"/>
        <v>720652.58999999962</v>
      </c>
      <c r="H279" s="290">
        <v>12.006834884041487</v>
      </c>
      <c r="I279" s="294">
        <f t="shared" si="31"/>
        <v>8.3285895879947433E-2</v>
      </c>
      <c r="J279" s="295">
        <f t="shared" si="28"/>
        <v>60020.196576354414</v>
      </c>
      <c r="K279" s="284">
        <v>56225.52</v>
      </c>
      <c r="L279" s="291">
        <f t="shared" si="32"/>
        <v>-3794.6765763544172</v>
      </c>
      <c r="M279" s="289">
        <f t="shared" si="30"/>
        <v>-6.7490288686603825E-2</v>
      </c>
    </row>
    <row r="280" spans="1:17" x14ac:dyDescent="0.2">
      <c r="A280" s="150">
        <v>2440</v>
      </c>
      <c r="B280" s="151" t="s">
        <v>166</v>
      </c>
      <c r="C280" s="277">
        <v>-108017093.14</v>
      </c>
      <c r="D280" s="278"/>
      <c r="E280" s="278">
        <v>-8720349.25</v>
      </c>
      <c r="F280" s="279">
        <v>-117986.57999999999</v>
      </c>
      <c r="G280" s="280">
        <f t="shared" si="29"/>
        <v>-112259281.185</v>
      </c>
      <c r="H280" s="290">
        <v>36.036978438561405</v>
      </c>
      <c r="I280" s="294">
        <f t="shared" si="31"/>
        <v>2.7749274310133309E-2</v>
      </c>
      <c r="J280" s="295">
        <f t="shared" si="28"/>
        <v>-3115113.5874609523</v>
      </c>
      <c r="K280" s="284">
        <v>-3123343.6</v>
      </c>
      <c r="L280" s="291">
        <f t="shared" si="32"/>
        <v>-8230.0125390477479</v>
      </c>
      <c r="M280" s="289">
        <f t="shared" si="30"/>
        <v>2.6350006893406629E-3</v>
      </c>
    </row>
    <row r="281" spans="1:17" ht="13.5" thickBot="1" x14ac:dyDescent="0.25">
      <c r="A281" s="232">
        <v>2005</v>
      </c>
      <c r="B281" s="296" t="s">
        <v>329</v>
      </c>
      <c r="C281" s="277">
        <v>333832.13000000012</v>
      </c>
      <c r="D281" s="278"/>
      <c r="E281" s="278">
        <v>0</v>
      </c>
      <c r="F281" s="279">
        <v>0</v>
      </c>
      <c r="G281" s="280">
        <f t="shared" si="29"/>
        <v>333832.13000000012</v>
      </c>
      <c r="H281" s="297">
        <v>2.7564355573648891</v>
      </c>
      <c r="I281" s="298">
        <f t="shared" si="31"/>
        <v>0.36278736766695352</v>
      </c>
      <c r="J281" s="299">
        <f t="shared" si="28"/>
        <v>121110.07968535228</v>
      </c>
      <c r="K281" s="284">
        <v>124371.83999999985</v>
      </c>
      <c r="L281" s="300">
        <f t="shared" si="32"/>
        <v>3261.760314647574</v>
      </c>
      <c r="M281" s="301">
        <f t="shared" si="30"/>
        <v>2.6225874881706163E-2</v>
      </c>
    </row>
    <row r="282" spans="1:17" ht="13.5" thickBot="1" x14ac:dyDescent="0.25">
      <c r="A282" s="302"/>
      <c r="B282" s="303" t="s">
        <v>43</v>
      </c>
      <c r="C282" s="304">
        <f>SUM(C238:C281)</f>
        <v>423058329.32360005</v>
      </c>
      <c r="D282" s="304">
        <f t="shared" ref="D282:F282" si="33">SUM(D238:D281)</f>
        <v>0</v>
      </c>
      <c r="E282" s="304">
        <f t="shared" si="33"/>
        <v>37764468.5</v>
      </c>
      <c r="F282" s="304">
        <f t="shared" si="33"/>
        <v>1281682.1100000003</v>
      </c>
      <c r="G282" s="304">
        <f>SUM(G240:G281)</f>
        <v>436213811.82360011</v>
      </c>
      <c r="H282" s="304"/>
      <c r="I282" s="305"/>
      <c r="J282" s="304">
        <f>SUM(J238:J281)</f>
        <v>21877226.360675324</v>
      </c>
      <c r="K282" s="304">
        <f t="shared" ref="K282:L282" si="34">SUM(K238:K281)</f>
        <v>21985635.259999994</v>
      </c>
      <c r="L282" s="306">
        <f t="shared" si="34"/>
        <v>108408.89932467649</v>
      </c>
      <c r="M282" s="307">
        <f t="shared" si="30"/>
        <v>4.930896835258265E-3</v>
      </c>
    </row>
    <row r="283" spans="1:17" x14ac:dyDescent="0.2">
      <c r="A283" s="122"/>
      <c r="B283" s="124"/>
      <c r="C283" s="308"/>
      <c r="D283" s="308"/>
      <c r="E283" s="308"/>
      <c r="F283" s="308"/>
      <c r="G283" s="308"/>
      <c r="H283" s="308"/>
      <c r="I283" s="308"/>
      <c r="J283" s="308"/>
      <c r="K283" s="308"/>
    </row>
    <row r="284" spans="1:17" ht="13.5" thickBot="1" x14ac:dyDescent="0.25"/>
    <row r="285" spans="1:17" ht="18" customHeight="1" thickBot="1" x14ac:dyDescent="0.3">
      <c r="A285" s="253"/>
      <c r="B285" s="253"/>
      <c r="C285" s="253"/>
      <c r="D285" s="253"/>
      <c r="E285" s="254" t="s">
        <v>300</v>
      </c>
      <c r="F285" s="259">
        <v>2025</v>
      </c>
      <c r="G285" s="253"/>
      <c r="H285" s="253"/>
      <c r="I285" s="253"/>
      <c r="J285" s="253"/>
      <c r="K285" s="253"/>
    </row>
    <row r="286" spans="1:17" ht="13.5" thickBot="1" x14ac:dyDescent="0.25">
      <c r="A286" s="260"/>
      <c r="B286" s="260"/>
      <c r="C286" s="260"/>
      <c r="D286" s="260"/>
      <c r="E286" s="260"/>
      <c r="F286" s="260"/>
      <c r="G286" s="260"/>
      <c r="H286" s="260"/>
      <c r="I286" s="260"/>
      <c r="J286" s="260"/>
      <c r="K286" s="260"/>
      <c r="Q286" s="123">
        <v>2017</v>
      </c>
    </row>
    <row r="287" spans="1:17" ht="19.149999999999999" customHeight="1" thickBot="1" x14ac:dyDescent="0.3">
      <c r="A287" s="253"/>
      <c r="B287" s="253"/>
      <c r="C287" s="457" t="s">
        <v>301</v>
      </c>
      <c r="D287" s="458"/>
      <c r="E287" s="458"/>
      <c r="F287" s="458"/>
      <c r="G287" s="459" t="s">
        <v>302</v>
      </c>
      <c r="H287" s="460"/>
      <c r="I287" s="261" t="s">
        <v>303</v>
      </c>
      <c r="J287" s="253"/>
      <c r="K287" s="253"/>
      <c r="Q287" s="123">
        <v>2018</v>
      </c>
    </row>
    <row r="288" spans="1:17" ht="64.150000000000006" customHeight="1" thickBot="1" x14ac:dyDescent="0.25">
      <c r="A288" s="453" t="s">
        <v>304</v>
      </c>
      <c r="B288" s="455" t="s">
        <v>305</v>
      </c>
      <c r="C288" s="262" t="s">
        <v>306</v>
      </c>
      <c r="D288" s="263" t="s">
        <v>307</v>
      </c>
      <c r="E288" s="264" t="s">
        <v>308</v>
      </c>
      <c r="F288" s="265" t="s">
        <v>309</v>
      </c>
      <c r="G288" s="265" t="s">
        <v>310</v>
      </c>
      <c r="H288" s="262" t="s">
        <v>311</v>
      </c>
      <c r="I288" s="266" t="s">
        <v>312</v>
      </c>
      <c r="J288" s="267" t="s">
        <v>313</v>
      </c>
      <c r="K288" s="264" t="s">
        <v>331</v>
      </c>
      <c r="L288" s="266" t="s">
        <v>315</v>
      </c>
      <c r="M288" s="266" t="s">
        <v>316</v>
      </c>
    </row>
    <row r="289" spans="1:13" ht="13.5" thickBot="1" x14ac:dyDescent="0.25">
      <c r="A289" s="454"/>
      <c r="B289" s="456"/>
      <c r="C289" s="268" t="s">
        <v>317</v>
      </c>
      <c r="D289" s="269" t="s">
        <v>318</v>
      </c>
      <c r="E289" s="270" t="s">
        <v>319</v>
      </c>
      <c r="F289" s="270" t="s">
        <v>320</v>
      </c>
      <c r="G289" s="271" t="s">
        <v>321</v>
      </c>
      <c r="H289" s="272" t="s">
        <v>322</v>
      </c>
      <c r="I289" s="270" t="s">
        <v>323</v>
      </c>
      <c r="J289" s="268" t="s">
        <v>324</v>
      </c>
      <c r="K289" s="273" t="s">
        <v>325</v>
      </c>
      <c r="L289" s="271" t="s">
        <v>326</v>
      </c>
      <c r="M289" s="274" t="s">
        <v>327</v>
      </c>
    </row>
    <row r="290" spans="1:13" ht="13.5" thickBot="1" x14ac:dyDescent="0.25">
      <c r="A290" s="275">
        <v>1609</v>
      </c>
      <c r="B290" s="276" t="s">
        <v>108</v>
      </c>
      <c r="C290" s="277">
        <v>5229819.6500000004</v>
      </c>
      <c r="D290" s="278"/>
      <c r="E290" s="278">
        <v>0</v>
      </c>
      <c r="F290" s="279">
        <v>0</v>
      </c>
      <c r="G290" s="280">
        <f>C290-D290+(E290*0.5)-F290</f>
        <v>5229819.6500000004</v>
      </c>
      <c r="H290" s="281">
        <v>8.4958904109589035</v>
      </c>
      <c r="I290" s="282">
        <f>IF(H290=0,0,1/H290)</f>
        <v>0.11770396646243148</v>
      </c>
      <c r="J290" s="283">
        <f t="shared" ref="J290:J333" si="35">IF(H290=0,0,+G290/H290)</f>
        <v>615570.51668816514</v>
      </c>
      <c r="K290" s="284">
        <v>615173.75839999993</v>
      </c>
      <c r="L290" s="285">
        <f>IF(ISERROR(+K290-J290), 0, +K290-J290)</f>
        <v>-396.75828816520516</v>
      </c>
      <c r="M290" s="286">
        <f>IFERROR(L290/K290,0)</f>
        <v>-6.449532067120846E-4</v>
      </c>
    </row>
    <row r="291" spans="1:13" x14ac:dyDescent="0.2">
      <c r="A291" s="275">
        <v>1610</v>
      </c>
      <c r="B291" s="287" t="s">
        <v>328</v>
      </c>
      <c r="C291" s="277">
        <v>587402.21</v>
      </c>
      <c r="D291" s="278"/>
      <c r="E291" s="278">
        <v>0</v>
      </c>
      <c r="F291" s="279">
        <v>0</v>
      </c>
      <c r="G291" s="280">
        <f>C291-D291+(E291*0.5)-F291</f>
        <v>587402.21</v>
      </c>
      <c r="H291" s="281">
        <v>3.1575993296154055</v>
      </c>
      <c r="I291" s="282">
        <f>IF(H291=0,0,1/H291)</f>
        <v>0.31669629221824025</v>
      </c>
      <c r="J291" s="283">
        <f t="shared" si="35"/>
        <v>186028.10194780011</v>
      </c>
      <c r="K291" s="284">
        <v>185997.9926</v>
      </c>
      <c r="L291" s="285">
        <f>IF(ISERROR(+K291-J291), 0, +K291-J291)</f>
        <v>-30.109347800113028</v>
      </c>
      <c r="M291" s="286">
        <f>IFERROR(L291/K291,0)</f>
        <v>-1.6187996106423048E-4</v>
      </c>
    </row>
    <row r="292" spans="1:13" x14ac:dyDescent="0.2">
      <c r="A292" s="234">
        <v>1611</v>
      </c>
      <c r="B292" s="287" t="s">
        <v>111</v>
      </c>
      <c r="C292" s="277">
        <v>3037240.6800000034</v>
      </c>
      <c r="D292" s="278"/>
      <c r="E292" s="278">
        <v>2514958.2499999995</v>
      </c>
      <c r="F292" s="279">
        <v>0</v>
      </c>
      <c r="G292" s="280">
        <f t="shared" ref="G292:G333" si="36">C292-D292+(E292*0.5)-F292</f>
        <v>4294719.8050000034</v>
      </c>
      <c r="H292" s="281">
        <v>2.3649491149071578</v>
      </c>
      <c r="I292" s="288">
        <f>IF(H292=0,0,1/H292)</f>
        <v>0.42284207879849356</v>
      </c>
      <c r="J292" s="283">
        <f t="shared" si="35"/>
        <v>1815988.2502032623</v>
      </c>
      <c r="K292" s="284">
        <v>1816354.2436999995</v>
      </c>
      <c r="L292" s="285">
        <f>IF(ISERROR(+K292-J292), 0, +K292-J292)</f>
        <v>365.99349673721008</v>
      </c>
      <c r="M292" s="289">
        <f t="shared" ref="M292:M334" si="37">IFERROR(L292/K292,0)</f>
        <v>2.0149896310516169E-4</v>
      </c>
    </row>
    <row r="293" spans="1:13" x14ac:dyDescent="0.2">
      <c r="A293" s="150">
        <v>1612</v>
      </c>
      <c r="B293" s="276" t="s">
        <v>112</v>
      </c>
      <c r="C293" s="277">
        <v>332543.68000000034</v>
      </c>
      <c r="D293" s="278"/>
      <c r="E293" s="278">
        <v>0</v>
      </c>
      <c r="F293" s="279">
        <v>0</v>
      </c>
      <c r="G293" s="280">
        <f t="shared" si="36"/>
        <v>332543.68000000034</v>
      </c>
      <c r="H293" s="290">
        <v>27.013912442717448</v>
      </c>
      <c r="I293" s="288">
        <f t="shared" ref="I293:I333" si="38">IF(H293=0,0,1/H293)</f>
        <v>3.7017962582076305E-2</v>
      </c>
      <c r="J293" s="283">
        <f t="shared" si="35"/>
        <v>12310.08950314597</v>
      </c>
      <c r="K293" s="284">
        <v>12301.7492</v>
      </c>
      <c r="L293" s="291">
        <f t="shared" ref="L293:L333" si="39">IF(ISERROR(+K293-J293), 0, +K293-J293)</f>
        <v>-8.3403031459693011</v>
      </c>
      <c r="M293" s="289">
        <f t="shared" si="37"/>
        <v>-6.7797701045387113E-4</v>
      </c>
    </row>
    <row r="294" spans="1:13" x14ac:dyDescent="0.2">
      <c r="A294" s="150">
        <v>1805</v>
      </c>
      <c r="B294" s="276" t="s">
        <v>113</v>
      </c>
      <c r="C294" s="277">
        <v>1190619.8899999999</v>
      </c>
      <c r="D294" s="278"/>
      <c r="E294" s="278">
        <v>0</v>
      </c>
      <c r="F294" s="279">
        <v>0</v>
      </c>
      <c r="G294" s="280">
        <f t="shared" si="36"/>
        <v>1190619.8899999999</v>
      </c>
      <c r="H294" s="290"/>
      <c r="I294" s="288">
        <f t="shared" si="38"/>
        <v>0</v>
      </c>
      <c r="J294" s="283">
        <f t="shared" si="35"/>
        <v>0</v>
      </c>
      <c r="K294" s="284">
        <v>0</v>
      </c>
      <c r="L294" s="291">
        <f t="shared" si="39"/>
        <v>0</v>
      </c>
      <c r="M294" s="289">
        <f t="shared" si="37"/>
        <v>0</v>
      </c>
    </row>
    <row r="295" spans="1:13" x14ac:dyDescent="0.2">
      <c r="A295" s="150">
        <v>1808</v>
      </c>
      <c r="B295" s="276" t="s">
        <v>114</v>
      </c>
      <c r="C295" s="277">
        <v>187980.1799999997</v>
      </c>
      <c r="D295" s="278"/>
      <c r="E295" s="278">
        <v>0</v>
      </c>
      <c r="F295" s="279">
        <v>0</v>
      </c>
      <c r="G295" s="280">
        <f t="shared" si="36"/>
        <v>187980.1799999997</v>
      </c>
      <c r="H295" s="290">
        <v>19.623482731327435</v>
      </c>
      <c r="I295" s="288">
        <f t="shared" si="38"/>
        <v>5.0959353835982137E-2</v>
      </c>
      <c r="J295" s="283">
        <f t="shared" si="35"/>
        <v>9579.3485067715974</v>
      </c>
      <c r="K295" s="284">
        <v>9573.8109999999997</v>
      </c>
      <c r="L295" s="291">
        <f t="shared" si="39"/>
        <v>-5.5375067715976911</v>
      </c>
      <c r="M295" s="289">
        <f t="shared" si="37"/>
        <v>-5.7840151342006762E-4</v>
      </c>
    </row>
    <row r="296" spans="1:13" x14ac:dyDescent="0.2">
      <c r="A296" s="150">
        <v>1810</v>
      </c>
      <c r="B296" s="276" t="s">
        <v>115</v>
      </c>
      <c r="C296" s="277">
        <v>0</v>
      </c>
      <c r="D296" s="278"/>
      <c r="E296" s="278">
        <v>0</v>
      </c>
      <c r="F296" s="279">
        <v>0</v>
      </c>
      <c r="G296" s="280">
        <f t="shared" si="36"/>
        <v>0</v>
      </c>
      <c r="H296" s="290"/>
      <c r="I296" s="288">
        <f t="shared" si="38"/>
        <v>0</v>
      </c>
      <c r="J296" s="283">
        <f t="shared" si="35"/>
        <v>0</v>
      </c>
      <c r="K296" s="284">
        <v>0</v>
      </c>
      <c r="L296" s="291">
        <f t="shared" si="39"/>
        <v>0</v>
      </c>
      <c r="M296" s="289">
        <f t="shared" si="37"/>
        <v>0</v>
      </c>
    </row>
    <row r="297" spans="1:13" x14ac:dyDescent="0.2">
      <c r="A297" s="150">
        <v>1815</v>
      </c>
      <c r="B297" s="276" t="s">
        <v>116</v>
      </c>
      <c r="C297" s="277">
        <v>159809.26999999993</v>
      </c>
      <c r="D297" s="278"/>
      <c r="E297" s="278">
        <v>0</v>
      </c>
      <c r="F297" s="279">
        <v>0</v>
      </c>
      <c r="G297" s="280">
        <f t="shared" si="36"/>
        <v>159809.26999999993</v>
      </c>
      <c r="H297" s="290">
        <v>28.860097773272795</v>
      </c>
      <c r="I297" s="288">
        <f t="shared" si="38"/>
        <v>3.464991726140635E-2</v>
      </c>
      <c r="J297" s="283">
        <f t="shared" si="35"/>
        <v>5537.3779831057454</v>
      </c>
      <c r="K297" s="284">
        <v>5533.6344000000972</v>
      </c>
      <c r="L297" s="291">
        <f t="shared" si="39"/>
        <v>-3.7435831056482129</v>
      </c>
      <c r="M297" s="289">
        <f t="shared" si="37"/>
        <v>-6.7651435476983213E-4</v>
      </c>
    </row>
    <row r="298" spans="1:13" x14ac:dyDescent="0.2">
      <c r="A298" s="150">
        <v>1820</v>
      </c>
      <c r="B298" s="276" t="s">
        <v>117</v>
      </c>
      <c r="C298" s="277">
        <v>59896604.278100014</v>
      </c>
      <c r="D298" s="278"/>
      <c r="E298" s="278">
        <v>3926926.6902000001</v>
      </c>
      <c r="F298" s="279">
        <v>800825.16100000008</v>
      </c>
      <c r="G298" s="280">
        <f t="shared" si="36"/>
        <v>61059242.462200016</v>
      </c>
      <c r="H298" s="290">
        <v>27.434765396282184</v>
      </c>
      <c r="I298" s="288">
        <f t="shared" si="38"/>
        <v>3.6450102107872036E-2</v>
      </c>
      <c r="J298" s="283">
        <f t="shared" si="35"/>
        <v>2225615.6223765062</v>
      </c>
      <c r="K298" s="284">
        <v>2254393.7336325003</v>
      </c>
      <c r="L298" s="291">
        <f t="shared" si="39"/>
        <v>28778.111255994067</v>
      </c>
      <c r="M298" s="289">
        <f t="shared" si="37"/>
        <v>1.2765343882332369E-2</v>
      </c>
    </row>
    <row r="299" spans="1:13" x14ac:dyDescent="0.2">
      <c r="A299" s="150">
        <v>1825</v>
      </c>
      <c r="B299" s="276" t="s">
        <v>118</v>
      </c>
      <c r="C299" s="277">
        <v>0</v>
      </c>
      <c r="D299" s="278"/>
      <c r="E299" s="278">
        <v>0</v>
      </c>
      <c r="F299" s="279">
        <v>0</v>
      </c>
      <c r="G299" s="280">
        <f t="shared" si="36"/>
        <v>0</v>
      </c>
      <c r="H299" s="290"/>
      <c r="I299" s="288">
        <f t="shared" si="38"/>
        <v>0</v>
      </c>
      <c r="J299" s="283">
        <f t="shared" si="35"/>
        <v>0</v>
      </c>
      <c r="K299" s="284">
        <v>0</v>
      </c>
      <c r="L299" s="291">
        <f t="shared" si="39"/>
        <v>0</v>
      </c>
      <c r="M299" s="289">
        <f t="shared" si="37"/>
        <v>0</v>
      </c>
    </row>
    <row r="300" spans="1:13" x14ac:dyDescent="0.2">
      <c r="A300" s="150">
        <v>1830</v>
      </c>
      <c r="B300" s="276" t="s">
        <v>119</v>
      </c>
      <c r="C300" s="277">
        <v>112781517.17000003</v>
      </c>
      <c r="D300" s="278"/>
      <c r="E300" s="278">
        <v>22402170.560789999</v>
      </c>
      <c r="F300" s="279">
        <v>202199.02163300329</v>
      </c>
      <c r="G300" s="280">
        <f t="shared" si="36"/>
        <v>123780403.42876203</v>
      </c>
      <c r="H300" s="290">
        <v>32.258205415582211</v>
      </c>
      <c r="I300" s="288">
        <f t="shared" si="38"/>
        <v>3.0999864596216925E-2</v>
      </c>
      <c r="J300" s="283">
        <f t="shared" si="35"/>
        <v>3837175.7459567282</v>
      </c>
      <c r="K300" s="284">
        <v>3841330.9527098741</v>
      </c>
      <c r="L300" s="291">
        <f t="shared" si="39"/>
        <v>4155.2067531459033</v>
      </c>
      <c r="M300" s="292">
        <f t="shared" si="37"/>
        <v>1.0817101687670533E-3</v>
      </c>
    </row>
    <row r="301" spans="1:13" x14ac:dyDescent="0.2">
      <c r="A301" s="150">
        <v>1835</v>
      </c>
      <c r="B301" s="276" t="s">
        <v>120</v>
      </c>
      <c r="C301" s="277">
        <v>70537032.647499979</v>
      </c>
      <c r="D301" s="278"/>
      <c r="E301" s="278">
        <v>15576805.0197</v>
      </c>
      <c r="F301" s="279">
        <v>95025.139535374241</v>
      </c>
      <c r="G301" s="280">
        <f t="shared" si="36"/>
        <v>78230410.017814606</v>
      </c>
      <c r="H301" s="290">
        <v>33.544620201778685</v>
      </c>
      <c r="I301" s="288">
        <f t="shared" si="38"/>
        <v>2.9811039564161635E-2</v>
      </c>
      <c r="J301" s="283">
        <f t="shared" si="35"/>
        <v>2332129.8481616578</v>
      </c>
      <c r="K301" s="284">
        <v>2341290.7214818336</v>
      </c>
      <c r="L301" s="291">
        <f t="shared" si="39"/>
        <v>9160.8733201758005</v>
      </c>
      <c r="M301" s="289">
        <f t="shared" si="37"/>
        <v>3.9127448958486298E-3</v>
      </c>
    </row>
    <row r="302" spans="1:13" x14ac:dyDescent="0.2">
      <c r="A302" s="150">
        <v>1840</v>
      </c>
      <c r="B302" s="276" t="s">
        <v>121</v>
      </c>
      <c r="C302" s="277">
        <v>56171337.003299996</v>
      </c>
      <c r="D302" s="278"/>
      <c r="E302" s="278">
        <v>9613790.4969999995</v>
      </c>
      <c r="F302" s="279">
        <v>0</v>
      </c>
      <c r="G302" s="280">
        <f t="shared" si="36"/>
        <v>60978232.251799993</v>
      </c>
      <c r="H302" s="290">
        <v>49.407380808239139</v>
      </c>
      <c r="I302" s="288">
        <f t="shared" si="38"/>
        <v>2.0239890956398172E-2</v>
      </c>
      <c r="J302" s="283">
        <f t="shared" si="35"/>
        <v>1234192.7714903541</v>
      </c>
      <c r="K302" s="284">
        <v>1233426.2997083336</v>
      </c>
      <c r="L302" s="291">
        <f t="shared" si="39"/>
        <v>-766.47178202052601</v>
      </c>
      <c r="M302" s="292">
        <f t="shared" si="37"/>
        <v>-6.2141676580252292E-4</v>
      </c>
    </row>
    <row r="303" spans="1:13" x14ac:dyDescent="0.2">
      <c r="A303" s="150">
        <v>1845</v>
      </c>
      <c r="B303" s="276" t="s">
        <v>122</v>
      </c>
      <c r="C303" s="277">
        <v>84497608.119899988</v>
      </c>
      <c r="D303" s="278"/>
      <c r="E303" s="278">
        <v>15538045.173179999</v>
      </c>
      <c r="F303" s="279">
        <v>50346.104215099971</v>
      </c>
      <c r="G303" s="280">
        <f t="shared" si="36"/>
        <v>92216284.60227488</v>
      </c>
      <c r="H303" s="290">
        <v>29.805655363687272</v>
      </c>
      <c r="I303" s="288">
        <f t="shared" si="38"/>
        <v>3.3550679822270127E-2</v>
      </c>
      <c r="J303" s="283">
        <f t="shared" si="35"/>
        <v>3093919.0390902632</v>
      </c>
      <c r="K303" s="284">
        <v>3094091.7050545486</v>
      </c>
      <c r="L303" s="291">
        <f t="shared" si="39"/>
        <v>172.66596428537741</v>
      </c>
      <c r="M303" s="289">
        <f t="shared" si="37"/>
        <v>5.5805057103933939E-5</v>
      </c>
    </row>
    <row r="304" spans="1:13" x14ac:dyDescent="0.2">
      <c r="A304" s="150">
        <v>1850</v>
      </c>
      <c r="B304" s="276" t="s">
        <v>123</v>
      </c>
      <c r="C304" s="277">
        <v>60632809.087400027</v>
      </c>
      <c r="D304" s="278"/>
      <c r="E304" s="278">
        <v>7619403.4170699995</v>
      </c>
      <c r="F304" s="279">
        <v>235450.28773293202</v>
      </c>
      <c r="G304" s="280">
        <f t="shared" si="36"/>
        <v>64207060.508202098</v>
      </c>
      <c r="H304" s="290">
        <v>21.681740080199731</v>
      </c>
      <c r="I304" s="288">
        <f t="shared" si="38"/>
        <v>4.6121759429872664E-2</v>
      </c>
      <c r="J304" s="283">
        <f t="shared" si="35"/>
        <v>2961342.5984585746</v>
      </c>
      <c r="K304" s="284">
        <v>2971509.0682765841</v>
      </c>
      <c r="L304" s="291">
        <f t="shared" si="39"/>
        <v>10166.469818009529</v>
      </c>
      <c r="M304" s="289">
        <f t="shared" si="37"/>
        <v>3.421315427418796E-3</v>
      </c>
    </row>
    <row r="305" spans="1:13" x14ac:dyDescent="0.2">
      <c r="A305" s="150">
        <v>1855</v>
      </c>
      <c r="B305" s="276" t="s">
        <v>124</v>
      </c>
      <c r="C305" s="277">
        <v>45679560.809400007</v>
      </c>
      <c r="D305" s="278"/>
      <c r="E305" s="278">
        <v>4760459.1966399997</v>
      </c>
      <c r="F305" s="279">
        <v>0</v>
      </c>
      <c r="G305" s="280">
        <f t="shared" si="36"/>
        <v>48059790.407720007</v>
      </c>
      <c r="H305" s="290">
        <v>32.793706149521768</v>
      </c>
      <c r="I305" s="288">
        <f t="shared" si="38"/>
        <v>3.0493656174161426E-2</v>
      </c>
      <c r="J305" s="283">
        <f t="shared" si="35"/>
        <v>1465518.7244952754</v>
      </c>
      <c r="K305" s="284">
        <v>1464615.4984900497</v>
      </c>
      <c r="L305" s="291">
        <f t="shared" si="39"/>
        <v>-903.22600522567518</v>
      </c>
      <c r="M305" s="289">
        <f t="shared" si="37"/>
        <v>-6.1669837998905449E-4</v>
      </c>
    </row>
    <row r="306" spans="1:13" x14ac:dyDescent="0.2">
      <c r="A306" s="150">
        <v>1860</v>
      </c>
      <c r="B306" s="276" t="s">
        <v>125</v>
      </c>
      <c r="C306" s="277">
        <v>2269368.71</v>
      </c>
      <c r="D306" s="278"/>
      <c r="E306" s="278">
        <v>178500</v>
      </c>
      <c r="F306" s="279">
        <v>2795.6050165413312</v>
      </c>
      <c r="G306" s="280">
        <f t="shared" si="36"/>
        <v>2355823.1049834588</v>
      </c>
      <c r="H306" s="290">
        <v>16.786217176692432</v>
      </c>
      <c r="I306" s="288">
        <f t="shared" si="38"/>
        <v>5.957268331953279E-2</v>
      </c>
      <c r="J306" s="283">
        <f t="shared" si="35"/>
        <v>140342.70379001804</v>
      </c>
      <c r="K306" s="284">
        <v>140276.43070000003</v>
      </c>
      <c r="L306" s="291">
        <f t="shared" si="39"/>
        <v>-66.273090018017683</v>
      </c>
      <c r="M306" s="289">
        <f t="shared" si="37"/>
        <v>-4.7244636670112873E-4</v>
      </c>
    </row>
    <row r="307" spans="1:13" x14ac:dyDescent="0.2">
      <c r="A307" s="150">
        <v>1860</v>
      </c>
      <c r="B307" s="276" t="s">
        <v>126</v>
      </c>
      <c r="C307" s="277">
        <v>8386514.8589999974</v>
      </c>
      <c r="D307" s="278"/>
      <c r="E307" s="278">
        <v>1248480</v>
      </c>
      <c r="F307" s="279">
        <v>12105.866115467026</v>
      </c>
      <c r="G307" s="280">
        <f t="shared" si="36"/>
        <v>8998648.9928845298</v>
      </c>
      <c r="H307" s="290">
        <v>8.5946522065647422</v>
      </c>
      <c r="I307" s="288">
        <f t="shared" si="38"/>
        <v>0.116351421321759</v>
      </c>
      <c r="J307" s="283">
        <f t="shared" si="35"/>
        <v>1047005.6002977303</v>
      </c>
      <c r="K307" s="284">
        <v>1054502.1492999999</v>
      </c>
      <c r="L307" s="291">
        <f t="shared" si="39"/>
        <v>7496.5490022696322</v>
      </c>
      <c r="M307" s="289">
        <f t="shared" si="37"/>
        <v>7.1090884046523702E-3</v>
      </c>
    </row>
    <row r="308" spans="1:13" x14ac:dyDescent="0.2">
      <c r="A308" s="150">
        <v>1865</v>
      </c>
      <c r="B308" s="276" t="s">
        <v>127</v>
      </c>
      <c r="C308" s="277">
        <v>0</v>
      </c>
      <c r="D308" s="278"/>
      <c r="E308" s="278">
        <v>0</v>
      </c>
      <c r="F308" s="279">
        <v>0</v>
      </c>
      <c r="G308" s="280">
        <f t="shared" si="36"/>
        <v>0</v>
      </c>
      <c r="H308" s="290"/>
      <c r="I308" s="288">
        <f t="shared" si="38"/>
        <v>0</v>
      </c>
      <c r="J308" s="283">
        <f t="shared" si="35"/>
        <v>0</v>
      </c>
      <c r="K308" s="284">
        <v>0</v>
      </c>
      <c r="L308" s="291">
        <f t="shared" si="39"/>
        <v>0</v>
      </c>
      <c r="M308" s="289">
        <f t="shared" si="37"/>
        <v>0</v>
      </c>
    </row>
    <row r="309" spans="1:13" x14ac:dyDescent="0.2">
      <c r="A309" s="150">
        <v>1905</v>
      </c>
      <c r="B309" s="276" t="s">
        <v>113</v>
      </c>
      <c r="C309" s="277">
        <v>1195031.2999999998</v>
      </c>
      <c r="D309" s="278"/>
      <c r="E309" s="278">
        <v>0</v>
      </c>
      <c r="F309" s="279">
        <v>0</v>
      </c>
      <c r="G309" s="280">
        <f t="shared" si="36"/>
        <v>1195031.2999999998</v>
      </c>
      <c r="H309" s="290"/>
      <c r="I309" s="288">
        <f t="shared" si="38"/>
        <v>0</v>
      </c>
      <c r="J309" s="283">
        <f t="shared" si="35"/>
        <v>0</v>
      </c>
      <c r="K309" s="284">
        <v>0</v>
      </c>
      <c r="L309" s="291">
        <f t="shared" si="39"/>
        <v>0</v>
      </c>
      <c r="M309" s="289">
        <f t="shared" si="37"/>
        <v>0</v>
      </c>
    </row>
    <row r="310" spans="1:13" x14ac:dyDescent="0.2">
      <c r="A310" s="150">
        <v>1908</v>
      </c>
      <c r="B310" s="276" t="s">
        <v>128</v>
      </c>
      <c r="C310" s="277">
        <v>17957315.789999999</v>
      </c>
      <c r="D310" s="278"/>
      <c r="E310" s="278">
        <v>150000</v>
      </c>
      <c r="F310" s="279">
        <v>0</v>
      </c>
      <c r="G310" s="280">
        <f t="shared" si="36"/>
        <v>18032315.789999999</v>
      </c>
      <c r="H310" s="290">
        <v>13.489849801033703</v>
      </c>
      <c r="I310" s="288">
        <f t="shared" si="38"/>
        <v>7.4129809801393914E-2</v>
      </c>
      <c r="J310" s="283">
        <f t="shared" si="35"/>
        <v>1336732.1397913722</v>
      </c>
      <c r="K310" s="284">
        <v>1336152.9641</v>
      </c>
      <c r="L310" s="291">
        <f t="shared" si="39"/>
        <v>-579.17569137224928</v>
      </c>
      <c r="M310" s="289">
        <f t="shared" si="37"/>
        <v>-4.3346510985916041E-4</v>
      </c>
    </row>
    <row r="311" spans="1:13" x14ac:dyDescent="0.2">
      <c r="A311" s="150">
        <v>1910</v>
      </c>
      <c r="B311" s="276" t="s">
        <v>115</v>
      </c>
      <c r="C311" s="277">
        <v>0</v>
      </c>
      <c r="D311" s="278"/>
      <c r="E311" s="278">
        <v>0</v>
      </c>
      <c r="F311" s="279">
        <v>0</v>
      </c>
      <c r="G311" s="280">
        <f t="shared" si="36"/>
        <v>0</v>
      </c>
      <c r="H311" s="290"/>
      <c r="I311" s="288">
        <f t="shared" si="38"/>
        <v>0</v>
      </c>
      <c r="J311" s="283">
        <f t="shared" si="35"/>
        <v>0</v>
      </c>
      <c r="K311" s="284">
        <v>0</v>
      </c>
      <c r="L311" s="291">
        <f t="shared" si="39"/>
        <v>0</v>
      </c>
      <c r="M311" s="289">
        <f t="shared" si="37"/>
        <v>0</v>
      </c>
    </row>
    <row r="312" spans="1:13" x14ac:dyDescent="0.2">
      <c r="A312" s="150">
        <v>1915</v>
      </c>
      <c r="B312" s="276" t="s">
        <v>129</v>
      </c>
      <c r="C312" s="277">
        <v>551181.61999999941</v>
      </c>
      <c r="D312" s="278"/>
      <c r="E312" s="278">
        <v>60000</v>
      </c>
      <c r="F312" s="279">
        <v>0</v>
      </c>
      <c r="G312" s="280">
        <f t="shared" si="36"/>
        <v>581181.61999999941</v>
      </c>
      <c r="H312" s="290">
        <v>4.8176426166203283</v>
      </c>
      <c r="I312" s="288">
        <f t="shared" si="38"/>
        <v>0.20757039896444618</v>
      </c>
      <c r="J312" s="283">
        <f t="shared" si="35"/>
        <v>120636.10073420304</v>
      </c>
      <c r="K312" s="284">
        <v>120601.1309</v>
      </c>
      <c r="L312" s="291">
        <f t="shared" si="39"/>
        <v>-34.969834203031496</v>
      </c>
      <c r="M312" s="289">
        <f t="shared" si="37"/>
        <v>-2.8996273867471249E-4</v>
      </c>
    </row>
    <row r="313" spans="1:13" x14ac:dyDescent="0.2">
      <c r="A313" s="150">
        <v>1915</v>
      </c>
      <c r="B313" s="276" t="s">
        <v>130</v>
      </c>
      <c r="C313" s="277">
        <v>0</v>
      </c>
      <c r="D313" s="278"/>
      <c r="E313" s="278">
        <v>0</v>
      </c>
      <c r="F313" s="279">
        <v>0</v>
      </c>
      <c r="G313" s="280">
        <f t="shared" si="36"/>
        <v>0</v>
      </c>
      <c r="H313" s="290"/>
      <c r="I313" s="288">
        <f t="shared" si="38"/>
        <v>0</v>
      </c>
      <c r="J313" s="283">
        <f t="shared" si="35"/>
        <v>0</v>
      </c>
      <c r="K313" s="284">
        <v>0</v>
      </c>
      <c r="L313" s="291">
        <f t="shared" si="39"/>
        <v>0</v>
      </c>
      <c r="M313" s="289">
        <f t="shared" si="37"/>
        <v>0</v>
      </c>
    </row>
    <row r="314" spans="1:13" x14ac:dyDescent="0.2">
      <c r="A314" s="150">
        <v>1920</v>
      </c>
      <c r="B314" s="276" t="s">
        <v>131</v>
      </c>
      <c r="C314" s="277">
        <v>4265227.6300000008</v>
      </c>
      <c r="D314" s="278"/>
      <c r="E314" s="278">
        <v>1113603.3500000006</v>
      </c>
      <c r="F314" s="279">
        <v>0</v>
      </c>
      <c r="G314" s="280">
        <f t="shared" si="36"/>
        <v>4822029.3050000016</v>
      </c>
      <c r="H314" s="290">
        <v>2.703137195634405</v>
      </c>
      <c r="I314" s="288">
        <f t="shared" si="38"/>
        <v>0.36994052747859429</v>
      </c>
      <c r="J314" s="283">
        <f t="shared" si="35"/>
        <v>1783864.0646089402</v>
      </c>
      <c r="K314" s="284">
        <v>1783710.6673666663</v>
      </c>
      <c r="L314" s="291">
        <f t="shared" si="39"/>
        <v>-153.39724227390252</v>
      </c>
      <c r="M314" s="289">
        <f t="shared" si="37"/>
        <v>-8.5998948753480549E-5</v>
      </c>
    </row>
    <row r="315" spans="1:13" x14ac:dyDescent="0.2">
      <c r="A315" s="150">
        <v>1920</v>
      </c>
      <c r="B315" s="276" t="s">
        <v>132</v>
      </c>
      <c r="C315" s="277">
        <v>0</v>
      </c>
      <c r="D315" s="278"/>
      <c r="E315" s="278">
        <v>0</v>
      </c>
      <c r="F315" s="279">
        <v>0</v>
      </c>
      <c r="G315" s="280">
        <f t="shared" si="36"/>
        <v>0</v>
      </c>
      <c r="H315" s="290"/>
      <c r="I315" s="288">
        <f t="shared" si="38"/>
        <v>0</v>
      </c>
      <c r="J315" s="283">
        <f t="shared" si="35"/>
        <v>0</v>
      </c>
      <c r="K315" s="284">
        <v>0</v>
      </c>
      <c r="L315" s="291">
        <f t="shared" si="39"/>
        <v>0</v>
      </c>
      <c r="M315" s="292">
        <f t="shared" si="37"/>
        <v>0</v>
      </c>
    </row>
    <row r="316" spans="1:13" x14ac:dyDescent="0.2">
      <c r="A316" s="150">
        <v>1920</v>
      </c>
      <c r="B316" s="276" t="s">
        <v>133</v>
      </c>
      <c r="C316" s="277">
        <v>0</v>
      </c>
      <c r="D316" s="278"/>
      <c r="E316" s="278">
        <v>0</v>
      </c>
      <c r="F316" s="279">
        <v>0</v>
      </c>
      <c r="G316" s="280">
        <f t="shared" si="36"/>
        <v>0</v>
      </c>
      <c r="H316" s="290"/>
      <c r="I316" s="288">
        <f t="shared" si="38"/>
        <v>0</v>
      </c>
      <c r="J316" s="283">
        <f t="shared" si="35"/>
        <v>0</v>
      </c>
      <c r="K316" s="284">
        <v>0</v>
      </c>
      <c r="L316" s="291">
        <f t="shared" si="39"/>
        <v>0</v>
      </c>
      <c r="M316" s="292">
        <f t="shared" si="37"/>
        <v>0</v>
      </c>
    </row>
    <row r="317" spans="1:13" x14ac:dyDescent="0.2">
      <c r="A317" s="150">
        <v>1930</v>
      </c>
      <c r="B317" s="276" t="s">
        <v>134</v>
      </c>
      <c r="C317" s="277">
        <v>7692494.8399999999</v>
      </c>
      <c r="D317" s="278"/>
      <c r="E317" s="278">
        <v>2494090</v>
      </c>
      <c r="F317" s="279">
        <v>0</v>
      </c>
      <c r="G317" s="280">
        <f t="shared" si="36"/>
        <v>8939539.8399999999</v>
      </c>
      <c r="H317" s="290">
        <v>7.338764990570831</v>
      </c>
      <c r="I317" s="288">
        <f t="shared" si="38"/>
        <v>0.13626270922762129</v>
      </c>
      <c r="J317" s="283">
        <f t="shared" si="35"/>
        <v>1218125.9178466562</v>
      </c>
      <c r="K317" s="284">
        <v>1217668.7628333333</v>
      </c>
      <c r="L317" s="291">
        <f t="shared" si="39"/>
        <v>-457.1550133228302</v>
      </c>
      <c r="M317" s="289">
        <f t="shared" si="37"/>
        <v>-3.7543462333639797E-4</v>
      </c>
    </row>
    <row r="318" spans="1:13" x14ac:dyDescent="0.2">
      <c r="A318" s="150">
        <v>1935</v>
      </c>
      <c r="B318" s="276" t="s">
        <v>135</v>
      </c>
      <c r="C318" s="277">
        <v>16734.299999999974</v>
      </c>
      <c r="D318" s="278"/>
      <c r="E318" s="278">
        <v>0</v>
      </c>
      <c r="F318" s="279">
        <v>0</v>
      </c>
      <c r="G318" s="280">
        <f t="shared" si="36"/>
        <v>16734.299999999974</v>
      </c>
      <c r="H318" s="290">
        <v>1.4958904109589042</v>
      </c>
      <c r="I318" s="288">
        <f t="shared" si="38"/>
        <v>0.66849816849816845</v>
      </c>
      <c r="J318" s="283">
        <f t="shared" si="35"/>
        <v>11186.848901098883</v>
      </c>
      <c r="K318" s="284">
        <v>11186.848900000001</v>
      </c>
      <c r="L318" s="291">
        <f t="shared" si="39"/>
        <v>-1.0988824215019122E-6</v>
      </c>
      <c r="M318" s="289">
        <f t="shared" si="37"/>
        <v>-9.8229843928786063E-11</v>
      </c>
    </row>
    <row r="319" spans="1:13" x14ac:dyDescent="0.2">
      <c r="A319" s="150">
        <v>1940</v>
      </c>
      <c r="B319" s="276" t="s">
        <v>136</v>
      </c>
      <c r="C319" s="277">
        <v>1599396.5100000002</v>
      </c>
      <c r="D319" s="278"/>
      <c r="E319" s="278">
        <v>475200</v>
      </c>
      <c r="F319" s="279">
        <v>0</v>
      </c>
      <c r="G319" s="280">
        <f t="shared" si="36"/>
        <v>1836996.5100000002</v>
      </c>
      <c r="H319" s="290">
        <v>5.9802053958400068</v>
      </c>
      <c r="I319" s="288">
        <f t="shared" si="38"/>
        <v>0.16721833679753326</v>
      </c>
      <c r="J319" s="283">
        <f t="shared" si="35"/>
        <v>307179.50110507326</v>
      </c>
      <c r="K319" s="284">
        <v>304587.52469999995</v>
      </c>
      <c r="L319" s="291">
        <f t="shared" si="39"/>
        <v>-2591.9764050733065</v>
      </c>
      <c r="M319" s="292">
        <f t="shared" si="37"/>
        <v>-8.5097917507496231E-3</v>
      </c>
    </row>
    <row r="320" spans="1:13" x14ac:dyDescent="0.2">
      <c r="A320" s="150">
        <v>1945</v>
      </c>
      <c r="B320" s="276" t="s">
        <v>137</v>
      </c>
      <c r="C320" s="277">
        <v>14589.309999999998</v>
      </c>
      <c r="D320" s="278"/>
      <c r="E320" s="278">
        <v>0</v>
      </c>
      <c r="F320" s="279">
        <v>0</v>
      </c>
      <c r="G320" s="280">
        <f t="shared" si="36"/>
        <v>14589.309999999998</v>
      </c>
      <c r="H320" s="290">
        <v>5.9870576155138169</v>
      </c>
      <c r="I320" s="288">
        <f t="shared" si="38"/>
        <v>0.16702695451080585</v>
      </c>
      <c r="J320" s="283">
        <f t="shared" si="35"/>
        <v>2436.8080177140446</v>
      </c>
      <c r="K320" s="284">
        <v>2435.8758000000003</v>
      </c>
      <c r="L320" s="291">
        <f t="shared" si="39"/>
        <v>-0.93221771404432729</v>
      </c>
      <c r="M320" s="289">
        <f t="shared" si="37"/>
        <v>-3.8270330287132342E-4</v>
      </c>
    </row>
    <row r="321" spans="1:13" x14ac:dyDescent="0.2">
      <c r="A321" s="150">
        <v>1950</v>
      </c>
      <c r="B321" s="276" t="s">
        <v>138</v>
      </c>
      <c r="C321" s="277">
        <v>0</v>
      </c>
      <c r="D321" s="278"/>
      <c r="E321" s="278">
        <v>0</v>
      </c>
      <c r="F321" s="279">
        <v>0</v>
      </c>
      <c r="G321" s="280">
        <f t="shared" si="36"/>
        <v>0</v>
      </c>
      <c r="H321" s="290"/>
      <c r="I321" s="288">
        <f t="shared" si="38"/>
        <v>0</v>
      </c>
      <c r="J321" s="283">
        <f t="shared" si="35"/>
        <v>0</v>
      </c>
      <c r="K321" s="284">
        <v>0</v>
      </c>
      <c r="L321" s="291">
        <f t="shared" si="39"/>
        <v>0</v>
      </c>
      <c r="M321" s="292">
        <f t="shared" si="37"/>
        <v>0</v>
      </c>
    </row>
    <row r="322" spans="1:13" x14ac:dyDescent="0.2">
      <c r="A322" s="150">
        <v>1955</v>
      </c>
      <c r="B322" s="276" t="s">
        <v>139</v>
      </c>
      <c r="C322" s="277">
        <v>445214.41999999923</v>
      </c>
      <c r="D322" s="278"/>
      <c r="E322" s="278">
        <v>0</v>
      </c>
      <c r="F322" s="279">
        <v>0</v>
      </c>
      <c r="G322" s="280">
        <f t="shared" si="36"/>
        <v>445214.41999999923</v>
      </c>
      <c r="H322" s="290">
        <v>4.0148180276949246</v>
      </c>
      <c r="I322" s="288">
        <f t="shared" si="38"/>
        <v>0.24907729144928192</v>
      </c>
      <c r="J322" s="283">
        <f t="shared" si="35"/>
        <v>110892.80184776282</v>
      </c>
      <c r="K322" s="284">
        <v>110873.29740000001</v>
      </c>
      <c r="L322" s="291">
        <f t="shared" si="39"/>
        <v>-19.504447762810742</v>
      </c>
      <c r="M322" s="292">
        <f t="shared" si="37"/>
        <v>-1.7591654816979168E-4</v>
      </c>
    </row>
    <row r="323" spans="1:13" x14ac:dyDescent="0.2">
      <c r="A323" s="150">
        <v>1955</v>
      </c>
      <c r="B323" s="276" t="s">
        <v>140</v>
      </c>
      <c r="C323" s="277">
        <v>0</v>
      </c>
      <c r="D323" s="278"/>
      <c r="E323" s="278">
        <v>0</v>
      </c>
      <c r="F323" s="279">
        <v>0</v>
      </c>
      <c r="G323" s="280">
        <f t="shared" si="36"/>
        <v>0</v>
      </c>
      <c r="H323" s="290"/>
      <c r="I323" s="288">
        <f t="shared" si="38"/>
        <v>0</v>
      </c>
      <c r="J323" s="283">
        <f t="shared" si="35"/>
        <v>0</v>
      </c>
      <c r="K323" s="284">
        <v>0</v>
      </c>
      <c r="L323" s="291">
        <f t="shared" si="39"/>
        <v>0</v>
      </c>
      <c r="M323" s="289">
        <f t="shared" si="37"/>
        <v>0</v>
      </c>
    </row>
    <row r="324" spans="1:13" x14ac:dyDescent="0.2">
      <c r="A324" s="150">
        <v>1960</v>
      </c>
      <c r="B324" s="276" t="s">
        <v>141</v>
      </c>
      <c r="C324" s="277">
        <v>129245.42999999993</v>
      </c>
      <c r="D324" s="278"/>
      <c r="E324" s="278">
        <v>0</v>
      </c>
      <c r="F324" s="279">
        <v>0</v>
      </c>
      <c r="G324" s="280">
        <f t="shared" si="36"/>
        <v>129245.42999999993</v>
      </c>
      <c r="H324" s="290">
        <v>4.2814261966603819</v>
      </c>
      <c r="I324" s="288">
        <f t="shared" si="38"/>
        <v>0.23356702978554778</v>
      </c>
      <c r="J324" s="283">
        <f t="shared" si="35"/>
        <v>30187.471198455914</v>
      </c>
      <c r="K324" s="284">
        <v>30178.451300000001</v>
      </c>
      <c r="L324" s="291">
        <f t="shared" si="39"/>
        <v>-9.0198984559137898</v>
      </c>
      <c r="M324" s="292">
        <f t="shared" si="37"/>
        <v>-2.9888539893078574E-4</v>
      </c>
    </row>
    <row r="325" spans="1:13" x14ac:dyDescent="0.2">
      <c r="A325" s="150">
        <v>1970</v>
      </c>
      <c r="B325" s="293" t="s">
        <v>142</v>
      </c>
      <c r="C325" s="277">
        <v>0</v>
      </c>
      <c r="D325" s="278"/>
      <c r="E325" s="278">
        <v>0</v>
      </c>
      <c r="F325" s="279">
        <v>0</v>
      </c>
      <c r="G325" s="280">
        <f t="shared" si="36"/>
        <v>0</v>
      </c>
      <c r="H325" s="290"/>
      <c r="I325" s="288">
        <f t="shared" si="38"/>
        <v>0</v>
      </c>
      <c r="J325" s="283">
        <f t="shared" si="35"/>
        <v>0</v>
      </c>
      <c r="K325" s="284">
        <v>0</v>
      </c>
      <c r="L325" s="291">
        <f t="shared" si="39"/>
        <v>0</v>
      </c>
      <c r="M325" s="292">
        <f t="shared" si="37"/>
        <v>0</v>
      </c>
    </row>
    <row r="326" spans="1:13" x14ac:dyDescent="0.2">
      <c r="A326" s="150">
        <v>1975</v>
      </c>
      <c r="B326" s="276" t="s">
        <v>143</v>
      </c>
      <c r="C326" s="277">
        <v>0</v>
      </c>
      <c r="D326" s="278"/>
      <c r="E326" s="278">
        <v>0</v>
      </c>
      <c r="F326" s="279">
        <v>0</v>
      </c>
      <c r="G326" s="280">
        <f t="shared" si="36"/>
        <v>0</v>
      </c>
      <c r="H326" s="290"/>
      <c r="I326" s="288">
        <f t="shared" si="38"/>
        <v>0</v>
      </c>
      <c r="J326" s="283">
        <f t="shared" si="35"/>
        <v>0</v>
      </c>
      <c r="K326" s="284">
        <v>0</v>
      </c>
      <c r="L326" s="291">
        <f t="shared" si="39"/>
        <v>0</v>
      </c>
      <c r="M326" s="289">
        <f t="shared" si="37"/>
        <v>0</v>
      </c>
    </row>
    <row r="327" spans="1:13" x14ac:dyDescent="0.2">
      <c r="A327" s="150">
        <v>1980</v>
      </c>
      <c r="B327" s="276" t="s">
        <v>144</v>
      </c>
      <c r="C327" s="277">
        <v>4733505.9089999972</v>
      </c>
      <c r="D327" s="278"/>
      <c r="E327" s="278">
        <v>257255.29980000001</v>
      </c>
      <c r="F327" s="279">
        <v>0</v>
      </c>
      <c r="G327" s="280">
        <f t="shared" si="36"/>
        <v>4862133.5588999968</v>
      </c>
      <c r="H327" s="290">
        <v>8.8233460286683592</v>
      </c>
      <c r="I327" s="288">
        <f t="shared" si="38"/>
        <v>0.11333568883628181</v>
      </c>
      <c r="J327" s="283">
        <f t="shared" si="35"/>
        <v>551053.2561119335</v>
      </c>
      <c r="K327" s="284">
        <v>550803.07825999998</v>
      </c>
      <c r="L327" s="291">
        <f t="shared" si="39"/>
        <v>-250.17785193352029</v>
      </c>
      <c r="M327" s="289">
        <f t="shared" si="37"/>
        <v>-4.5420561686735316E-4</v>
      </c>
    </row>
    <row r="328" spans="1:13" x14ac:dyDescent="0.2">
      <c r="A328" s="150">
        <v>1985</v>
      </c>
      <c r="B328" s="276" t="s">
        <v>145</v>
      </c>
      <c r="C328" s="277">
        <v>0</v>
      </c>
      <c r="D328" s="278"/>
      <c r="E328" s="278">
        <v>0</v>
      </c>
      <c r="F328" s="279">
        <v>0</v>
      </c>
      <c r="G328" s="280">
        <f t="shared" si="36"/>
        <v>0</v>
      </c>
      <c r="H328" s="290"/>
      <c r="I328" s="288">
        <f t="shared" si="38"/>
        <v>0</v>
      </c>
      <c r="J328" s="283">
        <f t="shared" si="35"/>
        <v>0</v>
      </c>
      <c r="K328" s="284">
        <v>0</v>
      </c>
      <c r="L328" s="291">
        <f t="shared" si="39"/>
        <v>0</v>
      </c>
      <c r="M328" s="292">
        <f t="shared" si="37"/>
        <v>0</v>
      </c>
    </row>
    <row r="329" spans="1:13" x14ac:dyDescent="0.2">
      <c r="A329" s="150">
        <v>1990</v>
      </c>
      <c r="B329" s="235" t="s">
        <v>146</v>
      </c>
      <c r="C329" s="277">
        <v>0</v>
      </c>
      <c r="D329" s="278"/>
      <c r="E329" s="278">
        <v>0</v>
      </c>
      <c r="F329" s="279">
        <v>0</v>
      </c>
      <c r="G329" s="280">
        <f t="shared" si="36"/>
        <v>0</v>
      </c>
      <c r="H329" s="290"/>
      <c r="I329" s="288">
        <f t="shared" si="38"/>
        <v>0</v>
      </c>
      <c r="J329" s="283">
        <f t="shared" si="35"/>
        <v>0</v>
      </c>
      <c r="K329" s="284">
        <v>0</v>
      </c>
      <c r="L329" s="291">
        <f t="shared" si="39"/>
        <v>0</v>
      </c>
      <c r="M329" s="289">
        <f t="shared" si="37"/>
        <v>0</v>
      </c>
    </row>
    <row r="330" spans="1:13" x14ac:dyDescent="0.2">
      <c r="A330" s="150">
        <v>1995</v>
      </c>
      <c r="B330" s="276" t="s">
        <v>147</v>
      </c>
      <c r="C330" s="277">
        <v>0</v>
      </c>
      <c r="D330" s="278"/>
      <c r="E330" s="278">
        <v>0</v>
      </c>
      <c r="F330" s="279">
        <v>0</v>
      </c>
      <c r="G330" s="280">
        <f t="shared" si="36"/>
        <v>0</v>
      </c>
      <c r="H330" s="290"/>
      <c r="I330" s="294">
        <f t="shared" si="38"/>
        <v>0</v>
      </c>
      <c r="J330" s="295">
        <f t="shared" si="35"/>
        <v>0</v>
      </c>
      <c r="K330" s="284">
        <v>0</v>
      </c>
      <c r="L330" s="291">
        <f t="shared" si="39"/>
        <v>0</v>
      </c>
      <c r="M330" s="289">
        <f t="shared" si="37"/>
        <v>0</v>
      </c>
    </row>
    <row r="331" spans="1:13" x14ac:dyDescent="0.2">
      <c r="A331" s="150">
        <v>2075</v>
      </c>
      <c r="B331" s="276" t="s">
        <v>148</v>
      </c>
      <c r="C331" s="277">
        <v>664427.0699999996</v>
      </c>
      <c r="D331" s="278"/>
      <c r="E331" s="278">
        <v>0</v>
      </c>
      <c r="F331" s="279">
        <v>0</v>
      </c>
      <c r="G331" s="280">
        <f t="shared" si="36"/>
        <v>664427.0699999996</v>
      </c>
      <c r="H331" s="290">
        <v>11.000346588609988</v>
      </c>
      <c r="I331" s="294">
        <f t="shared" si="38"/>
        <v>9.0906226630661169E-2</v>
      </c>
      <c r="J331" s="295">
        <f t="shared" si="35"/>
        <v>60400.557804966134</v>
      </c>
      <c r="K331" s="284">
        <v>52509.521900000007</v>
      </c>
      <c r="L331" s="291">
        <f t="shared" si="39"/>
        <v>-7891.0359049661274</v>
      </c>
      <c r="M331" s="289">
        <f t="shared" si="37"/>
        <v>-0.15027818992513292</v>
      </c>
    </row>
    <row r="332" spans="1:13" x14ac:dyDescent="0.2">
      <c r="A332" s="150">
        <v>2440</v>
      </c>
      <c r="B332" s="151" t="s">
        <v>166</v>
      </c>
      <c r="C332" s="277">
        <v>-113496112.21000001</v>
      </c>
      <c r="D332" s="278"/>
      <c r="E332" s="278">
        <v>-34626022.507599995</v>
      </c>
      <c r="F332" s="279">
        <v>-70603.196911722349</v>
      </c>
      <c r="G332" s="280">
        <f t="shared" si="36"/>
        <v>-130738520.26688829</v>
      </c>
      <c r="H332" s="290">
        <v>35.93256795633927</v>
      </c>
      <c r="I332" s="294">
        <f t="shared" si="38"/>
        <v>2.7829906318275779E-2</v>
      </c>
      <c r="J332" s="295">
        <f t="shared" si="35"/>
        <v>-3638440.7712175003</v>
      </c>
      <c r="K332" s="284">
        <v>-3637431.1108145826</v>
      </c>
      <c r="L332" s="291">
        <f t="shared" si="39"/>
        <v>1009.6604029177688</v>
      </c>
      <c r="M332" s="289">
        <f t="shared" si="37"/>
        <v>-2.7757512710437586E-4</v>
      </c>
    </row>
    <row r="333" spans="1:13" ht="13.5" thickBot="1" x14ac:dyDescent="0.25">
      <c r="A333" s="150">
        <v>2005</v>
      </c>
      <c r="B333" s="276" t="s">
        <v>329</v>
      </c>
      <c r="C333" s="277">
        <v>209460.29000000027</v>
      </c>
      <c r="D333" s="278"/>
      <c r="E333" s="278">
        <v>0</v>
      </c>
      <c r="F333" s="279">
        <v>0</v>
      </c>
      <c r="G333" s="280">
        <f t="shared" si="36"/>
        <v>209460.29000000027</v>
      </c>
      <c r="H333" s="297">
        <v>2.2490420570371006</v>
      </c>
      <c r="I333" s="298">
        <f t="shared" si="38"/>
        <v>0.44463374834235209</v>
      </c>
      <c r="J333" s="299">
        <f t="shared" si="35"/>
        <v>93133.113871576206</v>
      </c>
      <c r="K333" s="284">
        <v>94726.73</v>
      </c>
      <c r="L333" s="300">
        <f t="shared" si="39"/>
        <v>1593.6161284237896</v>
      </c>
      <c r="M333" s="301">
        <f t="shared" si="37"/>
        <v>1.6823299278079056E-2</v>
      </c>
    </row>
    <row r="334" spans="1:13" ht="13.5" thickBot="1" x14ac:dyDescent="0.25">
      <c r="A334" s="309"/>
      <c r="B334" s="310" t="s">
        <v>43</v>
      </c>
      <c r="C334" s="304">
        <f>SUM(C290:C333)</f>
        <v>437555480.45359999</v>
      </c>
      <c r="D334" s="304">
        <f t="shared" ref="D334:F334" si="40">SUM(D290:D333)</f>
        <v>0</v>
      </c>
      <c r="E334" s="304">
        <f t="shared" si="40"/>
        <v>53303664.946779981</v>
      </c>
      <c r="F334" s="304">
        <f t="shared" si="40"/>
        <v>1328143.9883366956</v>
      </c>
      <c r="G334" s="304">
        <f>SUM(G292:G333)</f>
        <v>457061947.07865316</v>
      </c>
      <c r="H334" s="304"/>
      <c r="I334" s="305"/>
      <c r="J334" s="304">
        <f>SUM(J290:J333)</f>
        <v>22969644.149571612</v>
      </c>
      <c r="K334" s="304">
        <f t="shared" ref="K334:L334" si="41">SUM(K290:K333)</f>
        <v>23018375.491299141</v>
      </c>
      <c r="L334" s="306">
        <f t="shared" si="41"/>
        <v>48731.341727529703</v>
      </c>
      <c r="M334" s="307">
        <f t="shared" si="37"/>
        <v>2.1170625940110312E-3</v>
      </c>
    </row>
    <row r="335" spans="1:13" x14ac:dyDescent="0.2">
      <c r="C335" s="172"/>
      <c r="E335" s="172"/>
      <c r="F335" s="172"/>
      <c r="K335" s="172"/>
    </row>
    <row r="336" spans="1:13" ht="13.5" thickBot="1" x14ac:dyDescent="0.25"/>
    <row r="337" spans="1:17" ht="18" customHeight="1" thickBot="1" x14ac:dyDescent="0.3">
      <c r="A337" s="253"/>
      <c r="B337" s="253"/>
      <c r="C337" s="253"/>
      <c r="D337" s="253"/>
      <c r="E337" s="254" t="s">
        <v>300</v>
      </c>
      <c r="F337" s="259">
        <v>2026</v>
      </c>
      <c r="G337" s="253"/>
      <c r="H337" s="253"/>
      <c r="I337" s="253"/>
      <c r="J337" s="253"/>
      <c r="K337" s="253"/>
    </row>
    <row r="338" spans="1:17" ht="13.5" thickBot="1" x14ac:dyDescent="0.25">
      <c r="A338" s="260"/>
      <c r="B338" s="260"/>
      <c r="C338" s="260"/>
      <c r="D338" s="260"/>
      <c r="E338" s="260"/>
      <c r="F338" s="260"/>
      <c r="G338" s="260"/>
      <c r="H338" s="260"/>
      <c r="I338" s="260"/>
      <c r="J338" s="260"/>
      <c r="K338" s="260"/>
      <c r="Q338" s="123">
        <v>2017</v>
      </c>
    </row>
    <row r="339" spans="1:17" ht="19.149999999999999" customHeight="1" thickBot="1" x14ac:dyDescent="0.3">
      <c r="A339" s="253"/>
      <c r="B339" s="253"/>
      <c r="C339" s="457" t="s">
        <v>301</v>
      </c>
      <c r="D339" s="458"/>
      <c r="E339" s="458"/>
      <c r="F339" s="458"/>
      <c r="G339" s="459" t="s">
        <v>302</v>
      </c>
      <c r="H339" s="460"/>
      <c r="I339" s="261" t="s">
        <v>303</v>
      </c>
      <c r="J339" s="253"/>
      <c r="K339" s="253"/>
      <c r="Q339" s="123">
        <v>2018</v>
      </c>
    </row>
    <row r="340" spans="1:17" ht="64.150000000000006" customHeight="1" thickBot="1" x14ac:dyDescent="0.25">
      <c r="A340" s="453" t="s">
        <v>304</v>
      </c>
      <c r="B340" s="455" t="s">
        <v>305</v>
      </c>
      <c r="C340" s="262" t="s">
        <v>306</v>
      </c>
      <c r="D340" s="263" t="s">
        <v>307</v>
      </c>
      <c r="E340" s="264" t="s">
        <v>308</v>
      </c>
      <c r="F340" s="265" t="s">
        <v>309</v>
      </c>
      <c r="G340" s="265" t="s">
        <v>310</v>
      </c>
      <c r="H340" s="262" t="s">
        <v>311</v>
      </c>
      <c r="I340" s="266" t="s">
        <v>312</v>
      </c>
      <c r="J340" s="267" t="s">
        <v>313</v>
      </c>
      <c r="K340" s="264" t="s">
        <v>331</v>
      </c>
      <c r="L340" s="266" t="s">
        <v>315</v>
      </c>
      <c r="M340" s="266" t="s">
        <v>316</v>
      </c>
    </row>
    <row r="341" spans="1:17" ht="13.5" thickBot="1" x14ac:dyDescent="0.25">
      <c r="A341" s="454"/>
      <c r="B341" s="456"/>
      <c r="C341" s="268" t="s">
        <v>317</v>
      </c>
      <c r="D341" s="269" t="s">
        <v>318</v>
      </c>
      <c r="E341" s="270" t="s">
        <v>319</v>
      </c>
      <c r="F341" s="270" t="s">
        <v>320</v>
      </c>
      <c r="G341" s="271" t="s">
        <v>321</v>
      </c>
      <c r="H341" s="272" t="s">
        <v>322</v>
      </c>
      <c r="I341" s="270" t="s">
        <v>323</v>
      </c>
      <c r="J341" s="268" t="s">
        <v>324</v>
      </c>
      <c r="K341" s="273" t="s">
        <v>325</v>
      </c>
      <c r="L341" s="271" t="s">
        <v>326</v>
      </c>
      <c r="M341" s="274" t="s">
        <v>327</v>
      </c>
    </row>
    <row r="342" spans="1:17" ht="13.5" thickBot="1" x14ac:dyDescent="0.25">
      <c r="A342" s="275">
        <v>1609</v>
      </c>
      <c r="B342" s="276" t="s">
        <v>108</v>
      </c>
      <c r="C342" s="277">
        <v>4614645.8915999997</v>
      </c>
      <c r="D342" s="278"/>
      <c r="E342" s="278">
        <v>0</v>
      </c>
      <c r="F342" s="279">
        <v>0</v>
      </c>
      <c r="G342" s="280">
        <f>C342-D342+(E342*0.5)-F342</f>
        <v>4614645.8915999997</v>
      </c>
      <c r="H342" s="281">
        <v>7.4986301369863018</v>
      </c>
      <c r="I342" s="282">
        <f>IF(H342=0,0,1/H342)</f>
        <v>0.13335769090244792</v>
      </c>
      <c r="J342" s="283">
        <f t="shared" ref="J342:J385" si="42">IF(H342=0,0,+G342/H342)</f>
        <v>615398.52043624397</v>
      </c>
      <c r="K342" s="284">
        <v>615173.75839999993</v>
      </c>
      <c r="L342" s="285">
        <f>IF(ISERROR(+K342-J342), 0, +K342-J342)</f>
        <v>-224.7620362440357</v>
      </c>
      <c r="M342" s="286">
        <f>IFERROR(L342/K342,0)</f>
        <v>-3.6536349799545629E-4</v>
      </c>
    </row>
    <row r="343" spans="1:17" x14ac:dyDescent="0.2">
      <c r="A343" s="275">
        <v>1610</v>
      </c>
      <c r="B343" s="287" t="s">
        <v>328</v>
      </c>
      <c r="C343" s="277">
        <v>401404.21739999996</v>
      </c>
      <c r="D343" s="278"/>
      <c r="E343" s="278">
        <v>0</v>
      </c>
      <c r="F343" s="279">
        <v>0</v>
      </c>
      <c r="G343" s="280">
        <f>C343-D343+(E343*0.5)-F343</f>
        <v>401404.21739999996</v>
      </c>
      <c r="H343" s="281">
        <v>4.0998375290720812</v>
      </c>
      <c r="I343" s="282">
        <f>IF(H343=0,0,1/H343)</f>
        <v>0.24391210454291604</v>
      </c>
      <c r="J343" s="283">
        <f t="shared" si="42"/>
        <v>97907.347438436191</v>
      </c>
      <c r="K343" s="284">
        <v>97890.290599999993</v>
      </c>
      <c r="L343" s="285">
        <f>IF(ISERROR(+K343-J343), 0, +K343-J343)</f>
        <v>-17.056838436197722</v>
      </c>
      <c r="M343" s="286">
        <f>IFERROR(L343/K343,0)</f>
        <v>-1.7424443559878168E-4</v>
      </c>
    </row>
    <row r="344" spans="1:17" x14ac:dyDescent="0.2">
      <c r="A344" s="234">
        <v>1611</v>
      </c>
      <c r="B344" s="287" t="s">
        <v>111</v>
      </c>
      <c r="C344" s="277">
        <v>3735844.686300002</v>
      </c>
      <c r="D344" s="278"/>
      <c r="E344" s="278">
        <v>445200</v>
      </c>
      <c r="F344" s="279">
        <v>0</v>
      </c>
      <c r="G344" s="280">
        <f t="shared" ref="G344:G385" si="43">C344-D344+(E344*0.5)-F344</f>
        <v>3958444.686300002</v>
      </c>
      <c r="H344" s="281">
        <v>2.1951057063393522</v>
      </c>
      <c r="I344" s="288">
        <f>IF(H344=0,0,1/H344)</f>
        <v>0.45555892689452337</v>
      </c>
      <c r="J344" s="283">
        <f t="shared" si="42"/>
        <v>1803304.813462157</v>
      </c>
      <c r="K344" s="311">
        <v>1804345.4277666667</v>
      </c>
      <c r="L344" s="285">
        <f>IF(ISERROR(+K344-J344), 0, +K344-J344)</f>
        <v>1040.6143045097124</v>
      </c>
      <c r="M344" s="289">
        <f t="shared" ref="M344:M386" si="44">IFERROR(L344/K344,0)</f>
        <v>5.7672676666891635E-4</v>
      </c>
    </row>
    <row r="345" spans="1:17" x14ac:dyDescent="0.2">
      <c r="A345" s="150">
        <v>1612</v>
      </c>
      <c r="B345" s="276" t="s">
        <v>112</v>
      </c>
      <c r="C345" s="277">
        <v>320241.93080000032</v>
      </c>
      <c r="D345" s="278"/>
      <c r="E345" s="278">
        <v>0</v>
      </c>
      <c r="F345" s="279">
        <v>0</v>
      </c>
      <c r="G345" s="280">
        <f t="shared" si="43"/>
        <v>320241.93080000032</v>
      </c>
      <c r="H345" s="290">
        <v>26.016601049987216</v>
      </c>
      <c r="I345" s="288">
        <f t="shared" ref="I345:I385" si="45">IF(H345=0,0,1/H345)</f>
        <v>3.8436996365460711E-2</v>
      </c>
      <c r="J345" s="283">
        <f t="shared" si="42"/>
        <v>12309.137930227735</v>
      </c>
      <c r="K345" s="311">
        <v>12301.7492</v>
      </c>
      <c r="L345" s="291">
        <f t="shared" ref="L345:L385" si="46">IF(ISERROR(+K345-J345), 0, +K345-J345)</f>
        <v>-7.3887302277344133</v>
      </c>
      <c r="M345" s="289">
        <f t="shared" si="44"/>
        <v>-6.0062435899233034E-4</v>
      </c>
    </row>
    <row r="346" spans="1:17" x14ac:dyDescent="0.2">
      <c r="A346" s="150">
        <v>1805</v>
      </c>
      <c r="B346" s="276" t="s">
        <v>113</v>
      </c>
      <c r="C346" s="277">
        <v>1190619.8899999999</v>
      </c>
      <c r="D346" s="278"/>
      <c r="E346" s="278">
        <v>0</v>
      </c>
      <c r="F346" s="279">
        <v>0</v>
      </c>
      <c r="G346" s="280">
        <f t="shared" si="43"/>
        <v>1190619.8899999999</v>
      </c>
      <c r="H346" s="290"/>
      <c r="I346" s="288">
        <f t="shared" si="45"/>
        <v>0</v>
      </c>
      <c r="J346" s="283">
        <f t="shared" si="42"/>
        <v>0</v>
      </c>
      <c r="K346" s="311">
        <v>0</v>
      </c>
      <c r="L346" s="291">
        <f t="shared" si="46"/>
        <v>0</v>
      </c>
      <c r="M346" s="289">
        <f t="shared" si="44"/>
        <v>0</v>
      </c>
    </row>
    <row r="347" spans="1:17" x14ac:dyDescent="0.2">
      <c r="A347" s="150">
        <v>1808</v>
      </c>
      <c r="B347" s="276" t="s">
        <v>114</v>
      </c>
      <c r="C347" s="277">
        <v>178406.36899999972</v>
      </c>
      <c r="D347" s="278"/>
      <c r="E347" s="278">
        <v>0</v>
      </c>
      <c r="F347" s="279">
        <v>0</v>
      </c>
      <c r="G347" s="280">
        <f t="shared" si="43"/>
        <v>178406.36899999972</v>
      </c>
      <c r="H347" s="290">
        <v>18.626267666823896</v>
      </c>
      <c r="I347" s="288">
        <f t="shared" si="45"/>
        <v>5.3687621046117906E-2</v>
      </c>
      <c r="J347" s="283">
        <f t="shared" si="42"/>
        <v>9578.2135310858612</v>
      </c>
      <c r="K347" s="311">
        <v>9573.8109999999997</v>
      </c>
      <c r="L347" s="291">
        <f t="shared" si="46"/>
        <v>-4.402531085861483</v>
      </c>
      <c r="M347" s="289">
        <f t="shared" si="44"/>
        <v>-4.5985147250781147E-4</v>
      </c>
    </row>
    <row r="348" spans="1:17" x14ac:dyDescent="0.2">
      <c r="A348" s="150">
        <v>1810</v>
      </c>
      <c r="B348" s="276" t="s">
        <v>115</v>
      </c>
      <c r="C348" s="277">
        <v>0</v>
      </c>
      <c r="D348" s="278"/>
      <c r="E348" s="278">
        <v>0</v>
      </c>
      <c r="F348" s="279">
        <v>0</v>
      </c>
      <c r="G348" s="280">
        <f t="shared" si="43"/>
        <v>0</v>
      </c>
      <c r="H348" s="290"/>
      <c r="I348" s="288">
        <f t="shared" si="45"/>
        <v>0</v>
      </c>
      <c r="J348" s="283">
        <f t="shared" si="42"/>
        <v>0</v>
      </c>
      <c r="K348" s="311">
        <v>0</v>
      </c>
      <c r="L348" s="291">
        <f t="shared" si="46"/>
        <v>0</v>
      </c>
      <c r="M348" s="289">
        <f t="shared" si="44"/>
        <v>0</v>
      </c>
    </row>
    <row r="349" spans="1:17" x14ac:dyDescent="0.2">
      <c r="A349" s="150">
        <v>1815</v>
      </c>
      <c r="B349" s="276" t="s">
        <v>116</v>
      </c>
      <c r="C349" s="277">
        <v>154275.63559999983</v>
      </c>
      <c r="D349" s="278"/>
      <c r="E349" s="278">
        <v>0</v>
      </c>
      <c r="F349" s="279">
        <v>0</v>
      </c>
      <c r="G349" s="280">
        <f t="shared" si="43"/>
        <v>154275.63559999983</v>
      </c>
      <c r="H349" s="290">
        <v>27.862775807624498</v>
      </c>
      <c r="I349" s="288">
        <f t="shared" si="45"/>
        <v>3.5890178599016519E-2</v>
      </c>
      <c r="J349" s="283">
        <f t="shared" si="42"/>
        <v>5536.9801151607853</v>
      </c>
      <c r="K349" s="311">
        <v>5533.6344000000972</v>
      </c>
      <c r="L349" s="291">
        <f t="shared" si="46"/>
        <v>-3.3457151606880871</v>
      </c>
      <c r="M349" s="289">
        <f t="shared" si="44"/>
        <v>-6.0461442134450156E-4</v>
      </c>
    </row>
    <row r="350" spans="1:17" x14ac:dyDescent="0.2">
      <c r="A350" s="150">
        <v>1820</v>
      </c>
      <c r="B350" s="276" t="s">
        <v>117</v>
      </c>
      <c r="C350" s="277">
        <v>60768312.073667504</v>
      </c>
      <c r="D350" s="278"/>
      <c r="E350" s="278">
        <v>7569578.6911943406</v>
      </c>
      <c r="F350" s="279">
        <v>467122.80859999993</v>
      </c>
      <c r="G350" s="280">
        <f t="shared" si="43"/>
        <v>64085978.610664673</v>
      </c>
      <c r="H350" s="290">
        <v>27.267794915040778</v>
      </c>
      <c r="I350" s="288">
        <f t="shared" si="45"/>
        <v>3.667329914706103E-2</v>
      </c>
      <c r="J350" s="283">
        <f t="shared" si="42"/>
        <v>2350244.2647210602</v>
      </c>
      <c r="K350" s="311">
        <v>2369405.8603695505</v>
      </c>
      <c r="L350" s="291">
        <f t="shared" si="46"/>
        <v>19161.595648490358</v>
      </c>
      <c r="M350" s="289">
        <f t="shared" si="44"/>
        <v>8.0870888221327222E-3</v>
      </c>
    </row>
    <row r="351" spans="1:17" x14ac:dyDescent="0.2">
      <c r="A351" s="150">
        <v>1825</v>
      </c>
      <c r="B351" s="276" t="s">
        <v>118</v>
      </c>
      <c r="C351" s="277">
        <v>0</v>
      </c>
      <c r="D351" s="278"/>
      <c r="E351" s="278">
        <v>0</v>
      </c>
      <c r="F351" s="279">
        <v>0</v>
      </c>
      <c r="G351" s="280">
        <f t="shared" si="43"/>
        <v>0</v>
      </c>
      <c r="H351" s="290"/>
      <c r="I351" s="288">
        <f t="shared" si="45"/>
        <v>0</v>
      </c>
      <c r="J351" s="283">
        <f t="shared" si="42"/>
        <v>0</v>
      </c>
      <c r="K351" s="311">
        <v>0</v>
      </c>
      <c r="L351" s="291">
        <f t="shared" si="46"/>
        <v>0</v>
      </c>
      <c r="M351" s="289">
        <f t="shared" si="44"/>
        <v>0</v>
      </c>
    </row>
    <row r="352" spans="1:17" x14ac:dyDescent="0.2">
      <c r="A352" s="150">
        <v>1830</v>
      </c>
      <c r="B352" s="276" t="s">
        <v>119</v>
      </c>
      <c r="C352" s="277">
        <v>131140157.75644718</v>
      </c>
      <c r="D352" s="278"/>
      <c r="E352" s="278">
        <v>13498058.164449997</v>
      </c>
      <c r="F352" s="279">
        <v>304961.23320224602</v>
      </c>
      <c r="G352" s="280">
        <f t="shared" si="43"/>
        <v>137584225.60546994</v>
      </c>
      <c r="H352" s="290">
        <v>32.180441009217574</v>
      </c>
      <c r="I352" s="288">
        <f t="shared" si="45"/>
        <v>3.1074776126081241E-2</v>
      </c>
      <c r="J352" s="283">
        <f t="shared" si="42"/>
        <v>4275399.0091702323</v>
      </c>
      <c r="K352" s="311">
        <v>4282695.3115760451</v>
      </c>
      <c r="L352" s="291">
        <f t="shared" si="46"/>
        <v>7296.3024058127776</v>
      </c>
      <c r="M352" s="292">
        <f t="shared" si="44"/>
        <v>1.7036706734870934E-3</v>
      </c>
    </row>
    <row r="353" spans="1:13" x14ac:dyDescent="0.2">
      <c r="A353" s="150">
        <v>1835</v>
      </c>
      <c r="B353" s="276" t="s">
        <v>120</v>
      </c>
      <c r="C353" s="277">
        <v>83677521.806182772</v>
      </c>
      <c r="D353" s="278"/>
      <c r="E353" s="278">
        <v>11331214.909089999</v>
      </c>
      <c r="F353" s="279">
        <v>59651.227906527347</v>
      </c>
      <c r="G353" s="280">
        <f t="shared" si="43"/>
        <v>89283478.032821253</v>
      </c>
      <c r="H353" s="290">
        <v>34.550317736536527</v>
      </c>
      <c r="I353" s="288">
        <f t="shared" si="45"/>
        <v>2.8943293883011458E-2</v>
      </c>
      <c r="J353" s="283">
        <f t="shared" si="42"/>
        <v>2584157.9436013433</v>
      </c>
      <c r="K353" s="311">
        <v>2589993.8458996266</v>
      </c>
      <c r="L353" s="291">
        <f t="shared" si="46"/>
        <v>5835.9022982832976</v>
      </c>
      <c r="M353" s="289">
        <f t="shared" si="44"/>
        <v>2.2532494845586069E-3</v>
      </c>
    </row>
    <row r="354" spans="1:13" x14ac:dyDescent="0.2">
      <c r="A354" s="150">
        <v>1840</v>
      </c>
      <c r="B354" s="276" t="s">
        <v>121</v>
      </c>
      <c r="C354" s="277">
        <v>64551701.200591661</v>
      </c>
      <c r="D354" s="278"/>
      <c r="E354" s="278">
        <v>6655434.4853369799</v>
      </c>
      <c r="F354" s="279">
        <v>0</v>
      </c>
      <c r="G354" s="280">
        <f t="shared" si="43"/>
        <v>67879418.443260148</v>
      </c>
      <c r="H354" s="290">
        <v>49.556878821020433</v>
      </c>
      <c r="I354" s="288">
        <f t="shared" si="45"/>
        <v>2.0178833368655013E-2</v>
      </c>
      <c r="J354" s="283">
        <f t="shared" si="42"/>
        <v>1369727.4739277544</v>
      </c>
      <c r="K354" s="311">
        <v>1369003.1745611415</v>
      </c>
      <c r="L354" s="291">
        <f t="shared" si="46"/>
        <v>-724.29936661291867</v>
      </c>
      <c r="M354" s="292">
        <f t="shared" si="44"/>
        <v>-5.2907062603788763E-4</v>
      </c>
    </row>
    <row r="355" spans="1:13" x14ac:dyDescent="0.2">
      <c r="A355" s="150">
        <v>1845</v>
      </c>
      <c r="B355" s="276" t="s">
        <v>122</v>
      </c>
      <c r="C355" s="277">
        <v>96891215.483810335</v>
      </c>
      <c r="D355" s="278"/>
      <c r="E355" s="278">
        <v>11319398.29207563</v>
      </c>
      <c r="F355" s="279">
        <v>65453.672444569747</v>
      </c>
      <c r="G355" s="280">
        <f t="shared" si="43"/>
        <v>102485460.95740359</v>
      </c>
      <c r="H355" s="290">
        <v>29.567092678452198</v>
      </c>
      <c r="I355" s="288">
        <f t="shared" si="45"/>
        <v>3.382138416093837E-2</v>
      </c>
      <c r="J355" s="283">
        <f t="shared" si="42"/>
        <v>3466200.1459511975</v>
      </c>
      <c r="K355" s="311">
        <v>3466902.0498315571</v>
      </c>
      <c r="L355" s="291">
        <f t="shared" si="46"/>
        <v>701.90388035960495</v>
      </c>
      <c r="M355" s="289">
        <f t="shared" si="44"/>
        <v>2.0245852645121821E-4</v>
      </c>
    </row>
    <row r="356" spans="1:13" x14ac:dyDescent="0.2">
      <c r="A356" s="150">
        <v>1850</v>
      </c>
      <c r="B356" s="276" t="s">
        <v>123</v>
      </c>
      <c r="C356" s="277">
        <v>65045253.148460515</v>
      </c>
      <c r="D356" s="278"/>
      <c r="E356" s="278">
        <v>4285800.4809053</v>
      </c>
      <c r="F356" s="279">
        <v>147744.94793083839</v>
      </c>
      <c r="G356" s="280">
        <f t="shared" si="43"/>
        <v>67040408.440982334</v>
      </c>
      <c r="H356" s="290">
        <v>21.37521035182538</v>
      </c>
      <c r="I356" s="288">
        <f t="shared" si="45"/>
        <v>4.6783165336878332E-2</v>
      </c>
      <c r="J356" s="283">
        <f t="shared" si="42"/>
        <v>3136362.5123463301</v>
      </c>
      <c r="K356" s="311">
        <v>3140622.5162684345</v>
      </c>
      <c r="L356" s="291">
        <f t="shared" si="46"/>
        <v>4260.0039221043698</v>
      </c>
      <c r="M356" s="289">
        <f t="shared" si="44"/>
        <v>1.356420231988256E-3</v>
      </c>
    </row>
    <row r="357" spans="1:13" x14ac:dyDescent="0.2">
      <c r="A357" s="150">
        <v>1855</v>
      </c>
      <c r="B357" s="276" t="s">
        <v>124</v>
      </c>
      <c r="C357" s="277">
        <v>48975404.507549956</v>
      </c>
      <c r="D357" s="278"/>
      <c r="E357" s="278">
        <v>3039123.9509399999</v>
      </c>
      <c r="F357" s="279">
        <v>0</v>
      </c>
      <c r="G357" s="280">
        <f t="shared" si="43"/>
        <v>50494966.483019955</v>
      </c>
      <c r="H357" s="290">
        <v>32.462158726676087</v>
      </c>
      <c r="I357" s="288">
        <f t="shared" si="45"/>
        <v>3.080509858939974E-2</v>
      </c>
      <c r="J357" s="283">
        <f t="shared" si="42"/>
        <v>1555502.4207778652</v>
      </c>
      <c r="K357" s="311">
        <v>1554687.8574661748</v>
      </c>
      <c r="L357" s="291">
        <f t="shared" si="46"/>
        <v>-814.56331169046462</v>
      </c>
      <c r="M357" s="289">
        <f t="shared" si="44"/>
        <v>-5.2394010011632644E-4</v>
      </c>
    </row>
    <row r="358" spans="1:13" x14ac:dyDescent="0.2">
      <c r="A358" s="150">
        <v>1860</v>
      </c>
      <c r="B358" s="276" t="s">
        <v>125</v>
      </c>
      <c r="C358" s="277">
        <v>2304796.6742834589</v>
      </c>
      <c r="D358" s="278"/>
      <c r="E358" s="278">
        <v>96419.355410000004</v>
      </c>
      <c r="F358" s="279">
        <v>2403.5949187675378</v>
      </c>
      <c r="G358" s="280">
        <f t="shared" si="43"/>
        <v>2350602.7570696915</v>
      </c>
      <c r="H358" s="290">
        <v>16.19483137909366</v>
      </c>
      <c r="I358" s="288">
        <f t="shared" si="45"/>
        <v>6.1748095833274723E-2</v>
      </c>
      <c r="J358" s="283">
        <f t="shared" si="42"/>
        <v>145145.2443094991</v>
      </c>
      <c r="K358" s="311">
        <v>144858.86867006653</v>
      </c>
      <c r="L358" s="291">
        <f t="shared" si="46"/>
        <v>-286.37563943257555</v>
      </c>
      <c r="M358" s="289">
        <f t="shared" si="44"/>
        <v>-1.9769285930627449E-3</v>
      </c>
    </row>
    <row r="359" spans="1:13" x14ac:dyDescent="0.2">
      <c r="A359" s="150">
        <v>1860</v>
      </c>
      <c r="B359" s="276" t="s">
        <v>126</v>
      </c>
      <c r="C359" s="277">
        <v>8568386.8435845263</v>
      </c>
      <c r="D359" s="278"/>
      <c r="E359" s="278">
        <v>1423372.35369</v>
      </c>
      <c r="F359" s="279">
        <v>8329.0617480658257</v>
      </c>
      <c r="G359" s="280">
        <f t="shared" si="43"/>
        <v>9271743.9586814605</v>
      </c>
      <c r="H359" s="290">
        <v>9.0184722530999135</v>
      </c>
      <c r="I359" s="288">
        <f t="shared" si="45"/>
        <v>0.11088352571648381</v>
      </c>
      <c r="J359" s="283">
        <f t="shared" si="42"/>
        <v>1028083.6596791092</v>
      </c>
      <c r="K359" s="311">
        <v>1039725.2470181123</v>
      </c>
      <c r="L359" s="291">
        <f t="shared" si="46"/>
        <v>11641.587339003105</v>
      </c>
      <c r="M359" s="289">
        <f t="shared" si="44"/>
        <v>1.1196792010572679E-2</v>
      </c>
    </row>
    <row r="360" spans="1:13" x14ac:dyDescent="0.2">
      <c r="A360" s="150">
        <v>1865</v>
      </c>
      <c r="B360" s="276" t="s">
        <v>127</v>
      </c>
      <c r="C360" s="277">
        <v>0</v>
      </c>
      <c r="D360" s="278"/>
      <c r="E360" s="278">
        <v>0</v>
      </c>
      <c r="F360" s="279">
        <v>0</v>
      </c>
      <c r="G360" s="280">
        <f t="shared" si="43"/>
        <v>0</v>
      </c>
      <c r="H360" s="290"/>
      <c r="I360" s="288">
        <f t="shared" si="45"/>
        <v>0</v>
      </c>
      <c r="J360" s="283">
        <f t="shared" si="42"/>
        <v>0</v>
      </c>
      <c r="K360" s="311">
        <v>0</v>
      </c>
      <c r="L360" s="291">
        <f t="shared" si="46"/>
        <v>0</v>
      </c>
      <c r="M360" s="289">
        <f t="shared" si="44"/>
        <v>0</v>
      </c>
    </row>
    <row r="361" spans="1:13" x14ac:dyDescent="0.2">
      <c r="A361" s="150">
        <v>1905</v>
      </c>
      <c r="B361" s="276" t="s">
        <v>113</v>
      </c>
      <c r="C361" s="277">
        <v>1195031.2999999998</v>
      </c>
      <c r="D361" s="278"/>
      <c r="E361" s="278">
        <v>0</v>
      </c>
      <c r="F361" s="279">
        <v>0</v>
      </c>
      <c r="G361" s="280">
        <f t="shared" si="43"/>
        <v>1195031.2999999998</v>
      </c>
      <c r="H361" s="290"/>
      <c r="I361" s="288">
        <f t="shared" si="45"/>
        <v>0</v>
      </c>
      <c r="J361" s="283">
        <f t="shared" si="42"/>
        <v>0</v>
      </c>
      <c r="K361" s="311">
        <v>0</v>
      </c>
      <c r="L361" s="291">
        <f t="shared" si="46"/>
        <v>0</v>
      </c>
      <c r="M361" s="289">
        <f t="shared" si="44"/>
        <v>0</v>
      </c>
    </row>
    <row r="362" spans="1:13" x14ac:dyDescent="0.2">
      <c r="A362" s="150">
        <v>1908</v>
      </c>
      <c r="B362" s="276" t="s">
        <v>128</v>
      </c>
      <c r="C362" s="277">
        <v>16771162.825900001</v>
      </c>
      <c r="D362" s="278"/>
      <c r="E362" s="278">
        <v>440000</v>
      </c>
      <c r="F362" s="279">
        <v>0</v>
      </c>
      <c r="G362" s="280">
        <f t="shared" si="43"/>
        <v>16991162.825900003</v>
      </c>
      <c r="H362" s="290">
        <v>14.759848001980551</v>
      </c>
      <c r="I362" s="288">
        <f t="shared" si="45"/>
        <v>6.7751375208322945E-2</v>
      </c>
      <c r="J362" s="283">
        <f t="shared" si="42"/>
        <v>1151174.6478432599</v>
      </c>
      <c r="K362" s="311">
        <v>1150776.8581666667</v>
      </c>
      <c r="L362" s="291">
        <f t="shared" si="46"/>
        <v>-397.78967659315094</v>
      </c>
      <c r="M362" s="289">
        <f t="shared" si="44"/>
        <v>-3.4567055617270605E-4</v>
      </c>
    </row>
    <row r="363" spans="1:13" x14ac:dyDescent="0.2">
      <c r="A363" s="150">
        <v>1910</v>
      </c>
      <c r="B363" s="276" t="s">
        <v>115</v>
      </c>
      <c r="C363" s="277">
        <v>0</v>
      </c>
      <c r="D363" s="278"/>
      <c r="E363" s="278">
        <v>0</v>
      </c>
      <c r="F363" s="279">
        <v>0</v>
      </c>
      <c r="G363" s="280">
        <f t="shared" si="43"/>
        <v>0</v>
      </c>
      <c r="H363" s="290"/>
      <c r="I363" s="288">
        <f t="shared" si="45"/>
        <v>0</v>
      </c>
      <c r="J363" s="283">
        <f t="shared" si="42"/>
        <v>0</v>
      </c>
      <c r="K363" s="311">
        <v>0</v>
      </c>
      <c r="L363" s="291">
        <f t="shared" si="46"/>
        <v>0</v>
      </c>
      <c r="M363" s="289">
        <f t="shared" si="44"/>
        <v>0</v>
      </c>
    </row>
    <row r="364" spans="1:13" x14ac:dyDescent="0.2">
      <c r="A364" s="150">
        <v>1915</v>
      </c>
      <c r="B364" s="276" t="s">
        <v>129</v>
      </c>
      <c r="C364" s="277">
        <v>490580.48909999942</v>
      </c>
      <c r="D364" s="278"/>
      <c r="E364" s="278">
        <v>60000</v>
      </c>
      <c r="F364" s="279">
        <v>0</v>
      </c>
      <c r="G364" s="280">
        <f t="shared" si="43"/>
        <v>520580.48909999942</v>
      </c>
      <c r="H364" s="290">
        <v>4.7962044031558797</v>
      </c>
      <c r="I364" s="288">
        <f t="shared" si="45"/>
        <v>0.20849820315039216</v>
      </c>
      <c r="J364" s="283">
        <f t="shared" si="42"/>
        <v>108540.0965725022</v>
      </c>
      <c r="K364" s="311">
        <v>108549.5045</v>
      </c>
      <c r="L364" s="291">
        <f t="shared" si="46"/>
        <v>9.4079274977993919</v>
      </c>
      <c r="M364" s="289">
        <f t="shared" si="44"/>
        <v>8.6669465154485276E-5</v>
      </c>
    </row>
    <row r="365" spans="1:13" x14ac:dyDescent="0.2">
      <c r="A365" s="150">
        <v>1915</v>
      </c>
      <c r="B365" s="276" t="s">
        <v>130</v>
      </c>
      <c r="C365" s="277">
        <v>0</v>
      </c>
      <c r="D365" s="278"/>
      <c r="E365" s="278">
        <v>0</v>
      </c>
      <c r="F365" s="279">
        <v>0</v>
      </c>
      <c r="G365" s="280">
        <f t="shared" si="43"/>
        <v>0</v>
      </c>
      <c r="H365" s="290"/>
      <c r="I365" s="288">
        <f t="shared" si="45"/>
        <v>0</v>
      </c>
      <c r="J365" s="283">
        <f t="shared" si="42"/>
        <v>0</v>
      </c>
      <c r="K365" s="311">
        <v>0</v>
      </c>
      <c r="L365" s="291">
        <f t="shared" si="46"/>
        <v>0</v>
      </c>
      <c r="M365" s="289">
        <f t="shared" si="44"/>
        <v>0</v>
      </c>
    </row>
    <row r="366" spans="1:13" x14ac:dyDescent="0.2">
      <c r="A366" s="150">
        <v>1920</v>
      </c>
      <c r="B366" s="276" t="s">
        <v>131</v>
      </c>
      <c r="C366" s="277">
        <v>3595120.3126333337</v>
      </c>
      <c r="D366" s="278"/>
      <c r="E366" s="278">
        <v>2209200</v>
      </c>
      <c r="F366" s="279">
        <v>0</v>
      </c>
      <c r="G366" s="280">
        <f t="shared" si="43"/>
        <v>4699720.3126333337</v>
      </c>
      <c r="H366" s="290">
        <v>2.6504030789464363</v>
      </c>
      <c r="I366" s="288">
        <f t="shared" si="45"/>
        <v>0.37730110108290049</v>
      </c>
      <c r="J366" s="283">
        <f t="shared" si="42"/>
        <v>1773209.6487382301</v>
      </c>
      <c r="K366" s="311">
        <v>1774196.6028333332</v>
      </c>
      <c r="L366" s="291">
        <f t="shared" si="46"/>
        <v>986.95409510307945</v>
      </c>
      <c r="M366" s="289">
        <f t="shared" si="44"/>
        <v>5.5628225954606526E-4</v>
      </c>
    </row>
    <row r="367" spans="1:13" x14ac:dyDescent="0.2">
      <c r="A367" s="150">
        <v>1920</v>
      </c>
      <c r="B367" s="276" t="s">
        <v>132</v>
      </c>
      <c r="C367" s="277">
        <v>0</v>
      </c>
      <c r="D367" s="278"/>
      <c r="E367" s="278">
        <v>0</v>
      </c>
      <c r="F367" s="279">
        <v>0</v>
      </c>
      <c r="G367" s="280">
        <f t="shared" si="43"/>
        <v>0</v>
      </c>
      <c r="H367" s="290"/>
      <c r="I367" s="288">
        <f t="shared" si="45"/>
        <v>0</v>
      </c>
      <c r="J367" s="283">
        <f t="shared" si="42"/>
        <v>0</v>
      </c>
      <c r="K367" s="311">
        <v>0</v>
      </c>
      <c r="L367" s="291">
        <f t="shared" si="46"/>
        <v>0</v>
      </c>
      <c r="M367" s="292">
        <f t="shared" si="44"/>
        <v>0</v>
      </c>
    </row>
    <row r="368" spans="1:13" x14ac:dyDescent="0.2">
      <c r="A368" s="150">
        <v>1920</v>
      </c>
      <c r="B368" s="276" t="s">
        <v>133</v>
      </c>
      <c r="C368" s="277">
        <v>0</v>
      </c>
      <c r="D368" s="278"/>
      <c r="E368" s="278">
        <v>0</v>
      </c>
      <c r="F368" s="279">
        <v>0</v>
      </c>
      <c r="G368" s="280">
        <f t="shared" si="43"/>
        <v>0</v>
      </c>
      <c r="H368" s="290"/>
      <c r="I368" s="288">
        <f t="shared" si="45"/>
        <v>0</v>
      </c>
      <c r="J368" s="283">
        <f t="shared" si="42"/>
        <v>0</v>
      </c>
      <c r="K368" s="311">
        <v>0</v>
      </c>
      <c r="L368" s="291">
        <f t="shared" si="46"/>
        <v>0</v>
      </c>
      <c r="M368" s="292">
        <f t="shared" si="44"/>
        <v>0</v>
      </c>
    </row>
    <row r="369" spans="1:13" x14ac:dyDescent="0.2">
      <c r="A369" s="150">
        <v>1930</v>
      </c>
      <c r="B369" s="276" t="s">
        <v>134</v>
      </c>
      <c r="C369" s="277">
        <v>8968916.0771666691</v>
      </c>
      <c r="D369" s="278"/>
      <c r="E369" s="278">
        <v>1740000</v>
      </c>
      <c r="F369" s="279">
        <v>0</v>
      </c>
      <c r="G369" s="280">
        <f t="shared" si="43"/>
        <v>9838916.0771666691</v>
      </c>
      <c r="H369" s="290">
        <v>7.2872773467750944</v>
      </c>
      <c r="I369" s="288">
        <f t="shared" si="45"/>
        <v>0.13722546191308874</v>
      </c>
      <c r="J369" s="283">
        <f t="shared" si="42"/>
        <v>1350149.803413311</v>
      </c>
      <c r="K369" s="311">
        <v>1350029.3637000001</v>
      </c>
      <c r="L369" s="291">
        <f t="shared" si="46"/>
        <v>-120.43971331091598</v>
      </c>
      <c r="M369" s="289">
        <f t="shared" si="44"/>
        <v>-8.9212661997831755E-5</v>
      </c>
    </row>
    <row r="370" spans="1:13" x14ac:dyDescent="0.2">
      <c r="A370" s="150">
        <v>1935</v>
      </c>
      <c r="B370" s="276" t="s">
        <v>135</v>
      </c>
      <c r="C370" s="277">
        <v>5547.4510999999766</v>
      </c>
      <c r="D370" s="278"/>
      <c r="E370" s="278">
        <v>0</v>
      </c>
      <c r="F370" s="279">
        <v>0</v>
      </c>
      <c r="G370" s="280">
        <f>C370-D370+(E370*0.5)-F370</f>
        <v>5547.4510999999766</v>
      </c>
      <c r="H370" s="290">
        <v>1</v>
      </c>
      <c r="I370" s="288">
        <f t="shared" si="45"/>
        <v>1</v>
      </c>
      <c r="J370" s="283">
        <f>IF(H370=0,0,+G370/H370)</f>
        <v>5547.4510999999766</v>
      </c>
      <c r="K370" s="311">
        <v>5547.4510999999984</v>
      </c>
      <c r="L370" s="291">
        <f t="shared" si="46"/>
        <v>2.1827872842550278E-11</v>
      </c>
      <c r="M370" s="289">
        <f t="shared" si="44"/>
        <v>3.9347571432491372E-15</v>
      </c>
    </row>
    <row r="371" spans="1:13" x14ac:dyDescent="0.2">
      <c r="A371" s="150">
        <v>1940</v>
      </c>
      <c r="B371" s="276" t="s">
        <v>136</v>
      </c>
      <c r="C371" s="277">
        <v>1770008.9853000008</v>
      </c>
      <c r="D371" s="278"/>
      <c r="E371" s="278">
        <v>187787.51123</v>
      </c>
      <c r="F371" s="279">
        <v>0</v>
      </c>
      <c r="G371" s="280">
        <f t="shared" si="43"/>
        <v>1863902.7409150007</v>
      </c>
      <c r="H371" s="290">
        <v>5.9643619963082193</v>
      </c>
      <c r="I371" s="288">
        <f t="shared" si="45"/>
        <v>0.16766252628847364</v>
      </c>
      <c r="J371" s="283">
        <f t="shared" si="42"/>
        <v>312506.64229781937</v>
      </c>
      <c r="K371" s="311">
        <v>309801.48226150003</v>
      </c>
      <c r="L371" s="291">
        <f t="shared" si="46"/>
        <v>-2705.1600363193429</v>
      </c>
      <c r="M371" s="292">
        <f t="shared" si="44"/>
        <v>-8.7319144394407602E-3</v>
      </c>
    </row>
    <row r="372" spans="1:13" x14ac:dyDescent="0.2">
      <c r="A372" s="150">
        <v>1945</v>
      </c>
      <c r="B372" s="276" t="s">
        <v>137</v>
      </c>
      <c r="C372" s="277">
        <v>12153.434199999989</v>
      </c>
      <c r="D372" s="278"/>
      <c r="E372" s="278">
        <v>4238.5444699999998</v>
      </c>
      <c r="F372" s="279">
        <v>0</v>
      </c>
      <c r="G372" s="280">
        <f t="shared" si="43"/>
        <v>14272.706434999989</v>
      </c>
      <c r="H372" s="290">
        <v>5.8924727429900825</v>
      </c>
      <c r="I372" s="288">
        <f t="shared" si="45"/>
        <v>0.16970804000572415</v>
      </c>
      <c r="J372" s="283">
        <f t="shared" si="42"/>
        <v>2422.1930346609347</v>
      </c>
      <c r="K372" s="311">
        <v>2422.1930235</v>
      </c>
      <c r="L372" s="291">
        <f t="shared" si="46"/>
        <v>-1.1160934718645876E-5</v>
      </c>
      <c r="M372" s="289">
        <f t="shared" si="44"/>
        <v>-4.607780887139475E-9</v>
      </c>
    </row>
    <row r="373" spans="1:13" x14ac:dyDescent="0.2">
      <c r="A373" s="150">
        <v>1950</v>
      </c>
      <c r="B373" s="276" t="s">
        <v>138</v>
      </c>
      <c r="C373" s="277">
        <v>0</v>
      </c>
      <c r="D373" s="278"/>
      <c r="E373" s="278">
        <v>0</v>
      </c>
      <c r="F373" s="279">
        <v>0</v>
      </c>
      <c r="G373" s="280">
        <f t="shared" si="43"/>
        <v>0</v>
      </c>
      <c r="H373" s="290"/>
      <c r="I373" s="288">
        <f t="shared" si="45"/>
        <v>0</v>
      </c>
      <c r="J373" s="283">
        <f t="shared" si="42"/>
        <v>0</v>
      </c>
      <c r="K373" s="311">
        <v>0</v>
      </c>
      <c r="L373" s="291">
        <f t="shared" si="46"/>
        <v>0</v>
      </c>
      <c r="M373" s="292">
        <f t="shared" si="44"/>
        <v>0</v>
      </c>
    </row>
    <row r="374" spans="1:13" x14ac:dyDescent="0.2">
      <c r="A374" s="150">
        <v>1955</v>
      </c>
      <c r="B374" s="276" t="s">
        <v>139</v>
      </c>
      <c r="C374" s="277">
        <v>334341.12259999919</v>
      </c>
      <c r="D374" s="278"/>
      <c r="E374" s="278">
        <v>0</v>
      </c>
      <c r="F374" s="279">
        <v>0</v>
      </c>
      <c r="G374" s="280">
        <f t="shared" si="43"/>
        <v>334341.12259999919</v>
      </c>
      <c r="H374" s="290">
        <v>4.1607153789304574</v>
      </c>
      <c r="I374" s="288">
        <f t="shared" si="45"/>
        <v>0.24034328448995168</v>
      </c>
      <c r="J374" s="283">
        <f t="shared" si="42"/>
        <v>80356.643545741419</v>
      </c>
      <c r="K374" s="311">
        <v>80351.651799999992</v>
      </c>
      <c r="L374" s="291">
        <f t="shared" si="46"/>
        <v>-4.9917457414267119</v>
      </c>
      <c r="M374" s="292">
        <f t="shared" si="44"/>
        <v>-6.2123747671690213E-5</v>
      </c>
    </row>
    <row r="375" spans="1:13" x14ac:dyDescent="0.2">
      <c r="A375" s="150">
        <v>1955</v>
      </c>
      <c r="B375" s="276" t="s">
        <v>140</v>
      </c>
      <c r="C375" s="277">
        <v>0</v>
      </c>
      <c r="D375" s="278"/>
      <c r="E375" s="278">
        <v>0</v>
      </c>
      <c r="F375" s="279">
        <v>0</v>
      </c>
      <c r="G375" s="280">
        <f t="shared" si="43"/>
        <v>0</v>
      </c>
      <c r="H375" s="290"/>
      <c r="I375" s="288">
        <f t="shared" si="45"/>
        <v>0</v>
      </c>
      <c r="J375" s="283">
        <f t="shared" si="42"/>
        <v>0</v>
      </c>
      <c r="K375" s="311">
        <v>0</v>
      </c>
      <c r="L375" s="291">
        <f t="shared" si="46"/>
        <v>0</v>
      </c>
      <c r="M375" s="289">
        <f t="shared" si="44"/>
        <v>0</v>
      </c>
    </row>
    <row r="376" spans="1:13" x14ac:dyDescent="0.2">
      <c r="A376" s="150">
        <v>1960</v>
      </c>
      <c r="B376" s="276" t="s">
        <v>141</v>
      </c>
      <c r="C376" s="277">
        <v>99066.97869999992</v>
      </c>
      <c r="D376" s="278"/>
      <c r="E376" s="278">
        <v>0</v>
      </c>
      <c r="F376" s="279">
        <v>0</v>
      </c>
      <c r="G376" s="280">
        <f t="shared" si="43"/>
        <v>99066.97869999992</v>
      </c>
      <c r="H376" s="290">
        <v>3.3917670560029896</v>
      </c>
      <c r="I376" s="288">
        <f t="shared" si="45"/>
        <v>0.29483156817332995</v>
      </c>
      <c r="J376" s="283">
        <f t="shared" si="42"/>
        <v>29208.072684314851</v>
      </c>
      <c r="K376" s="311">
        <v>29216.772699999994</v>
      </c>
      <c r="L376" s="291">
        <f t="shared" si="46"/>
        <v>8.7000156851427164</v>
      </c>
      <c r="M376" s="292">
        <f t="shared" si="44"/>
        <v>2.9777469861148349E-4</v>
      </c>
    </row>
    <row r="377" spans="1:13" x14ac:dyDescent="0.2">
      <c r="A377" s="150">
        <v>1970</v>
      </c>
      <c r="B377" s="293" t="s">
        <v>142</v>
      </c>
      <c r="C377" s="277">
        <v>0</v>
      </c>
      <c r="D377" s="278"/>
      <c r="E377" s="278">
        <v>0</v>
      </c>
      <c r="F377" s="279">
        <v>0</v>
      </c>
      <c r="G377" s="280">
        <f t="shared" si="43"/>
        <v>0</v>
      </c>
      <c r="H377" s="290"/>
      <c r="I377" s="288">
        <f t="shared" si="45"/>
        <v>0</v>
      </c>
      <c r="J377" s="283">
        <f t="shared" si="42"/>
        <v>0</v>
      </c>
      <c r="K377" s="311">
        <v>0</v>
      </c>
      <c r="L377" s="291">
        <f t="shared" si="46"/>
        <v>0</v>
      </c>
      <c r="M377" s="292">
        <f t="shared" si="44"/>
        <v>0</v>
      </c>
    </row>
    <row r="378" spans="1:13" x14ac:dyDescent="0.2">
      <c r="A378" s="150">
        <v>1975</v>
      </c>
      <c r="B378" s="276" t="s">
        <v>143</v>
      </c>
      <c r="C378" s="277">
        <v>0</v>
      </c>
      <c r="D378" s="278"/>
      <c r="E378" s="278">
        <v>0</v>
      </c>
      <c r="F378" s="279">
        <v>0</v>
      </c>
      <c r="G378" s="280">
        <f t="shared" si="43"/>
        <v>0</v>
      </c>
      <c r="H378" s="290"/>
      <c r="I378" s="288">
        <f t="shared" si="45"/>
        <v>0</v>
      </c>
      <c r="J378" s="283">
        <f t="shared" si="42"/>
        <v>0</v>
      </c>
      <c r="K378" s="311">
        <v>0</v>
      </c>
      <c r="L378" s="291">
        <f t="shared" si="46"/>
        <v>0</v>
      </c>
      <c r="M378" s="289">
        <f t="shared" si="44"/>
        <v>0</v>
      </c>
    </row>
    <row r="379" spans="1:13" x14ac:dyDescent="0.2">
      <c r="A379" s="150">
        <v>1980</v>
      </c>
      <c r="B379" s="276" t="s">
        <v>144</v>
      </c>
      <c r="C379" s="277">
        <v>4439958.1305399965</v>
      </c>
      <c r="D379" s="278"/>
      <c r="E379" s="278">
        <v>212747.15647120995</v>
      </c>
      <c r="F379" s="279">
        <v>64274.320400000004</v>
      </c>
      <c r="G379" s="280">
        <f t="shared" si="43"/>
        <v>4482057.3883756017</v>
      </c>
      <c r="H379" s="290">
        <v>8.0564764992773483</v>
      </c>
      <c r="I379" s="288">
        <f t="shared" si="45"/>
        <v>0.12412374070596473</v>
      </c>
      <c r="J379" s="283">
        <f t="shared" si="42"/>
        <v>556329.72910398664</v>
      </c>
      <c r="K379" s="311">
        <v>561797.1468023737</v>
      </c>
      <c r="L379" s="291">
        <f t="shared" si="46"/>
        <v>5467.4176983870566</v>
      </c>
      <c r="M379" s="289">
        <f t="shared" si="44"/>
        <v>9.7320140009724155E-3</v>
      </c>
    </row>
    <row r="380" spans="1:13" x14ac:dyDescent="0.2">
      <c r="A380" s="150">
        <v>1985</v>
      </c>
      <c r="B380" s="276" t="s">
        <v>145</v>
      </c>
      <c r="C380" s="277">
        <v>0</v>
      </c>
      <c r="D380" s="278"/>
      <c r="E380" s="278">
        <v>0</v>
      </c>
      <c r="F380" s="279">
        <v>0</v>
      </c>
      <c r="G380" s="280">
        <f t="shared" si="43"/>
        <v>0</v>
      </c>
      <c r="H380" s="290"/>
      <c r="I380" s="288">
        <f t="shared" si="45"/>
        <v>0</v>
      </c>
      <c r="J380" s="283">
        <f t="shared" si="42"/>
        <v>0</v>
      </c>
      <c r="K380" s="311">
        <v>0</v>
      </c>
      <c r="L380" s="291">
        <f t="shared" si="46"/>
        <v>0</v>
      </c>
      <c r="M380" s="292">
        <f t="shared" si="44"/>
        <v>0</v>
      </c>
    </row>
    <row r="381" spans="1:13" x14ac:dyDescent="0.2">
      <c r="A381" s="150">
        <v>1990</v>
      </c>
      <c r="B381" s="235" t="s">
        <v>146</v>
      </c>
      <c r="C381" s="277">
        <v>0</v>
      </c>
      <c r="D381" s="278"/>
      <c r="E381" s="278">
        <v>0</v>
      </c>
      <c r="F381" s="279">
        <v>0</v>
      </c>
      <c r="G381" s="280">
        <f t="shared" si="43"/>
        <v>0</v>
      </c>
      <c r="H381" s="290"/>
      <c r="I381" s="288">
        <f t="shared" si="45"/>
        <v>0</v>
      </c>
      <c r="J381" s="283">
        <f t="shared" si="42"/>
        <v>0</v>
      </c>
      <c r="K381" s="311">
        <v>0</v>
      </c>
      <c r="L381" s="291">
        <f t="shared" si="46"/>
        <v>0</v>
      </c>
      <c r="M381" s="289">
        <f t="shared" si="44"/>
        <v>0</v>
      </c>
    </row>
    <row r="382" spans="1:13" x14ac:dyDescent="0.2">
      <c r="A382" s="150">
        <v>1995</v>
      </c>
      <c r="B382" s="276" t="s">
        <v>147</v>
      </c>
      <c r="C382" s="277">
        <v>0</v>
      </c>
      <c r="D382" s="278"/>
      <c r="E382" s="278">
        <v>0</v>
      </c>
      <c r="F382" s="279">
        <v>0</v>
      </c>
      <c r="G382" s="280">
        <f t="shared" si="43"/>
        <v>0</v>
      </c>
      <c r="H382" s="290"/>
      <c r="I382" s="294">
        <f t="shared" si="45"/>
        <v>0</v>
      </c>
      <c r="J382" s="295">
        <f t="shared" si="42"/>
        <v>0</v>
      </c>
      <c r="K382" s="311">
        <v>0</v>
      </c>
      <c r="L382" s="291">
        <f t="shared" si="46"/>
        <v>0</v>
      </c>
      <c r="M382" s="289">
        <f t="shared" si="44"/>
        <v>0</v>
      </c>
    </row>
    <row r="383" spans="1:13" x14ac:dyDescent="0.2">
      <c r="A383" s="150">
        <v>2075</v>
      </c>
      <c r="B383" s="276" t="s">
        <v>148</v>
      </c>
      <c r="C383" s="277">
        <v>611917.54809999955</v>
      </c>
      <c r="D383" s="278"/>
      <c r="E383" s="278">
        <v>0</v>
      </c>
      <c r="F383" s="279">
        <v>0</v>
      </c>
      <c r="G383" s="280">
        <f t="shared" si="43"/>
        <v>611917.54809999955</v>
      </c>
      <c r="H383" s="290">
        <v>10.002744288655999</v>
      </c>
      <c r="I383" s="294">
        <f t="shared" si="45"/>
        <v>9.9972564642494058E-2</v>
      </c>
      <c r="J383" s="295">
        <f t="shared" si="42"/>
        <v>61174.966633303666</v>
      </c>
      <c r="K383" s="311">
        <v>52509.521900000007</v>
      </c>
      <c r="L383" s="291">
        <f t="shared" si="46"/>
        <v>-8665.4447333036587</v>
      </c>
      <c r="M383" s="289">
        <f t="shared" si="44"/>
        <v>-0.16502615944221075</v>
      </c>
    </row>
    <row r="384" spans="1:13" x14ac:dyDescent="0.2">
      <c r="A384" s="150">
        <v>2440</v>
      </c>
      <c r="B384" s="151" t="s">
        <v>166</v>
      </c>
      <c r="C384" s="277">
        <v>-144414100.40987372</v>
      </c>
      <c r="D384" s="278"/>
      <c r="E384" s="278">
        <v>-20565875.485877912</v>
      </c>
      <c r="F384" s="279">
        <v>-46190.788351109244</v>
      </c>
      <c r="G384" s="280">
        <f t="shared" si="43"/>
        <v>-154650847.36446157</v>
      </c>
      <c r="H384" s="290">
        <v>35.945489346965587</v>
      </c>
      <c r="I384" s="294">
        <f t="shared" si="45"/>
        <v>2.7819902251085004E-2</v>
      </c>
      <c r="J384" s="295">
        <f t="shared" si="42"/>
        <v>-4302371.4567267876</v>
      </c>
      <c r="K384" s="311">
        <v>-4299912.3079510136</v>
      </c>
      <c r="L384" s="291">
        <f t="shared" si="46"/>
        <v>2459.1487757740542</v>
      </c>
      <c r="M384" s="289">
        <f t="shared" si="44"/>
        <v>-5.7190672731320961E-4</v>
      </c>
    </row>
    <row r="385" spans="1:17" ht="13.5" thickBot="1" x14ac:dyDescent="0.25">
      <c r="A385" s="150">
        <v>2005</v>
      </c>
      <c r="B385" s="276" t="s">
        <v>329</v>
      </c>
      <c r="C385" s="277">
        <v>114733.56000000029</v>
      </c>
      <c r="D385" s="278"/>
      <c r="E385" s="278">
        <v>0</v>
      </c>
      <c r="F385" s="279">
        <v>0</v>
      </c>
      <c r="G385" s="280">
        <f t="shared" si="43"/>
        <v>114733.56000000029</v>
      </c>
      <c r="H385" s="297">
        <v>1.6666667035328742</v>
      </c>
      <c r="I385" s="298">
        <f t="shared" si="45"/>
        <v>0.59999998672816557</v>
      </c>
      <c r="J385" s="299">
        <f t="shared" si="42"/>
        <v>68840.134477275365</v>
      </c>
      <c r="K385" s="312">
        <v>71389.919999999998</v>
      </c>
      <c r="L385" s="300">
        <f t="shared" si="46"/>
        <v>2549.7855227246328</v>
      </c>
      <c r="M385" s="301">
        <f t="shared" si="44"/>
        <v>3.5716324135461039E-2</v>
      </c>
    </row>
    <row r="386" spans="1:17" ht="13.5" thickBot="1" x14ac:dyDescent="0.25">
      <c r="A386" s="309"/>
      <c r="B386" s="310" t="s">
        <v>43</v>
      </c>
      <c r="C386" s="304">
        <f>SUM(C342:C385)</f>
        <v>466512625.92074412</v>
      </c>
      <c r="D386" s="304">
        <f t="shared" ref="D386:F386" si="47">SUM(D342:D385)</f>
        <v>0</v>
      </c>
      <c r="E386" s="304">
        <f t="shared" si="47"/>
        <v>43951698.409385547</v>
      </c>
      <c r="F386" s="304">
        <f t="shared" si="47"/>
        <v>1073750.0787999057</v>
      </c>
      <c r="G386" s="304">
        <f>SUM(G344:G385)</f>
        <v>482398674.93763703</v>
      </c>
      <c r="H386" s="304"/>
      <c r="I386" s="305"/>
      <c r="J386" s="304">
        <f>SUM(J342:J385)</f>
        <v>23651946.260115322</v>
      </c>
      <c r="K386" s="304">
        <f t="shared" ref="K386:L386" si="48">SUM(K342:K385)</f>
        <v>23699389.563863736</v>
      </c>
      <c r="L386" s="306">
        <f t="shared" si="48"/>
        <v>47443.303748415106</v>
      </c>
      <c r="M386" s="307">
        <f t="shared" si="44"/>
        <v>2.001878724368307E-3</v>
      </c>
    </row>
    <row r="387" spans="1:17" x14ac:dyDescent="0.2">
      <c r="C387" s="200"/>
      <c r="E387" s="172"/>
      <c r="F387" s="172"/>
      <c r="K387" s="172"/>
    </row>
    <row r="388" spans="1:17" ht="13.5" thickBot="1" x14ac:dyDescent="0.25"/>
    <row r="389" spans="1:17" ht="18" customHeight="1" thickBot="1" x14ac:dyDescent="0.3">
      <c r="A389" s="253"/>
      <c r="B389" s="253"/>
      <c r="C389" s="253"/>
      <c r="D389" s="253"/>
      <c r="E389" s="254" t="s">
        <v>300</v>
      </c>
      <c r="F389" s="259">
        <v>2027</v>
      </c>
      <c r="G389" s="253"/>
      <c r="H389" s="253"/>
      <c r="I389" s="253"/>
      <c r="J389" s="253"/>
      <c r="K389" s="253"/>
    </row>
    <row r="390" spans="1:17" ht="13.5" thickBot="1" x14ac:dyDescent="0.25">
      <c r="A390" s="260"/>
      <c r="B390" s="260"/>
      <c r="C390" s="260"/>
      <c r="D390" s="260"/>
      <c r="E390" s="260"/>
      <c r="F390" s="260"/>
      <c r="G390" s="260"/>
      <c r="H390" s="260"/>
      <c r="I390" s="260"/>
      <c r="J390" s="260"/>
      <c r="K390" s="260"/>
      <c r="Q390" s="123">
        <v>2017</v>
      </c>
    </row>
    <row r="391" spans="1:17" ht="19.149999999999999" customHeight="1" thickBot="1" x14ac:dyDescent="0.3">
      <c r="A391" s="253"/>
      <c r="B391" s="253"/>
      <c r="C391" s="457" t="s">
        <v>301</v>
      </c>
      <c r="D391" s="458"/>
      <c r="E391" s="458"/>
      <c r="F391" s="458"/>
      <c r="G391" s="459" t="s">
        <v>302</v>
      </c>
      <c r="H391" s="460"/>
      <c r="I391" s="261" t="s">
        <v>303</v>
      </c>
      <c r="J391" s="253"/>
      <c r="K391" s="253"/>
      <c r="Q391" s="123">
        <v>2018</v>
      </c>
    </row>
    <row r="392" spans="1:17" ht="64.150000000000006" customHeight="1" thickBot="1" x14ac:dyDescent="0.25">
      <c r="A392" s="453" t="s">
        <v>304</v>
      </c>
      <c r="B392" s="455" t="s">
        <v>305</v>
      </c>
      <c r="C392" s="262" t="s">
        <v>306</v>
      </c>
      <c r="D392" s="263" t="s">
        <v>307</v>
      </c>
      <c r="E392" s="264" t="s">
        <v>308</v>
      </c>
      <c r="F392" s="265" t="s">
        <v>309</v>
      </c>
      <c r="G392" s="265" t="s">
        <v>310</v>
      </c>
      <c r="H392" s="262" t="s">
        <v>311</v>
      </c>
      <c r="I392" s="266" t="s">
        <v>312</v>
      </c>
      <c r="J392" s="267" t="s">
        <v>313</v>
      </c>
      <c r="K392" s="264" t="s">
        <v>331</v>
      </c>
      <c r="L392" s="266" t="s">
        <v>315</v>
      </c>
      <c r="M392" s="266" t="s">
        <v>316</v>
      </c>
    </row>
    <row r="393" spans="1:17" ht="13.5" thickBot="1" x14ac:dyDescent="0.25">
      <c r="A393" s="454"/>
      <c r="B393" s="456"/>
      <c r="C393" s="268" t="s">
        <v>317</v>
      </c>
      <c r="D393" s="269" t="s">
        <v>318</v>
      </c>
      <c r="E393" s="270" t="s">
        <v>319</v>
      </c>
      <c r="F393" s="270" t="s">
        <v>320</v>
      </c>
      <c r="G393" s="271" t="s">
        <v>321</v>
      </c>
      <c r="H393" s="272" t="s">
        <v>322</v>
      </c>
      <c r="I393" s="270" t="s">
        <v>323</v>
      </c>
      <c r="J393" s="268" t="s">
        <v>324</v>
      </c>
      <c r="K393" s="273" t="s">
        <v>325</v>
      </c>
      <c r="L393" s="271" t="s">
        <v>326</v>
      </c>
      <c r="M393" s="274" t="s">
        <v>327</v>
      </c>
    </row>
    <row r="394" spans="1:17" ht="13.5" thickBot="1" x14ac:dyDescent="0.25">
      <c r="A394" s="275">
        <v>1609</v>
      </c>
      <c r="B394" s="276" t="s">
        <v>108</v>
      </c>
      <c r="C394" s="277">
        <v>23848639.971368197</v>
      </c>
      <c r="D394" s="278"/>
      <c r="E394" s="278">
        <v>0</v>
      </c>
      <c r="F394" s="279">
        <v>0</v>
      </c>
      <c r="G394" s="280">
        <f>C394-D394+(E394*0.5)-F394</f>
        <v>23848639.971368197</v>
      </c>
      <c r="H394" s="281">
        <v>17.327678983553945</v>
      </c>
      <c r="I394" s="282">
        <f>IF(H394=0,0,1/H394)</f>
        <v>5.7711133784802943E-2</v>
      </c>
      <c r="J394" s="283">
        <f t="shared" ref="J394:J438" si="49">IF(H394=0,0,+G394/H394)</f>
        <v>1376332.051973229</v>
      </c>
      <c r="K394" s="284">
        <v>1376029.3467436</v>
      </c>
      <c r="L394" s="285">
        <f>IF(ISERROR(+K394-J394), 0, +K394-J394)</f>
        <v>-302.70522962906398</v>
      </c>
      <c r="M394" s="286">
        <f>IFERROR(L394/K394,0)</f>
        <v>-2.1998457398123212E-4</v>
      </c>
    </row>
    <row r="395" spans="1:17" x14ac:dyDescent="0.2">
      <c r="A395" s="275">
        <v>1610</v>
      </c>
      <c r="B395" s="287" t="s">
        <v>328</v>
      </c>
      <c r="C395" s="277">
        <v>303513.92679999955</v>
      </c>
      <c r="D395" s="278"/>
      <c r="E395" s="278">
        <v>0</v>
      </c>
      <c r="F395" s="279">
        <v>0</v>
      </c>
      <c r="G395" s="280">
        <f>C395-D395+(E395*0.5)-F395</f>
        <v>303513.92679999955</v>
      </c>
      <c r="H395" s="281">
        <v>6.4986301369863018</v>
      </c>
      <c r="I395" s="282">
        <f>IF(H395=0,0,1/H395)</f>
        <v>0.15387858347386171</v>
      </c>
      <c r="J395" s="283">
        <f t="shared" si="49"/>
        <v>46704.293120573282</v>
      </c>
      <c r="K395" s="284">
        <v>46684.611599999997</v>
      </c>
      <c r="L395" s="285">
        <f>IF(ISERROR(+K395-J395), 0, +K395-J395)</f>
        <v>-19.681520573285525</v>
      </c>
      <c r="M395" s="286">
        <f>IFERROR(L395/K395,0)</f>
        <v>-4.2158475563467096E-4</v>
      </c>
    </row>
    <row r="396" spans="1:17" x14ac:dyDescent="0.2">
      <c r="A396" s="234">
        <v>1611</v>
      </c>
      <c r="B396" s="287" t="s">
        <v>111</v>
      </c>
      <c r="C396" s="277">
        <v>5217351.7151333354</v>
      </c>
      <c r="D396" s="278"/>
      <c r="E396" s="278">
        <v>661219.25</v>
      </c>
      <c r="F396" s="279">
        <v>0</v>
      </c>
      <c r="G396" s="280">
        <f t="shared" ref="G396:G438" si="50">C396-D396+(E396*0.5)-F396</f>
        <v>5547961.3401333354</v>
      </c>
      <c r="H396" s="281">
        <v>2.4574268218768935</v>
      </c>
      <c r="I396" s="288">
        <f>IF(H396=0,0,1/H396)</f>
        <v>0.40692971652203108</v>
      </c>
      <c r="J396" s="283">
        <f t="shared" si="49"/>
        <v>2257630.3354156455</v>
      </c>
      <c r="K396" s="311">
        <v>2257630.3351666667</v>
      </c>
      <c r="L396" s="285">
        <f>IF(ISERROR(+K396-J396), 0, +K396-J396)</f>
        <v>-2.4897884577512741E-4</v>
      </c>
      <c r="M396" s="289">
        <f t="shared" ref="M396:M439" si="51">IFERROR(L396/K396,0)</f>
        <v>-1.1028326555363497E-10</v>
      </c>
    </row>
    <row r="397" spans="1:17" x14ac:dyDescent="0.2">
      <c r="A397" s="150">
        <v>1612</v>
      </c>
      <c r="B397" s="276" t="s">
        <v>112</v>
      </c>
      <c r="C397" s="277">
        <v>307940.18160000024</v>
      </c>
      <c r="D397" s="278"/>
      <c r="E397" s="278">
        <v>0</v>
      </c>
      <c r="F397" s="279">
        <v>0</v>
      </c>
      <c r="G397" s="280">
        <f t="shared" si="50"/>
        <v>307940.18160000024</v>
      </c>
      <c r="H397" s="290">
        <v>25.016572094649931</v>
      </c>
      <c r="I397" s="288">
        <f t="shared" ref="I397:I438" si="52">IF(H397=0,0,1/H397)</f>
        <v>3.9973502213513139E-2</v>
      </c>
      <c r="J397" s="283">
        <f t="shared" si="49"/>
        <v>12309.447530817248</v>
      </c>
      <c r="K397" s="311">
        <v>12301.7492</v>
      </c>
      <c r="L397" s="291">
        <f t="shared" ref="L397:L438" si="53">IF(ISERROR(+K397-J397), 0, +K397-J397)</f>
        <v>-7.6983308172475517</v>
      </c>
      <c r="M397" s="289">
        <f t="shared" si="51"/>
        <v>-6.2579155956516753E-4</v>
      </c>
    </row>
    <row r="398" spans="1:17" x14ac:dyDescent="0.2">
      <c r="A398" s="150">
        <v>1612</v>
      </c>
      <c r="B398" s="276" t="s">
        <v>330</v>
      </c>
      <c r="C398" s="277">
        <v>3841402</v>
      </c>
      <c r="D398" s="278"/>
      <c r="E398" s="278"/>
      <c r="F398" s="279">
        <v>0</v>
      </c>
      <c r="G398" s="280">
        <f t="shared" si="50"/>
        <v>3841402</v>
      </c>
      <c r="H398" s="290"/>
      <c r="I398" s="288">
        <f t="shared" si="52"/>
        <v>0</v>
      </c>
      <c r="J398" s="283">
        <f t="shared" si="49"/>
        <v>0</v>
      </c>
      <c r="K398" s="284"/>
      <c r="L398" s="291">
        <f t="shared" si="53"/>
        <v>0</v>
      </c>
      <c r="M398" s="289">
        <f t="shared" si="51"/>
        <v>0</v>
      </c>
    </row>
    <row r="399" spans="1:17" x14ac:dyDescent="0.2">
      <c r="A399" s="150">
        <v>1805</v>
      </c>
      <c r="B399" s="276" t="s">
        <v>113</v>
      </c>
      <c r="C399" s="277">
        <v>1190619.8899999999</v>
      </c>
      <c r="D399" s="278"/>
      <c r="E399" s="278">
        <v>0</v>
      </c>
      <c r="F399" s="279">
        <v>0</v>
      </c>
      <c r="G399" s="280">
        <f t="shared" si="50"/>
        <v>1190619.8899999999</v>
      </c>
      <c r="H399" s="290"/>
      <c r="I399" s="288">
        <f t="shared" si="52"/>
        <v>0</v>
      </c>
      <c r="J399" s="283">
        <f t="shared" si="49"/>
        <v>0</v>
      </c>
      <c r="K399" s="311">
        <v>0</v>
      </c>
      <c r="L399" s="291">
        <f t="shared" si="53"/>
        <v>0</v>
      </c>
      <c r="M399" s="289">
        <f t="shared" si="51"/>
        <v>0</v>
      </c>
    </row>
    <row r="400" spans="1:17" x14ac:dyDescent="0.2">
      <c r="A400" s="150">
        <v>1808</v>
      </c>
      <c r="B400" s="276" t="s">
        <v>114</v>
      </c>
      <c r="C400" s="277">
        <v>168832.55799999973</v>
      </c>
      <c r="D400" s="278"/>
      <c r="E400" s="278">
        <v>0</v>
      </c>
      <c r="F400" s="279">
        <v>0</v>
      </c>
      <c r="G400" s="280">
        <f t="shared" si="50"/>
        <v>168832.55799999973</v>
      </c>
      <c r="H400" s="290">
        <v>17.62625955281872</v>
      </c>
      <c r="I400" s="288">
        <f t="shared" si="52"/>
        <v>5.6733534247774317E-2</v>
      </c>
      <c r="J400" s="283">
        <f t="shared" si="49"/>
        <v>9578.4677114323276</v>
      </c>
      <c r="K400" s="311">
        <v>9573.8109999999997</v>
      </c>
      <c r="L400" s="291">
        <f t="shared" si="53"/>
        <v>-4.6567114323279384</v>
      </c>
      <c r="M400" s="289">
        <f t="shared" si="51"/>
        <v>-4.8640101964911764E-4</v>
      </c>
    </row>
    <row r="401" spans="1:13" x14ac:dyDescent="0.2">
      <c r="A401" s="150">
        <v>1810</v>
      </c>
      <c r="B401" s="276" t="s">
        <v>115</v>
      </c>
      <c r="C401" s="277">
        <v>0</v>
      </c>
      <c r="D401" s="278"/>
      <c r="E401" s="278">
        <v>0</v>
      </c>
      <c r="F401" s="279">
        <v>0</v>
      </c>
      <c r="G401" s="280">
        <f t="shared" si="50"/>
        <v>0</v>
      </c>
      <c r="H401" s="290"/>
      <c r="I401" s="288">
        <f t="shared" si="52"/>
        <v>0</v>
      </c>
      <c r="J401" s="283">
        <f t="shared" si="49"/>
        <v>0</v>
      </c>
      <c r="K401" s="311">
        <v>0</v>
      </c>
      <c r="L401" s="291">
        <f t="shared" si="53"/>
        <v>0</v>
      </c>
      <c r="M401" s="289">
        <f t="shared" si="51"/>
        <v>0</v>
      </c>
    </row>
    <row r="402" spans="1:13" x14ac:dyDescent="0.2">
      <c r="A402" s="150">
        <v>1815</v>
      </c>
      <c r="B402" s="276" t="s">
        <v>116</v>
      </c>
      <c r="C402" s="277">
        <v>31644510.178599998</v>
      </c>
      <c r="D402" s="278"/>
      <c r="E402" s="278">
        <v>0</v>
      </c>
      <c r="F402" s="279">
        <v>0</v>
      </c>
      <c r="G402" s="280">
        <f t="shared" si="50"/>
        <v>31644510.178599998</v>
      </c>
      <c r="H402" s="290">
        <v>42.628055083028741</v>
      </c>
      <c r="I402" s="288">
        <f t="shared" si="52"/>
        <v>2.3458729187908086E-2</v>
      </c>
      <c r="J402" s="283">
        <f t="shared" si="49"/>
        <v>742339.99456377828</v>
      </c>
      <c r="K402" s="311">
        <v>741911.21570000006</v>
      </c>
      <c r="L402" s="291">
        <f t="shared" si="53"/>
        <v>-428.77886377822142</v>
      </c>
      <c r="M402" s="289">
        <f t="shared" si="51"/>
        <v>-5.7793824207612852E-4</v>
      </c>
    </row>
    <row r="403" spans="1:13" x14ac:dyDescent="0.2">
      <c r="A403" s="150">
        <v>1820</v>
      </c>
      <c r="B403" s="276" t="s">
        <v>117</v>
      </c>
      <c r="C403" s="277">
        <v>74890482.345892295</v>
      </c>
      <c r="D403" s="278"/>
      <c r="E403" s="278">
        <v>10050644.951180283</v>
      </c>
      <c r="F403" s="279">
        <v>2030231.1992000001</v>
      </c>
      <c r="G403" s="280">
        <f t="shared" si="50"/>
        <v>77885573.622282431</v>
      </c>
      <c r="H403" s="290">
        <v>29.035091900510206</v>
      </c>
      <c r="I403" s="288">
        <f t="shared" si="52"/>
        <v>3.4441082653588154E-2</v>
      </c>
      <c r="J403" s="283">
        <f t="shared" si="49"/>
        <v>2682463.4786471548</v>
      </c>
      <c r="K403" s="311">
        <v>2779269.2735642763</v>
      </c>
      <c r="L403" s="291">
        <f t="shared" si="53"/>
        <v>96805.79491712153</v>
      </c>
      <c r="M403" s="289">
        <f t="shared" si="51"/>
        <v>3.4831383859748447E-2</v>
      </c>
    </row>
    <row r="404" spans="1:13" x14ac:dyDescent="0.2">
      <c r="A404" s="150">
        <v>1825</v>
      </c>
      <c r="B404" s="276" t="s">
        <v>118</v>
      </c>
      <c r="C404" s="277">
        <v>0</v>
      </c>
      <c r="D404" s="278"/>
      <c r="E404" s="278">
        <v>0</v>
      </c>
      <c r="F404" s="279">
        <v>0</v>
      </c>
      <c r="G404" s="280">
        <f t="shared" si="50"/>
        <v>0</v>
      </c>
      <c r="H404" s="290"/>
      <c r="I404" s="288">
        <f t="shared" si="52"/>
        <v>0</v>
      </c>
      <c r="J404" s="283">
        <f t="shared" si="49"/>
        <v>0</v>
      </c>
      <c r="K404" s="311">
        <v>0</v>
      </c>
      <c r="L404" s="291">
        <f t="shared" si="53"/>
        <v>0</v>
      </c>
      <c r="M404" s="289">
        <f t="shared" si="51"/>
        <v>0</v>
      </c>
    </row>
    <row r="405" spans="1:13" x14ac:dyDescent="0.2">
      <c r="A405" s="150">
        <v>1830</v>
      </c>
      <c r="B405" s="276" t="s">
        <v>119</v>
      </c>
      <c r="C405" s="277">
        <v>143406506.32776138</v>
      </c>
      <c r="D405" s="278"/>
      <c r="E405" s="278">
        <v>35592651.512599997</v>
      </c>
      <c r="F405" s="279">
        <v>337167.8125530926</v>
      </c>
      <c r="G405" s="280">
        <f t="shared" si="50"/>
        <v>160865664.27150831</v>
      </c>
      <c r="H405" s="290">
        <v>32.396375506093975</v>
      </c>
      <c r="I405" s="288">
        <f t="shared" si="52"/>
        <v>3.0867650605293586E-2</v>
      </c>
      <c r="J405" s="283">
        <f t="shared" si="49"/>
        <v>4965545.1191213783</v>
      </c>
      <c r="K405" s="311">
        <v>4974041.1332758227</v>
      </c>
      <c r="L405" s="291">
        <f t="shared" si="53"/>
        <v>8496.0141544444486</v>
      </c>
      <c r="M405" s="292">
        <f t="shared" si="51"/>
        <v>1.7080707470645928E-3</v>
      </c>
    </row>
    <row r="406" spans="1:13" x14ac:dyDescent="0.2">
      <c r="A406" s="150">
        <v>1835</v>
      </c>
      <c r="B406" s="276" t="s">
        <v>120</v>
      </c>
      <c r="C406" s="277">
        <v>94923157.362761617</v>
      </c>
      <c r="D406" s="278"/>
      <c r="E406" s="278">
        <v>25002716.252899997</v>
      </c>
      <c r="F406" s="279">
        <v>82164.237993563322</v>
      </c>
      <c r="G406" s="280">
        <f t="shared" si="50"/>
        <v>107342351.25121805</v>
      </c>
      <c r="H406" s="290">
        <v>36.051552978650285</v>
      </c>
      <c r="I406" s="288">
        <f t="shared" si="52"/>
        <v>2.7738056127351838E-2</v>
      </c>
      <c r="J406" s="283">
        <f t="shared" si="49"/>
        <v>2977468.1638482022</v>
      </c>
      <c r="K406" s="311">
        <v>2987720.0439632833</v>
      </c>
      <c r="L406" s="291">
        <f t="shared" si="53"/>
        <v>10251.88011508109</v>
      </c>
      <c r="M406" s="289">
        <f t="shared" si="51"/>
        <v>3.4313389354518379E-3</v>
      </c>
    </row>
    <row r="407" spans="1:13" x14ac:dyDescent="0.2">
      <c r="A407" s="150">
        <v>1840</v>
      </c>
      <c r="B407" s="276" t="s">
        <v>121</v>
      </c>
      <c r="C407" s="277">
        <v>74051858.423117489</v>
      </c>
      <c r="D407" s="278"/>
      <c r="E407" s="278">
        <v>7076029.9615000002</v>
      </c>
      <c r="F407" s="279">
        <v>837.47880000000009</v>
      </c>
      <c r="G407" s="280">
        <f t="shared" si="50"/>
        <v>77589035.925067484</v>
      </c>
      <c r="H407" s="290">
        <v>49.79587856472105</v>
      </c>
      <c r="I407" s="288">
        <f t="shared" si="52"/>
        <v>2.0081983264945771E-2</v>
      </c>
      <c r="J407" s="283">
        <f t="shared" si="49"/>
        <v>1558141.7209904816</v>
      </c>
      <c r="K407" s="311">
        <v>1557383.5366514497</v>
      </c>
      <c r="L407" s="291">
        <f t="shared" si="53"/>
        <v>-758.18433903180994</v>
      </c>
      <c r="M407" s="292">
        <f t="shared" si="51"/>
        <v>-4.8683212656915059E-4</v>
      </c>
    </row>
    <row r="408" spans="1:13" x14ac:dyDescent="0.2">
      <c r="A408" s="150">
        <v>1845</v>
      </c>
      <c r="B408" s="276" t="s">
        <v>122</v>
      </c>
      <c r="C408" s="277">
        <v>108171745.31464985</v>
      </c>
      <c r="D408" s="278"/>
      <c r="E408" s="278">
        <v>14389442.4515</v>
      </c>
      <c r="F408" s="279">
        <v>160574.32754393553</v>
      </c>
      <c r="G408" s="280">
        <f t="shared" si="50"/>
        <v>115205892.21285592</v>
      </c>
      <c r="H408" s="290">
        <v>29.321889279354881</v>
      </c>
      <c r="I408" s="288">
        <f t="shared" si="52"/>
        <v>3.4104214447876167E-2</v>
      </c>
      <c r="J408" s="283">
        <f t="shared" si="49"/>
        <v>3929006.4536861451</v>
      </c>
      <c r="K408" s="311">
        <v>3932934.3542587496</v>
      </c>
      <c r="L408" s="291">
        <f t="shared" si="53"/>
        <v>3927.9005726044998</v>
      </c>
      <c r="M408" s="289">
        <f t="shared" si="51"/>
        <v>9.987200951755528E-4</v>
      </c>
    </row>
    <row r="409" spans="1:13" x14ac:dyDescent="0.2">
      <c r="A409" s="150">
        <v>1850</v>
      </c>
      <c r="B409" s="276" t="s">
        <v>123</v>
      </c>
      <c r="C409" s="277">
        <v>66201734.756166548</v>
      </c>
      <c r="D409" s="278"/>
      <c r="E409" s="278">
        <v>3637879.2565000001</v>
      </c>
      <c r="F409" s="279">
        <v>222340.76609893399</v>
      </c>
      <c r="G409" s="280">
        <f t="shared" si="50"/>
        <v>67798333.618317619</v>
      </c>
      <c r="H409" s="290">
        <v>20.863725034907429</v>
      </c>
      <c r="I409" s="288">
        <f t="shared" si="52"/>
        <v>4.793007951968712E-2</v>
      </c>
      <c r="J409" s="283">
        <f t="shared" si="49"/>
        <v>3249579.5216282401</v>
      </c>
      <c r="K409" s="311">
        <v>3256514.3806726504</v>
      </c>
      <c r="L409" s="291">
        <f t="shared" si="53"/>
        <v>6934.8590444102883</v>
      </c>
      <c r="M409" s="289">
        <f t="shared" si="51"/>
        <v>2.1295342915015336E-3</v>
      </c>
    </row>
    <row r="410" spans="1:13" x14ac:dyDescent="0.2">
      <c r="A410" s="150">
        <v>1855</v>
      </c>
      <c r="B410" s="276" t="s">
        <v>124</v>
      </c>
      <c r="C410" s="277">
        <v>50465764.228823781</v>
      </c>
      <c r="D410" s="278"/>
      <c r="E410" s="278">
        <v>5278395.7149999999</v>
      </c>
      <c r="F410" s="279">
        <v>0</v>
      </c>
      <c r="G410" s="280">
        <f t="shared" si="50"/>
        <v>53104962.086323783</v>
      </c>
      <c r="H410" s="290">
        <v>32.177506155103657</v>
      </c>
      <c r="I410" s="288">
        <f t="shared" si="52"/>
        <v>3.1077610402115968E-2</v>
      </c>
      <c r="J410" s="283">
        <f t="shared" si="49"/>
        <v>1650375.3221379102</v>
      </c>
      <c r="K410" s="311">
        <v>1649531.8911709997</v>
      </c>
      <c r="L410" s="291">
        <f t="shared" si="53"/>
        <v>-843.43096691044047</v>
      </c>
      <c r="M410" s="289">
        <f t="shared" si="51"/>
        <v>-5.1131534432577127E-4</v>
      </c>
    </row>
    <row r="411" spans="1:13" x14ac:dyDescent="0.2">
      <c r="A411" s="150">
        <v>1860</v>
      </c>
      <c r="B411" s="276" t="s">
        <v>125</v>
      </c>
      <c r="C411" s="277">
        <v>2253953.5661046244</v>
      </c>
      <c r="D411" s="278"/>
      <c r="E411" s="278">
        <v>126109.54300000001</v>
      </c>
      <c r="F411" s="279">
        <v>2598.4872112084413</v>
      </c>
      <c r="G411" s="280">
        <f t="shared" si="50"/>
        <v>2314409.8503934159</v>
      </c>
      <c r="H411" s="290">
        <v>15.543282516401177</v>
      </c>
      <c r="I411" s="288">
        <f t="shared" si="52"/>
        <v>6.4336474547432701E-2</v>
      </c>
      <c r="J411" s="283">
        <f t="shared" si="49"/>
        <v>148900.97043216351</v>
      </c>
      <c r="K411" s="311">
        <v>148310.72710523504</v>
      </c>
      <c r="L411" s="291">
        <f t="shared" si="53"/>
        <v>-590.24332692846656</v>
      </c>
      <c r="M411" s="289">
        <f t="shared" si="51"/>
        <v>-3.979775019979875E-3</v>
      </c>
    </row>
    <row r="412" spans="1:13" x14ac:dyDescent="0.2">
      <c r="A412" s="150">
        <v>1860</v>
      </c>
      <c r="B412" s="276" t="s">
        <v>126</v>
      </c>
      <c r="C412" s="277">
        <v>8943704.8885083459</v>
      </c>
      <c r="D412" s="278"/>
      <c r="E412" s="278">
        <v>1549345.8140000002</v>
      </c>
      <c r="F412" s="279">
        <v>6794.2450304036611</v>
      </c>
      <c r="G412" s="280">
        <f t="shared" si="50"/>
        <v>9711583.5504779425</v>
      </c>
      <c r="H412" s="290">
        <v>9.082670120037271</v>
      </c>
      <c r="I412" s="288">
        <f t="shared" si="52"/>
        <v>0.11009978197863873</v>
      </c>
      <c r="J412" s="283">
        <f t="shared" si="49"/>
        <v>1069243.2315749556</v>
      </c>
      <c r="K412" s="311">
        <v>1080447.4820928255</v>
      </c>
      <c r="L412" s="291">
        <f t="shared" si="53"/>
        <v>11204.250517869834</v>
      </c>
      <c r="M412" s="289">
        <f t="shared" si="51"/>
        <v>1.0370009374418843E-2</v>
      </c>
    </row>
    <row r="413" spans="1:13" x14ac:dyDescent="0.2">
      <c r="A413" s="150">
        <v>1865</v>
      </c>
      <c r="B413" s="276" t="s">
        <v>127</v>
      </c>
      <c r="C413" s="277">
        <v>0</v>
      </c>
      <c r="D413" s="278"/>
      <c r="E413" s="278">
        <v>0</v>
      </c>
      <c r="F413" s="279">
        <v>0</v>
      </c>
      <c r="G413" s="280">
        <f t="shared" si="50"/>
        <v>0</v>
      </c>
      <c r="H413" s="290"/>
      <c r="I413" s="288">
        <f t="shared" si="52"/>
        <v>0</v>
      </c>
      <c r="J413" s="283">
        <f t="shared" si="49"/>
        <v>0</v>
      </c>
      <c r="K413" s="311">
        <v>0</v>
      </c>
      <c r="L413" s="291">
        <f t="shared" si="53"/>
        <v>0</v>
      </c>
      <c r="M413" s="289">
        <f t="shared" si="51"/>
        <v>0</v>
      </c>
    </row>
    <row r="414" spans="1:13" x14ac:dyDescent="0.2">
      <c r="A414" s="150">
        <v>1905</v>
      </c>
      <c r="B414" s="276" t="s">
        <v>113</v>
      </c>
      <c r="C414" s="277">
        <v>1195031.2999999998</v>
      </c>
      <c r="D414" s="278"/>
      <c r="E414" s="278">
        <v>0</v>
      </c>
      <c r="F414" s="279">
        <v>0</v>
      </c>
      <c r="G414" s="280">
        <f t="shared" si="50"/>
        <v>1195031.2999999998</v>
      </c>
      <c r="H414" s="290"/>
      <c r="I414" s="288">
        <f t="shared" si="52"/>
        <v>0</v>
      </c>
      <c r="J414" s="283">
        <f t="shared" si="49"/>
        <v>0</v>
      </c>
      <c r="K414" s="311">
        <v>0</v>
      </c>
      <c r="L414" s="291">
        <f t="shared" si="53"/>
        <v>0</v>
      </c>
      <c r="M414" s="289">
        <f t="shared" si="51"/>
        <v>0</v>
      </c>
    </row>
    <row r="415" spans="1:13" x14ac:dyDescent="0.2">
      <c r="A415" s="150">
        <v>1908</v>
      </c>
      <c r="B415" s="276" t="s">
        <v>128</v>
      </c>
      <c r="C415" s="277">
        <v>16060385.967733335</v>
      </c>
      <c r="D415" s="278"/>
      <c r="E415" s="278">
        <v>1333800</v>
      </c>
      <c r="F415" s="279">
        <v>0</v>
      </c>
      <c r="G415" s="280">
        <f t="shared" si="50"/>
        <v>16727285.967733335</v>
      </c>
      <c r="H415" s="290">
        <v>15.917557844332663</v>
      </c>
      <c r="I415" s="288">
        <f t="shared" si="52"/>
        <v>6.2823707617688546E-2</v>
      </c>
      <c r="J415" s="283">
        <f t="shared" si="49"/>
        <v>1050870.1228743435</v>
      </c>
      <c r="K415" s="311">
        <v>1050387.8462333335</v>
      </c>
      <c r="L415" s="291">
        <f t="shared" si="53"/>
        <v>-482.27664101007394</v>
      </c>
      <c r="M415" s="289">
        <f t="shared" si="51"/>
        <v>-4.5914149020241126E-4</v>
      </c>
    </row>
    <row r="416" spans="1:13" x14ac:dyDescent="0.2">
      <c r="A416" s="150">
        <v>1910</v>
      </c>
      <c r="B416" s="276" t="s">
        <v>115</v>
      </c>
      <c r="C416" s="277">
        <v>0</v>
      </c>
      <c r="D416" s="278"/>
      <c r="E416" s="278">
        <v>0</v>
      </c>
      <c r="F416" s="279">
        <v>0</v>
      </c>
      <c r="G416" s="280">
        <f t="shared" si="50"/>
        <v>0</v>
      </c>
      <c r="H416" s="290"/>
      <c r="I416" s="288">
        <f t="shared" si="52"/>
        <v>0</v>
      </c>
      <c r="J416" s="283">
        <f t="shared" si="49"/>
        <v>0</v>
      </c>
      <c r="K416" s="311">
        <v>0</v>
      </c>
      <c r="L416" s="291">
        <f t="shared" si="53"/>
        <v>0</v>
      </c>
      <c r="M416" s="289">
        <f t="shared" si="51"/>
        <v>0</v>
      </c>
    </row>
    <row r="417" spans="1:13" x14ac:dyDescent="0.2">
      <c r="A417" s="150">
        <v>1915</v>
      </c>
      <c r="B417" s="276" t="s">
        <v>129</v>
      </c>
      <c r="C417" s="277">
        <v>442030.98459999962</v>
      </c>
      <c r="D417" s="278"/>
      <c r="E417" s="278">
        <v>3839399.2</v>
      </c>
      <c r="F417" s="279">
        <v>0</v>
      </c>
      <c r="G417" s="280">
        <f t="shared" si="50"/>
        <v>2361730.5845999997</v>
      </c>
      <c r="H417" s="290">
        <v>8.1973355578200024</v>
      </c>
      <c r="I417" s="288">
        <f t="shared" si="52"/>
        <v>0.12199085824247261</v>
      </c>
      <c r="J417" s="283">
        <f t="shared" si="49"/>
        <v>288109.54095285054</v>
      </c>
      <c r="K417" s="311">
        <v>288095.82330000005</v>
      </c>
      <c r="L417" s="291">
        <f t="shared" si="53"/>
        <v>-13.717652850493323</v>
      </c>
      <c r="M417" s="289">
        <f t="shared" si="51"/>
        <v>-4.7614896645720727E-5</v>
      </c>
    </row>
    <row r="418" spans="1:13" x14ac:dyDescent="0.2">
      <c r="A418" s="150">
        <v>1915</v>
      </c>
      <c r="B418" s="276" t="s">
        <v>130</v>
      </c>
      <c r="C418" s="277">
        <v>0</v>
      </c>
      <c r="D418" s="278"/>
      <c r="E418" s="278">
        <v>0</v>
      </c>
      <c r="F418" s="279">
        <v>0</v>
      </c>
      <c r="G418" s="280">
        <f t="shared" si="50"/>
        <v>0</v>
      </c>
      <c r="H418" s="290"/>
      <c r="I418" s="288">
        <f t="shared" si="52"/>
        <v>0</v>
      </c>
      <c r="J418" s="283">
        <f t="shared" si="49"/>
        <v>0</v>
      </c>
      <c r="K418" s="311">
        <v>0</v>
      </c>
      <c r="L418" s="291">
        <f t="shared" si="53"/>
        <v>0</v>
      </c>
      <c r="M418" s="289">
        <f t="shared" si="51"/>
        <v>0</v>
      </c>
    </row>
    <row r="419" spans="1:13" x14ac:dyDescent="0.2">
      <c r="A419" s="150">
        <v>1920</v>
      </c>
      <c r="B419" s="276" t="s">
        <v>131</v>
      </c>
      <c r="C419" s="277">
        <v>5269355.482400002</v>
      </c>
      <c r="D419" s="278"/>
      <c r="E419" s="278">
        <v>2806270.75</v>
      </c>
      <c r="F419" s="279">
        <v>0</v>
      </c>
      <c r="G419" s="280">
        <f t="shared" si="50"/>
        <v>6672490.857400002</v>
      </c>
      <c r="H419" s="290">
        <v>2.8461713785711744</v>
      </c>
      <c r="I419" s="288">
        <f t="shared" si="52"/>
        <v>0.35134918702682505</v>
      </c>
      <c r="J419" s="283">
        <f t="shared" si="49"/>
        <v>2344374.2381914132</v>
      </c>
      <c r="K419" s="311">
        <v>2344374.2379999999</v>
      </c>
      <c r="L419" s="291">
        <f t="shared" si="53"/>
        <v>-1.9141333177685738E-4</v>
      </c>
      <c r="M419" s="289">
        <f t="shared" si="51"/>
        <v>-8.1647941985641875E-11</v>
      </c>
    </row>
    <row r="420" spans="1:13" x14ac:dyDescent="0.2">
      <c r="A420" s="150">
        <v>1920</v>
      </c>
      <c r="B420" s="276" t="s">
        <v>132</v>
      </c>
      <c r="C420" s="277">
        <v>0</v>
      </c>
      <c r="D420" s="278"/>
      <c r="E420" s="278">
        <v>0</v>
      </c>
      <c r="F420" s="279">
        <v>0</v>
      </c>
      <c r="G420" s="280">
        <f t="shared" si="50"/>
        <v>0</v>
      </c>
      <c r="H420" s="290"/>
      <c r="I420" s="288">
        <f t="shared" si="52"/>
        <v>0</v>
      </c>
      <c r="J420" s="283">
        <f t="shared" si="49"/>
        <v>0</v>
      </c>
      <c r="K420" s="311">
        <v>0</v>
      </c>
      <c r="L420" s="291">
        <f t="shared" si="53"/>
        <v>0</v>
      </c>
      <c r="M420" s="292">
        <f t="shared" si="51"/>
        <v>0</v>
      </c>
    </row>
    <row r="421" spans="1:13" x14ac:dyDescent="0.2">
      <c r="A421" s="150">
        <v>1920</v>
      </c>
      <c r="B421" s="276" t="s">
        <v>133</v>
      </c>
      <c r="C421" s="277">
        <v>0</v>
      </c>
      <c r="D421" s="278"/>
      <c r="E421" s="278">
        <v>0</v>
      </c>
      <c r="F421" s="279">
        <v>0</v>
      </c>
      <c r="G421" s="280">
        <f t="shared" si="50"/>
        <v>0</v>
      </c>
      <c r="H421" s="290"/>
      <c r="I421" s="288">
        <f t="shared" si="52"/>
        <v>0</v>
      </c>
      <c r="J421" s="283">
        <f t="shared" si="49"/>
        <v>0</v>
      </c>
      <c r="K421" s="311">
        <v>0</v>
      </c>
      <c r="L421" s="291">
        <f t="shared" si="53"/>
        <v>0</v>
      </c>
      <c r="M421" s="292">
        <f t="shared" si="51"/>
        <v>0</v>
      </c>
    </row>
    <row r="422" spans="1:13" x14ac:dyDescent="0.2">
      <c r="A422" s="150">
        <v>1930</v>
      </c>
      <c r="B422" s="276" t="s">
        <v>134</v>
      </c>
      <c r="C422" s="277">
        <v>9358886.7134666685</v>
      </c>
      <c r="D422" s="278"/>
      <c r="E422" s="278">
        <v>3967800</v>
      </c>
      <c r="F422" s="279">
        <v>0</v>
      </c>
      <c r="G422" s="280">
        <f t="shared" si="50"/>
        <v>11342786.713466669</v>
      </c>
      <c r="H422" s="290">
        <v>7.1342037260121458</v>
      </c>
      <c r="I422" s="288">
        <f t="shared" si="52"/>
        <v>0.14016981269456638</v>
      </c>
      <c r="J422" s="283">
        <f t="shared" si="49"/>
        <v>1589916.289061039</v>
      </c>
      <c r="K422" s="311">
        <v>1589694.3868333332</v>
      </c>
      <c r="L422" s="291">
        <f t="shared" si="53"/>
        <v>-221.90222770581022</v>
      </c>
      <c r="M422" s="289">
        <f t="shared" si="51"/>
        <v>-1.3958797964169631E-4</v>
      </c>
    </row>
    <row r="423" spans="1:13" x14ac:dyDescent="0.2">
      <c r="A423" s="150">
        <v>1935</v>
      </c>
      <c r="B423" s="276" t="s">
        <v>135</v>
      </c>
      <c r="C423" s="277">
        <v>0</v>
      </c>
      <c r="D423" s="278"/>
      <c r="E423" s="278">
        <v>0</v>
      </c>
      <c r="F423" s="279">
        <v>0</v>
      </c>
      <c r="G423" s="280">
        <f t="shared" si="50"/>
        <v>0</v>
      </c>
      <c r="H423" s="290">
        <v>0</v>
      </c>
      <c r="I423" s="288">
        <f t="shared" si="52"/>
        <v>0</v>
      </c>
      <c r="J423" s="283">
        <f t="shared" si="49"/>
        <v>0</v>
      </c>
      <c r="K423" s="311">
        <v>0</v>
      </c>
      <c r="L423" s="291">
        <f t="shared" si="53"/>
        <v>0</v>
      </c>
      <c r="M423" s="289">
        <f t="shared" si="51"/>
        <v>0</v>
      </c>
    </row>
    <row r="424" spans="1:13" x14ac:dyDescent="0.2">
      <c r="A424" s="150">
        <v>1940</v>
      </c>
      <c r="B424" s="276" t="s">
        <v>136</v>
      </c>
      <c r="C424" s="277">
        <v>1647995.0142685012</v>
      </c>
      <c r="D424" s="278"/>
      <c r="E424" s="278">
        <v>1125374.1599999999</v>
      </c>
      <c r="F424" s="279">
        <v>0</v>
      </c>
      <c r="G424" s="280">
        <f t="shared" si="50"/>
        <v>2210682.0942685013</v>
      </c>
      <c r="H424" s="290">
        <v>6.1691083014155375</v>
      </c>
      <c r="I424" s="288">
        <f t="shared" si="52"/>
        <v>0.16209798096275019</v>
      </c>
      <c r="J424" s="283">
        <f t="shared" si="49"/>
        <v>358347.10403142823</v>
      </c>
      <c r="K424" s="311">
        <v>355257.48772299994</v>
      </c>
      <c r="L424" s="291">
        <f t="shared" si="53"/>
        <v>-3089.6163084282889</v>
      </c>
      <c r="M424" s="292">
        <f t="shared" si="51"/>
        <v>-8.6968365627730637E-3</v>
      </c>
    </row>
    <row r="425" spans="1:13" x14ac:dyDescent="0.2">
      <c r="A425" s="150">
        <v>1945</v>
      </c>
      <c r="B425" s="276" t="s">
        <v>137</v>
      </c>
      <c r="C425" s="277">
        <v>13969.785646499979</v>
      </c>
      <c r="D425" s="278"/>
      <c r="E425" s="278">
        <v>0</v>
      </c>
      <c r="F425" s="279">
        <v>0</v>
      </c>
      <c r="G425" s="280">
        <f t="shared" si="50"/>
        <v>13969.785646499979</v>
      </c>
      <c r="H425" s="290">
        <v>5.3033970601994271</v>
      </c>
      <c r="I425" s="288">
        <f t="shared" si="52"/>
        <v>0.18855838788778082</v>
      </c>
      <c r="J425" s="283">
        <f t="shared" si="49"/>
        <v>2634.1202606418956</v>
      </c>
      <c r="K425" s="311">
        <v>2634.1202470000003</v>
      </c>
      <c r="L425" s="291">
        <f t="shared" si="53"/>
        <v>-1.364189529340365E-5</v>
      </c>
      <c r="M425" s="289">
        <f t="shared" si="51"/>
        <v>-5.1789189612510686E-9</v>
      </c>
    </row>
    <row r="426" spans="1:13" x14ac:dyDescent="0.2">
      <c r="A426" s="150">
        <v>1950</v>
      </c>
      <c r="B426" s="276" t="s">
        <v>138</v>
      </c>
      <c r="C426" s="277">
        <v>0</v>
      </c>
      <c r="D426" s="278"/>
      <c r="E426" s="278">
        <v>0</v>
      </c>
      <c r="F426" s="279">
        <v>0</v>
      </c>
      <c r="G426" s="280">
        <f t="shared" si="50"/>
        <v>0</v>
      </c>
      <c r="H426" s="290"/>
      <c r="I426" s="288">
        <f t="shared" si="52"/>
        <v>0</v>
      </c>
      <c r="J426" s="283">
        <f t="shared" si="49"/>
        <v>0</v>
      </c>
      <c r="K426" s="311">
        <v>0</v>
      </c>
      <c r="L426" s="291">
        <f t="shared" si="53"/>
        <v>0</v>
      </c>
      <c r="M426" s="292">
        <f t="shared" si="51"/>
        <v>0</v>
      </c>
    </row>
    <row r="427" spans="1:13" x14ac:dyDescent="0.2">
      <c r="A427" s="150">
        <v>1955</v>
      </c>
      <c r="B427" s="276" t="s">
        <v>139</v>
      </c>
      <c r="C427" s="277">
        <v>253989.47079999931</v>
      </c>
      <c r="D427" s="278"/>
      <c r="E427" s="278">
        <v>0</v>
      </c>
      <c r="F427" s="279">
        <v>0</v>
      </c>
      <c r="G427" s="280">
        <f t="shared" si="50"/>
        <v>253989.47079999931</v>
      </c>
      <c r="H427" s="290">
        <v>4.1820005606630097</v>
      </c>
      <c r="I427" s="288">
        <f t="shared" si="52"/>
        <v>0.23912000620140067</v>
      </c>
      <c r="J427" s="283">
        <f t="shared" si="49"/>
        <v>60733.963832786314</v>
      </c>
      <c r="K427" s="311">
        <v>60717.072499999995</v>
      </c>
      <c r="L427" s="291">
        <f t="shared" si="53"/>
        <v>-16.891332786319254</v>
      </c>
      <c r="M427" s="292">
        <f t="shared" si="51"/>
        <v>-2.7819741780731039E-4</v>
      </c>
    </row>
    <row r="428" spans="1:13" x14ac:dyDescent="0.2">
      <c r="A428" s="150">
        <v>1955</v>
      </c>
      <c r="B428" s="276" t="s">
        <v>140</v>
      </c>
      <c r="C428" s="277">
        <v>0</v>
      </c>
      <c r="D428" s="278"/>
      <c r="E428" s="278">
        <v>0</v>
      </c>
      <c r="F428" s="279">
        <v>0</v>
      </c>
      <c r="G428" s="280">
        <f t="shared" si="50"/>
        <v>0</v>
      </c>
      <c r="H428" s="290"/>
      <c r="I428" s="288">
        <f t="shared" si="52"/>
        <v>0</v>
      </c>
      <c r="J428" s="283">
        <f t="shared" si="49"/>
        <v>0</v>
      </c>
      <c r="K428" s="311">
        <v>0</v>
      </c>
      <c r="L428" s="291">
        <f t="shared" si="53"/>
        <v>0</v>
      </c>
      <c r="M428" s="289">
        <f t="shared" si="51"/>
        <v>0</v>
      </c>
    </row>
    <row r="429" spans="1:13" x14ac:dyDescent="0.2">
      <c r="A429" s="150">
        <v>1960</v>
      </c>
      <c r="B429" s="276" t="s">
        <v>141</v>
      </c>
      <c r="C429" s="277">
        <v>69850.205999999947</v>
      </c>
      <c r="D429" s="278"/>
      <c r="E429" s="278">
        <v>0</v>
      </c>
      <c r="F429" s="279">
        <v>0</v>
      </c>
      <c r="G429" s="280">
        <f t="shared" si="50"/>
        <v>69850.205999999947</v>
      </c>
      <c r="H429" s="290">
        <v>2.677377170056622</v>
      </c>
      <c r="I429" s="288">
        <f t="shared" si="52"/>
        <v>0.37349986067852059</v>
      </c>
      <c r="J429" s="283">
        <f t="shared" si="49"/>
        <v>26089.042209365944</v>
      </c>
      <c r="K429" s="311">
        <v>26087.5818</v>
      </c>
      <c r="L429" s="291">
        <f t="shared" si="53"/>
        <v>-1.460409365943633</v>
      </c>
      <c r="M429" s="292">
        <f t="shared" si="51"/>
        <v>-5.5981017218837546E-5</v>
      </c>
    </row>
    <row r="430" spans="1:13" x14ac:dyDescent="0.2">
      <c r="A430" s="150">
        <v>1970</v>
      </c>
      <c r="B430" s="293" t="s">
        <v>142</v>
      </c>
      <c r="C430" s="277">
        <v>0</v>
      </c>
      <c r="D430" s="278"/>
      <c r="E430" s="278">
        <v>0</v>
      </c>
      <c r="F430" s="279">
        <v>0</v>
      </c>
      <c r="G430" s="280">
        <f t="shared" si="50"/>
        <v>0</v>
      </c>
      <c r="H430" s="290"/>
      <c r="I430" s="288">
        <f t="shared" si="52"/>
        <v>0</v>
      </c>
      <c r="J430" s="283">
        <f t="shared" si="49"/>
        <v>0</v>
      </c>
      <c r="K430" s="311">
        <v>0</v>
      </c>
      <c r="L430" s="291">
        <f t="shared" si="53"/>
        <v>0</v>
      </c>
      <c r="M430" s="292">
        <f t="shared" si="51"/>
        <v>0</v>
      </c>
    </row>
    <row r="431" spans="1:13" x14ac:dyDescent="0.2">
      <c r="A431" s="150">
        <v>1975</v>
      </c>
      <c r="B431" s="276" t="s">
        <v>143</v>
      </c>
      <c r="C431" s="277">
        <v>0</v>
      </c>
      <c r="D431" s="278"/>
      <c r="E431" s="278">
        <v>0</v>
      </c>
      <c r="F431" s="279">
        <v>0</v>
      </c>
      <c r="G431" s="280">
        <f t="shared" si="50"/>
        <v>0</v>
      </c>
      <c r="H431" s="290"/>
      <c r="I431" s="288">
        <f t="shared" si="52"/>
        <v>0</v>
      </c>
      <c r="J431" s="283">
        <f t="shared" si="49"/>
        <v>0</v>
      </c>
      <c r="K431" s="311">
        <v>0</v>
      </c>
      <c r="L431" s="291">
        <f t="shared" si="53"/>
        <v>0</v>
      </c>
      <c r="M431" s="289">
        <f t="shared" si="51"/>
        <v>0</v>
      </c>
    </row>
    <row r="432" spans="1:13" x14ac:dyDescent="0.2">
      <c r="A432" s="150">
        <v>1980</v>
      </c>
      <c r="B432" s="276" t="s">
        <v>144</v>
      </c>
      <c r="C432" s="277">
        <v>4277449.9585421663</v>
      </c>
      <c r="D432" s="278"/>
      <c r="E432" s="278">
        <v>611603.35070864286</v>
      </c>
      <c r="F432" s="279">
        <v>4386.4319000000005</v>
      </c>
      <c r="G432" s="280">
        <f t="shared" si="50"/>
        <v>4578865.2019964876</v>
      </c>
      <c r="H432" s="290">
        <v>7.7040081254463226</v>
      </c>
      <c r="I432" s="288">
        <f t="shared" si="52"/>
        <v>0.12980256299276244</v>
      </c>
      <c r="J432" s="283">
        <f t="shared" si="49"/>
        <v>594348.43881751702</v>
      </c>
      <c r="K432" s="311">
        <v>594621.82027503557</v>
      </c>
      <c r="L432" s="291">
        <f t="shared" si="53"/>
        <v>273.38145751855336</v>
      </c>
      <c r="M432" s="289">
        <f t="shared" si="51"/>
        <v>4.5975685418356136E-4</v>
      </c>
    </row>
    <row r="433" spans="1:17" x14ac:dyDescent="0.2">
      <c r="A433" s="150">
        <v>1985</v>
      </c>
      <c r="B433" s="276" t="s">
        <v>145</v>
      </c>
      <c r="C433" s="277">
        <v>0</v>
      </c>
      <c r="D433" s="278"/>
      <c r="E433" s="278">
        <v>0</v>
      </c>
      <c r="F433" s="279">
        <v>0</v>
      </c>
      <c r="G433" s="280">
        <f t="shared" si="50"/>
        <v>0</v>
      </c>
      <c r="H433" s="290"/>
      <c r="I433" s="288">
        <f t="shared" si="52"/>
        <v>0</v>
      </c>
      <c r="J433" s="283">
        <f t="shared" si="49"/>
        <v>0</v>
      </c>
      <c r="K433" s="311">
        <v>0</v>
      </c>
      <c r="L433" s="291">
        <f t="shared" si="53"/>
        <v>0</v>
      </c>
      <c r="M433" s="292">
        <f t="shared" si="51"/>
        <v>0</v>
      </c>
    </row>
    <row r="434" spans="1:17" x14ac:dyDescent="0.2">
      <c r="A434" s="150">
        <v>1990</v>
      </c>
      <c r="B434" s="235" t="s">
        <v>146</v>
      </c>
      <c r="C434" s="277">
        <v>0</v>
      </c>
      <c r="D434" s="278"/>
      <c r="E434" s="278">
        <v>0</v>
      </c>
      <c r="F434" s="279">
        <v>0</v>
      </c>
      <c r="G434" s="280">
        <f t="shared" si="50"/>
        <v>0</v>
      </c>
      <c r="H434" s="290"/>
      <c r="I434" s="288">
        <f t="shared" si="52"/>
        <v>0</v>
      </c>
      <c r="J434" s="283">
        <f t="shared" si="49"/>
        <v>0</v>
      </c>
      <c r="K434" s="311">
        <v>0</v>
      </c>
      <c r="L434" s="291">
        <f t="shared" si="53"/>
        <v>0</v>
      </c>
      <c r="M434" s="289">
        <f t="shared" si="51"/>
        <v>0</v>
      </c>
    </row>
    <row r="435" spans="1:17" x14ac:dyDescent="0.2">
      <c r="A435" s="150">
        <v>1995</v>
      </c>
      <c r="B435" s="276" t="s">
        <v>147</v>
      </c>
      <c r="C435" s="277">
        <v>0</v>
      </c>
      <c r="D435" s="278"/>
      <c r="E435" s="278">
        <v>0</v>
      </c>
      <c r="F435" s="279">
        <v>0</v>
      </c>
      <c r="G435" s="280">
        <f t="shared" si="50"/>
        <v>0</v>
      </c>
      <c r="H435" s="290"/>
      <c r="I435" s="294">
        <f t="shared" si="52"/>
        <v>0</v>
      </c>
      <c r="J435" s="295">
        <f t="shared" si="49"/>
        <v>0</v>
      </c>
      <c r="K435" s="311">
        <v>0</v>
      </c>
      <c r="L435" s="291">
        <f t="shared" si="53"/>
        <v>0</v>
      </c>
      <c r="M435" s="289">
        <f t="shared" si="51"/>
        <v>0</v>
      </c>
    </row>
    <row r="436" spans="1:17" x14ac:dyDescent="0.2">
      <c r="A436" s="150">
        <v>2075</v>
      </c>
      <c r="B436" s="276" t="s">
        <v>148</v>
      </c>
      <c r="C436" s="277">
        <v>559408.0261999995</v>
      </c>
      <c r="D436" s="278"/>
      <c r="E436" s="278">
        <v>0</v>
      </c>
      <c r="F436" s="279">
        <v>0</v>
      </c>
      <c r="G436" s="280">
        <f t="shared" si="50"/>
        <v>559408.0261999995</v>
      </c>
      <c r="H436" s="290">
        <v>9.0027519728215744</v>
      </c>
      <c r="I436" s="294">
        <f t="shared" si="52"/>
        <v>0.1110771465235188</v>
      </c>
      <c r="J436" s="295">
        <f t="shared" si="49"/>
        <v>62137.447292649791</v>
      </c>
      <c r="K436" s="311">
        <v>52509.521900000007</v>
      </c>
      <c r="L436" s="291">
        <f t="shared" si="53"/>
        <v>-9627.925392649784</v>
      </c>
      <c r="M436" s="289">
        <f t="shared" si="51"/>
        <v>-0.18335579994396756</v>
      </c>
    </row>
    <row r="437" spans="1:17" x14ac:dyDescent="0.2">
      <c r="A437" s="150">
        <v>2440</v>
      </c>
      <c r="B437" s="151" t="s">
        <v>166</v>
      </c>
      <c r="C437" s="277">
        <v>-165027739.85764951</v>
      </c>
      <c r="D437" s="278"/>
      <c r="E437" s="278">
        <v>-50747030.50999999</v>
      </c>
      <c r="F437" s="279">
        <v>-85198.818478711211</v>
      </c>
      <c r="G437" s="280">
        <f t="shared" si="50"/>
        <v>-190316056.2941708</v>
      </c>
      <c r="H437" s="290">
        <v>33.266265791710424</v>
      </c>
      <c r="I437" s="294">
        <f t="shared" si="52"/>
        <v>3.0060482479797555E-2</v>
      </c>
      <c r="J437" s="295">
        <f t="shared" si="49"/>
        <v>-5720992.4758550869</v>
      </c>
      <c r="K437" s="311">
        <v>-5720492.8939085845</v>
      </c>
      <c r="L437" s="291">
        <f t="shared" si="53"/>
        <v>499.58194650243968</v>
      </c>
      <c r="M437" s="289">
        <f t="shared" si="51"/>
        <v>-8.7331975717409776E-5</v>
      </c>
    </row>
    <row r="438" spans="1:17" ht="13.5" thickBot="1" x14ac:dyDescent="0.25">
      <c r="A438" s="150">
        <v>2005</v>
      </c>
      <c r="B438" s="276" t="s">
        <v>329</v>
      </c>
      <c r="C438" s="277">
        <v>43343.640000000363</v>
      </c>
      <c r="D438" s="278"/>
      <c r="E438" s="278">
        <v>0</v>
      </c>
      <c r="F438" s="279">
        <v>0</v>
      </c>
      <c r="G438" s="280">
        <f t="shared" si="50"/>
        <v>43343.640000000363</v>
      </c>
      <c r="H438" s="297">
        <v>1.0000000585524089</v>
      </c>
      <c r="I438" s="298">
        <f t="shared" si="52"/>
        <v>0.99999994144759452</v>
      </c>
      <c r="J438" s="299">
        <f t="shared" si="49"/>
        <v>43343.637462125982</v>
      </c>
      <c r="K438" s="312">
        <v>43343.64</v>
      </c>
      <c r="L438" s="300">
        <f t="shared" si="53"/>
        <v>2.5378740174346603E-3</v>
      </c>
      <c r="M438" s="301">
        <f t="shared" si="51"/>
        <v>5.8552397016832468E-8</v>
      </c>
    </row>
    <row r="439" spans="1:17" ht="13.5" thickBot="1" x14ac:dyDescent="0.25">
      <c r="A439" s="309"/>
      <c r="B439" s="310" t="s">
        <v>43</v>
      </c>
      <c r="C439" s="304">
        <f>SUM(C394:C438)</f>
        <v>563995674.32729518</v>
      </c>
      <c r="D439" s="304">
        <f>SUM(D394:D438)</f>
        <v>0</v>
      </c>
      <c r="E439" s="304">
        <f>SUM(E394:E438)</f>
        <v>66301651.658888951</v>
      </c>
      <c r="F439" s="304">
        <f>SUM(F394:F438)</f>
        <v>2761896.1678524264</v>
      </c>
      <c r="G439" s="304">
        <f>SUM(G396:G438)</f>
        <v>570232450.0907191</v>
      </c>
      <c r="H439" s="304"/>
      <c r="I439" s="305"/>
      <c r="J439" s="304">
        <f>SUM(J394:J438)</f>
        <v>27375530.041513178</v>
      </c>
      <c r="K439" s="304">
        <f t="shared" ref="K439:L439" si="54">SUM(K394:K438)</f>
        <v>27497514.537068672</v>
      </c>
      <c r="L439" s="306">
        <f t="shared" si="54"/>
        <v>121984.49555549503</v>
      </c>
      <c r="M439" s="307">
        <f t="shared" si="51"/>
        <v>4.4362007842945568E-3</v>
      </c>
    </row>
    <row r="440" spans="1:17" x14ac:dyDescent="0.2">
      <c r="C440" s="172"/>
      <c r="E440" s="172"/>
      <c r="F440" s="172"/>
      <c r="K440" s="172"/>
    </row>
    <row r="441" spans="1:17" ht="13.5" thickBot="1" x14ac:dyDescent="0.25"/>
    <row r="442" spans="1:17" ht="18" customHeight="1" thickBot="1" x14ac:dyDescent="0.3">
      <c r="A442" s="253"/>
      <c r="B442" s="253"/>
      <c r="C442" s="253"/>
      <c r="D442" s="253"/>
      <c r="E442" s="254" t="s">
        <v>300</v>
      </c>
      <c r="F442" s="259">
        <v>2028</v>
      </c>
      <c r="G442" s="253"/>
      <c r="H442" s="253"/>
      <c r="I442" s="253"/>
      <c r="J442" s="253"/>
      <c r="K442" s="253"/>
    </row>
    <row r="443" spans="1:17" ht="13.5" thickBot="1" x14ac:dyDescent="0.25">
      <c r="A443" s="260"/>
      <c r="B443" s="260"/>
      <c r="C443" s="260"/>
      <c r="D443" s="260"/>
      <c r="E443" s="260"/>
      <c r="F443" s="260"/>
      <c r="G443" s="260"/>
      <c r="H443" s="260"/>
      <c r="I443" s="260"/>
      <c r="J443" s="260"/>
      <c r="K443" s="260"/>
      <c r="Q443" s="123">
        <v>2017</v>
      </c>
    </row>
    <row r="444" spans="1:17" ht="19.149999999999999" customHeight="1" thickBot="1" x14ac:dyDescent="0.3">
      <c r="A444" s="253"/>
      <c r="B444" s="253"/>
      <c r="C444" s="457" t="s">
        <v>301</v>
      </c>
      <c r="D444" s="458"/>
      <c r="E444" s="458"/>
      <c r="F444" s="458"/>
      <c r="G444" s="459" t="s">
        <v>302</v>
      </c>
      <c r="H444" s="460"/>
      <c r="I444" s="261" t="s">
        <v>303</v>
      </c>
      <c r="J444" s="253"/>
      <c r="K444" s="253"/>
      <c r="Q444" s="123">
        <v>2018</v>
      </c>
    </row>
    <row r="445" spans="1:17" ht="64.150000000000006" customHeight="1" thickBot="1" x14ac:dyDescent="0.25">
      <c r="A445" s="453" t="s">
        <v>304</v>
      </c>
      <c r="B445" s="455" t="s">
        <v>305</v>
      </c>
      <c r="C445" s="262" t="s">
        <v>306</v>
      </c>
      <c r="D445" s="263" t="s">
        <v>307</v>
      </c>
      <c r="E445" s="264" t="s">
        <v>308</v>
      </c>
      <c r="F445" s="265" t="s">
        <v>309</v>
      </c>
      <c r="G445" s="265" t="s">
        <v>310</v>
      </c>
      <c r="H445" s="262" t="s">
        <v>311</v>
      </c>
      <c r="I445" s="266" t="s">
        <v>312</v>
      </c>
      <c r="J445" s="267" t="s">
        <v>313</v>
      </c>
      <c r="K445" s="264" t="s">
        <v>331</v>
      </c>
      <c r="L445" s="266" t="s">
        <v>315</v>
      </c>
      <c r="M445" s="266" t="s">
        <v>316</v>
      </c>
    </row>
    <row r="446" spans="1:17" ht="13.5" thickBot="1" x14ac:dyDescent="0.25">
      <c r="A446" s="454"/>
      <c r="B446" s="456"/>
      <c r="C446" s="268" t="s">
        <v>317</v>
      </c>
      <c r="D446" s="269" t="s">
        <v>318</v>
      </c>
      <c r="E446" s="270" t="s">
        <v>319</v>
      </c>
      <c r="F446" s="270" t="s">
        <v>320</v>
      </c>
      <c r="G446" s="271" t="s">
        <v>321</v>
      </c>
      <c r="H446" s="272" t="s">
        <v>322</v>
      </c>
      <c r="I446" s="270" t="s">
        <v>323</v>
      </c>
      <c r="J446" s="268" t="s">
        <v>324</v>
      </c>
      <c r="K446" s="273" t="s">
        <v>325</v>
      </c>
      <c r="L446" s="271" t="s">
        <v>326</v>
      </c>
      <c r="M446" s="274" t="s">
        <v>327</v>
      </c>
    </row>
    <row r="447" spans="1:17" ht="13.5" thickBot="1" x14ac:dyDescent="0.25">
      <c r="A447" s="275">
        <v>1609</v>
      </c>
      <c r="B447" s="276" t="s">
        <v>108</v>
      </c>
      <c r="C447" s="277">
        <v>22472610.624624595</v>
      </c>
      <c r="D447" s="278"/>
      <c r="E447" s="278">
        <v>0</v>
      </c>
      <c r="F447" s="279">
        <v>0</v>
      </c>
      <c r="G447" s="280">
        <f>C447-D447+(E447*0.5)-F447</f>
        <v>22472610.624624595</v>
      </c>
      <c r="H447" s="281">
        <v>16.327295332629955</v>
      </c>
      <c r="I447" s="282">
        <f>IF(H447=0,0,1/H447)</f>
        <v>6.1247131238050728E-2</v>
      </c>
      <c r="J447" s="283">
        <f t="shared" ref="J447:J491" si="55">IF(H447=0,0,+G447/H447)</f>
        <v>1376382.9321879959</v>
      </c>
      <c r="K447" s="284">
        <v>1377921.3381981205</v>
      </c>
      <c r="L447" s="285">
        <f>IF(ISERROR(+K447-J447), 0, +K447-J447)</f>
        <v>1538.4060101245996</v>
      </c>
      <c r="M447" s="286">
        <f>IFERROR(L447/K447,0)</f>
        <v>1.1164686745735004E-3</v>
      </c>
    </row>
    <row r="448" spans="1:17" x14ac:dyDescent="0.2">
      <c r="A448" s="275">
        <v>1610</v>
      </c>
      <c r="B448" s="287" t="s">
        <v>328</v>
      </c>
      <c r="C448" s="277">
        <v>256829.31519999914</v>
      </c>
      <c r="D448" s="278"/>
      <c r="E448" s="278">
        <v>0</v>
      </c>
      <c r="F448" s="279">
        <v>0</v>
      </c>
      <c r="G448" s="280">
        <f>C448-D448+(E448*0.5)-F448</f>
        <v>256829.31519999914</v>
      </c>
      <c r="H448" s="281">
        <v>5.4986301369863018</v>
      </c>
      <c r="I448" s="282">
        <f>IF(H448=0,0,1/H448)</f>
        <v>0.18186347782760337</v>
      </c>
      <c r="J448" s="283">
        <f t="shared" si="55"/>
        <v>46707.872470353599</v>
      </c>
      <c r="K448" s="284">
        <v>46812.514645479452</v>
      </c>
      <c r="L448" s="285">
        <f>IF(ISERROR(+K448-J448), 0, +K448-J448)</f>
        <v>104.6421751258531</v>
      </c>
      <c r="M448" s="286">
        <f>IFERROR(L448/K448,0)</f>
        <v>2.2353461658346971E-3</v>
      </c>
    </row>
    <row r="449" spans="1:13" x14ac:dyDescent="0.2">
      <c r="A449" s="234">
        <v>1611</v>
      </c>
      <c r="B449" s="287" t="s">
        <v>111</v>
      </c>
      <c r="C449" s="277">
        <v>3620940.6299666688</v>
      </c>
      <c r="D449" s="278"/>
      <c r="E449" s="278">
        <v>1085344.3700000001</v>
      </c>
      <c r="F449" s="279">
        <v>0</v>
      </c>
      <c r="G449" s="280">
        <f t="shared" ref="G449:G491" si="56">C449-D449+(E449*0.5)-F449</f>
        <v>4163612.8149666688</v>
      </c>
      <c r="H449" s="281">
        <v>2.2000187052403946</v>
      </c>
      <c r="I449" s="288">
        <f>IF(H449=0,0,1/H449)</f>
        <v>0.45454158985922383</v>
      </c>
      <c r="J449" s="283">
        <f t="shared" si="55"/>
        <v>1892535.1884731879</v>
      </c>
      <c r="K449" s="311">
        <v>1892798.1565522375</v>
      </c>
      <c r="L449" s="285">
        <f>IF(ISERROR(+K449-J449), 0, +K449-J449)</f>
        <v>262.96807904960588</v>
      </c>
      <c r="M449" s="289">
        <f t="shared" ref="M449:M492" si="57">IFERROR(L449/K449,0)</f>
        <v>1.3893086177165688E-4</v>
      </c>
    </row>
    <row r="450" spans="1:13" x14ac:dyDescent="0.2">
      <c r="A450" s="150">
        <v>1612</v>
      </c>
      <c r="B450" s="276" t="s">
        <v>112</v>
      </c>
      <c r="C450" s="277">
        <v>295638.43240000028</v>
      </c>
      <c r="D450" s="278"/>
      <c r="E450" s="278">
        <v>0</v>
      </c>
      <c r="F450" s="279">
        <v>0</v>
      </c>
      <c r="G450" s="280">
        <f t="shared" si="56"/>
        <v>295638.43240000028</v>
      </c>
      <c r="H450" s="290">
        <v>24.016538655568773</v>
      </c>
      <c r="I450" s="288">
        <f t="shared" ref="I450:I491" si="58">IF(H450=0,0,1/H450)</f>
        <v>4.1637973495740513E-2</v>
      </c>
      <c r="J450" s="283">
        <f t="shared" si="55"/>
        <v>12309.785212593484</v>
      </c>
      <c r="K450" s="311">
        <v>12335.452622465755</v>
      </c>
      <c r="L450" s="291">
        <f t="shared" ref="L450:L491" si="59">IF(ISERROR(+K450-J450), 0, +K450-J450)</f>
        <v>25.667409872270582</v>
      </c>
      <c r="M450" s="289">
        <f t="shared" si="57"/>
        <v>2.0807837910644805E-3</v>
      </c>
    </row>
    <row r="451" spans="1:13" x14ac:dyDescent="0.2">
      <c r="A451" s="150">
        <v>1612</v>
      </c>
      <c r="B451" s="276" t="s">
        <v>330</v>
      </c>
      <c r="C451" s="277">
        <v>3841402</v>
      </c>
      <c r="D451" s="278"/>
      <c r="E451" s="278"/>
      <c r="F451" s="279">
        <v>0</v>
      </c>
      <c r="G451" s="280">
        <f t="shared" si="56"/>
        <v>3841402</v>
      </c>
      <c r="H451" s="290"/>
      <c r="I451" s="288">
        <f t="shared" si="58"/>
        <v>0</v>
      </c>
      <c r="J451" s="283">
        <f t="shared" si="55"/>
        <v>0</v>
      </c>
      <c r="K451" s="284"/>
      <c r="L451" s="291">
        <f t="shared" si="59"/>
        <v>0</v>
      </c>
      <c r="M451" s="289">
        <f t="shared" si="57"/>
        <v>0</v>
      </c>
    </row>
    <row r="452" spans="1:13" x14ac:dyDescent="0.2">
      <c r="A452" s="150">
        <v>1805</v>
      </c>
      <c r="B452" s="276" t="s">
        <v>113</v>
      </c>
      <c r="C452" s="277">
        <v>1190619.8899999999</v>
      </c>
      <c r="D452" s="278"/>
      <c r="E452" s="278">
        <v>3000000</v>
      </c>
      <c r="F452" s="279">
        <v>0</v>
      </c>
      <c r="G452" s="280">
        <f t="shared" si="56"/>
        <v>2690619.8899999997</v>
      </c>
      <c r="H452" s="290"/>
      <c r="I452" s="288">
        <f t="shared" si="58"/>
        <v>0</v>
      </c>
      <c r="J452" s="283">
        <f t="shared" si="55"/>
        <v>0</v>
      </c>
      <c r="K452" s="311">
        <v>0</v>
      </c>
      <c r="L452" s="291">
        <f t="shared" si="59"/>
        <v>0</v>
      </c>
      <c r="M452" s="289">
        <f t="shared" si="57"/>
        <v>0</v>
      </c>
    </row>
    <row r="453" spans="1:13" x14ac:dyDescent="0.2">
      <c r="A453" s="150">
        <v>1808</v>
      </c>
      <c r="B453" s="276" t="s">
        <v>114</v>
      </c>
      <c r="C453" s="277">
        <v>159258.74699999974</v>
      </c>
      <c r="D453" s="278"/>
      <c r="E453" s="278">
        <v>0</v>
      </c>
      <c r="F453" s="279">
        <v>0</v>
      </c>
      <c r="G453" s="280">
        <f t="shared" si="56"/>
        <v>159258.74699999974</v>
      </c>
      <c r="H453" s="290">
        <v>16.626249774221407</v>
      </c>
      <c r="I453" s="288">
        <f t="shared" si="58"/>
        <v>6.0145854511970312E-2</v>
      </c>
      <c r="J453" s="283">
        <f t="shared" si="55"/>
        <v>9578.7534268206728</v>
      </c>
      <c r="K453" s="311">
        <v>9600.0406191780821</v>
      </c>
      <c r="L453" s="291">
        <f t="shared" si="59"/>
        <v>21.287192357409367</v>
      </c>
      <c r="M453" s="289">
        <f t="shared" si="57"/>
        <v>2.2174064883521182E-3</v>
      </c>
    </row>
    <row r="454" spans="1:13" x14ac:dyDescent="0.2">
      <c r="A454" s="150">
        <v>1810</v>
      </c>
      <c r="B454" s="276" t="s">
        <v>115</v>
      </c>
      <c r="C454" s="277">
        <v>0</v>
      </c>
      <c r="D454" s="278"/>
      <c r="E454" s="278">
        <v>0</v>
      </c>
      <c r="F454" s="279">
        <v>0</v>
      </c>
      <c r="G454" s="280">
        <f t="shared" si="56"/>
        <v>0</v>
      </c>
      <c r="H454" s="290"/>
      <c r="I454" s="288">
        <f t="shared" si="58"/>
        <v>0</v>
      </c>
      <c r="J454" s="283">
        <f t="shared" si="55"/>
        <v>0</v>
      </c>
      <c r="K454" s="311">
        <v>0</v>
      </c>
      <c r="L454" s="291">
        <f t="shared" si="59"/>
        <v>0</v>
      </c>
      <c r="M454" s="289">
        <f t="shared" si="57"/>
        <v>0</v>
      </c>
    </row>
    <row r="455" spans="1:13" x14ac:dyDescent="0.2">
      <c r="A455" s="150">
        <v>1815</v>
      </c>
      <c r="B455" s="276" t="s">
        <v>116</v>
      </c>
      <c r="C455" s="277">
        <v>30902598.962899998</v>
      </c>
      <c r="D455" s="278"/>
      <c r="E455" s="278">
        <v>0</v>
      </c>
      <c r="F455" s="279">
        <v>0</v>
      </c>
      <c r="G455" s="280">
        <f t="shared" si="56"/>
        <v>30902598.962899998</v>
      </c>
      <c r="H455" s="290">
        <v>41.626524733616364</v>
      </c>
      <c r="I455" s="288">
        <f t="shared" si="58"/>
        <v>2.4023144050563251E-2</v>
      </c>
      <c r="J455" s="283">
        <f t="shared" si="55"/>
        <v>742377.58642253315</v>
      </c>
      <c r="K455" s="311">
        <v>743943.8491676714</v>
      </c>
      <c r="L455" s="291">
        <f t="shared" si="59"/>
        <v>1566.2627451382577</v>
      </c>
      <c r="M455" s="289">
        <f t="shared" si="57"/>
        <v>2.1053507558273401E-3</v>
      </c>
    </row>
    <row r="456" spans="1:13" x14ac:dyDescent="0.2">
      <c r="A456" s="150">
        <v>1820</v>
      </c>
      <c r="B456" s="276" t="s">
        <v>117</v>
      </c>
      <c r="C456" s="277">
        <v>80131626.824308306</v>
      </c>
      <c r="D456" s="278"/>
      <c r="E456" s="278">
        <v>44490107.047588885</v>
      </c>
      <c r="F456" s="279">
        <v>783508.84892821929</v>
      </c>
      <c r="G456" s="280">
        <f t="shared" si="56"/>
        <v>101593171.49917454</v>
      </c>
      <c r="H456" s="290">
        <v>30.636986750070015</v>
      </c>
      <c r="I456" s="288">
        <f t="shared" si="58"/>
        <v>3.2640285683373044E-2</v>
      </c>
      <c r="J456" s="283">
        <f t="shared" si="55"/>
        <v>3316030.1412129691</v>
      </c>
      <c r="K456" s="311">
        <v>3353877.6214906066</v>
      </c>
      <c r="L456" s="291">
        <f t="shared" si="59"/>
        <v>37847.480277637485</v>
      </c>
      <c r="M456" s="289">
        <f t="shared" si="57"/>
        <v>1.1284693286100418E-2</v>
      </c>
    </row>
    <row r="457" spans="1:13" x14ac:dyDescent="0.2">
      <c r="A457" s="150">
        <v>1825</v>
      </c>
      <c r="B457" s="276" t="s">
        <v>118</v>
      </c>
      <c r="C457" s="277">
        <v>0</v>
      </c>
      <c r="D457" s="278"/>
      <c r="E457" s="278">
        <v>0</v>
      </c>
      <c r="F457" s="279">
        <v>0</v>
      </c>
      <c r="G457" s="280">
        <f t="shared" si="56"/>
        <v>0</v>
      </c>
      <c r="H457" s="290"/>
      <c r="I457" s="288">
        <f t="shared" si="58"/>
        <v>0</v>
      </c>
      <c r="J457" s="283">
        <f t="shared" si="55"/>
        <v>0</v>
      </c>
      <c r="K457" s="311">
        <v>0</v>
      </c>
      <c r="L457" s="291">
        <f t="shared" si="59"/>
        <v>0</v>
      </c>
      <c r="M457" s="289">
        <f t="shared" si="57"/>
        <v>0</v>
      </c>
    </row>
    <row r="458" spans="1:13" x14ac:dyDescent="0.2">
      <c r="A458" s="150">
        <v>1830</v>
      </c>
      <c r="B458" s="276" t="s">
        <v>119</v>
      </c>
      <c r="C458" s="277">
        <v>173687948.8945325</v>
      </c>
      <c r="D458" s="278"/>
      <c r="E458" s="278">
        <v>37767905.407699995</v>
      </c>
      <c r="F458" s="279">
        <v>227776.39135724469</v>
      </c>
      <c r="G458" s="280">
        <f t="shared" si="56"/>
        <v>192344125.20702526</v>
      </c>
      <c r="H458" s="290">
        <v>32.783037564370481</v>
      </c>
      <c r="I458" s="288">
        <f t="shared" si="58"/>
        <v>3.0503579725840533E-2</v>
      </c>
      <c r="J458" s="283">
        <f t="shared" si="55"/>
        <v>5867184.3580495482</v>
      </c>
      <c r="K458" s="311">
        <v>5880672.4052545689</v>
      </c>
      <c r="L458" s="291">
        <f t="shared" si="59"/>
        <v>13488.047205020674</v>
      </c>
      <c r="M458" s="292">
        <f t="shared" si="57"/>
        <v>2.2936232926303924E-3</v>
      </c>
    </row>
    <row r="459" spans="1:13" x14ac:dyDescent="0.2">
      <c r="A459" s="150">
        <v>1835</v>
      </c>
      <c r="B459" s="276" t="s">
        <v>120</v>
      </c>
      <c r="C459" s="277">
        <v>116855989.33370478</v>
      </c>
      <c r="D459" s="278"/>
      <c r="E459" s="278">
        <v>31464123.653299998</v>
      </c>
      <c r="F459" s="279">
        <v>116721.63309996499</v>
      </c>
      <c r="G459" s="280">
        <f t="shared" si="56"/>
        <v>132471329.52725482</v>
      </c>
      <c r="H459" s="290">
        <v>39.321223380835399</v>
      </c>
      <c r="I459" s="288">
        <f t="shared" si="58"/>
        <v>2.5431558685617743E-2</v>
      </c>
      <c r="J459" s="283">
        <f t="shared" si="55"/>
        <v>3368952.3910341877</v>
      </c>
      <c r="K459" s="311">
        <v>3399189.3010143368</v>
      </c>
      <c r="L459" s="291">
        <f t="shared" si="59"/>
        <v>30236.909980149008</v>
      </c>
      <c r="M459" s="289">
        <f t="shared" si="57"/>
        <v>8.8953298279463716E-3</v>
      </c>
    </row>
    <row r="460" spans="1:13" x14ac:dyDescent="0.2">
      <c r="A460" s="150">
        <v>1840</v>
      </c>
      <c r="B460" s="276" t="s">
        <v>121</v>
      </c>
      <c r="C460" s="277">
        <v>79569667.369166046</v>
      </c>
      <c r="D460" s="278"/>
      <c r="E460" s="278">
        <v>9031824.0436999984</v>
      </c>
      <c r="F460" s="279">
        <v>0</v>
      </c>
      <c r="G460" s="280">
        <f t="shared" si="56"/>
        <v>84085579.391016051</v>
      </c>
      <c r="H460" s="290">
        <v>49.68447572041665</v>
      </c>
      <c r="I460" s="288">
        <f t="shared" si="58"/>
        <v>2.0127011214270976E-2</v>
      </c>
      <c r="J460" s="283">
        <f t="shared" si="55"/>
        <v>1692391.3993614526</v>
      </c>
      <c r="K460" s="311">
        <v>1694900.4584844634</v>
      </c>
      <c r="L460" s="291">
        <f t="shared" si="59"/>
        <v>2509.0591230108403</v>
      </c>
      <c r="M460" s="292">
        <f t="shared" si="57"/>
        <v>1.480357805351222E-3</v>
      </c>
    </row>
    <row r="461" spans="1:13" x14ac:dyDescent="0.2">
      <c r="A461" s="150">
        <v>1845</v>
      </c>
      <c r="B461" s="276" t="s">
        <v>122</v>
      </c>
      <c r="C461" s="277">
        <v>118467679.08434714</v>
      </c>
      <c r="D461" s="278"/>
      <c r="E461" s="278">
        <v>21450352.1697</v>
      </c>
      <c r="F461" s="279">
        <v>70918.80855648889</v>
      </c>
      <c r="G461" s="280">
        <f t="shared" si="56"/>
        <v>129121936.36064066</v>
      </c>
      <c r="H461" s="290">
        <v>29.147680163131792</v>
      </c>
      <c r="I461" s="288">
        <f t="shared" si="58"/>
        <v>3.4308047652618211E-2</v>
      </c>
      <c r="J461" s="283">
        <f t="shared" si="55"/>
        <v>4429921.5456591956</v>
      </c>
      <c r="K461" s="311">
        <v>4438489.730399128</v>
      </c>
      <c r="L461" s="291">
        <f t="shared" si="59"/>
        <v>8568.1847399324179</v>
      </c>
      <c r="M461" s="289">
        <f t="shared" si="57"/>
        <v>1.9304279744637215E-3</v>
      </c>
    </row>
    <row r="462" spans="1:13" x14ac:dyDescent="0.2">
      <c r="A462" s="150">
        <v>1850</v>
      </c>
      <c r="B462" s="276" t="s">
        <v>123</v>
      </c>
      <c r="C462" s="277">
        <v>66360758.865894958</v>
      </c>
      <c r="D462" s="278"/>
      <c r="E462" s="278">
        <v>5560822.3485999992</v>
      </c>
      <c r="F462" s="279">
        <v>302578.06232221914</v>
      </c>
      <c r="G462" s="280">
        <f t="shared" si="56"/>
        <v>68838591.977872744</v>
      </c>
      <c r="H462" s="290">
        <v>20.426088827059623</v>
      </c>
      <c r="I462" s="288">
        <f t="shared" si="58"/>
        <v>4.8956998496708877E-2</v>
      </c>
      <c r="J462" s="283">
        <f t="shared" si="55"/>
        <v>3370130.8439762718</v>
      </c>
      <c r="K462" s="311">
        <v>3389908.7971074739</v>
      </c>
      <c r="L462" s="291">
        <f t="shared" si="59"/>
        <v>19777.953131202143</v>
      </c>
      <c r="M462" s="289">
        <f t="shared" si="57"/>
        <v>5.8343614282715169E-3</v>
      </c>
    </row>
    <row r="463" spans="1:13" x14ac:dyDescent="0.2">
      <c r="A463" s="150">
        <v>1855</v>
      </c>
      <c r="B463" s="276" t="s">
        <v>124</v>
      </c>
      <c r="C463" s="277">
        <v>54094628.052652784</v>
      </c>
      <c r="D463" s="278"/>
      <c r="E463" s="278">
        <v>5878501.2970000003</v>
      </c>
      <c r="F463" s="279">
        <v>0</v>
      </c>
      <c r="G463" s="280">
        <f t="shared" si="56"/>
        <v>57033878.701152787</v>
      </c>
      <c r="H463" s="290">
        <v>32.121693661252046</v>
      </c>
      <c r="I463" s="288">
        <f t="shared" si="58"/>
        <v>3.1131608767139392E-2</v>
      </c>
      <c r="J463" s="283">
        <f t="shared" si="55"/>
        <v>1775556.3981967727</v>
      </c>
      <c r="K463" s="311">
        <v>1778545.253786</v>
      </c>
      <c r="L463" s="291">
        <f t="shared" si="59"/>
        <v>2988.8555892272852</v>
      </c>
      <c r="M463" s="289">
        <f t="shared" si="57"/>
        <v>1.6805057857622067E-3</v>
      </c>
    </row>
    <row r="464" spans="1:13" x14ac:dyDescent="0.2">
      <c r="A464" s="150">
        <v>1860</v>
      </c>
      <c r="B464" s="276" t="s">
        <v>125</v>
      </c>
      <c r="C464" s="277">
        <v>2229153.8947881814</v>
      </c>
      <c r="D464" s="278"/>
      <c r="E464" s="278">
        <v>168186.1643</v>
      </c>
      <c r="F464" s="279">
        <v>2337.1759295695447</v>
      </c>
      <c r="G464" s="280">
        <f t="shared" si="56"/>
        <v>2310909.8010086119</v>
      </c>
      <c r="H464" s="290">
        <v>15.070142050464202</v>
      </c>
      <c r="I464" s="288">
        <f t="shared" si="58"/>
        <v>6.6356375185540953E-2</v>
      </c>
      <c r="J464" s="283">
        <f t="shared" si="55"/>
        <v>153343.59777567122</v>
      </c>
      <c r="K464" s="311">
        <v>152986.25197970856</v>
      </c>
      <c r="L464" s="291">
        <f t="shared" si="59"/>
        <v>-357.34579596266849</v>
      </c>
      <c r="M464" s="289">
        <f t="shared" si="57"/>
        <v>-2.3358033244063351E-3</v>
      </c>
    </row>
    <row r="465" spans="1:13" x14ac:dyDescent="0.2">
      <c r="A465" s="150">
        <v>1860</v>
      </c>
      <c r="B465" s="276" t="s">
        <v>126</v>
      </c>
      <c r="C465" s="277">
        <v>9405808.9753851183</v>
      </c>
      <c r="D465" s="278"/>
      <c r="E465" s="278">
        <v>2066287.1613999999</v>
      </c>
      <c r="F465" s="279">
        <v>4206.5250130408094</v>
      </c>
      <c r="G465" s="280">
        <f t="shared" si="56"/>
        <v>10434746.031072078</v>
      </c>
      <c r="H465" s="290">
        <v>9.1551545688041056</v>
      </c>
      <c r="I465" s="288">
        <f t="shared" si="58"/>
        <v>0.10922808484386139</v>
      </c>
      <c r="J465" s="283">
        <f t="shared" si="55"/>
        <v>1139767.3248060867</v>
      </c>
      <c r="K465" s="311">
        <v>1146358.1607035147</v>
      </c>
      <c r="L465" s="291">
        <f t="shared" si="59"/>
        <v>6590.8358974279836</v>
      </c>
      <c r="M465" s="289">
        <f t="shared" si="57"/>
        <v>5.7493688476760339E-3</v>
      </c>
    </row>
    <row r="466" spans="1:13" x14ac:dyDescent="0.2">
      <c r="A466" s="150">
        <v>1865</v>
      </c>
      <c r="B466" s="276" t="s">
        <v>127</v>
      </c>
      <c r="C466" s="277">
        <v>0</v>
      </c>
      <c r="D466" s="278"/>
      <c r="E466" s="278">
        <v>0</v>
      </c>
      <c r="F466" s="279">
        <v>0</v>
      </c>
      <c r="G466" s="280">
        <f t="shared" si="56"/>
        <v>0</v>
      </c>
      <c r="H466" s="290"/>
      <c r="I466" s="288">
        <f t="shared" si="58"/>
        <v>0</v>
      </c>
      <c r="J466" s="283">
        <f t="shared" si="55"/>
        <v>0</v>
      </c>
      <c r="K466" s="311">
        <v>0</v>
      </c>
      <c r="L466" s="291">
        <f t="shared" si="59"/>
        <v>0</v>
      </c>
      <c r="M466" s="289">
        <f t="shared" si="57"/>
        <v>0</v>
      </c>
    </row>
    <row r="467" spans="1:13" x14ac:dyDescent="0.2">
      <c r="A467" s="150">
        <v>1905</v>
      </c>
      <c r="B467" s="276" t="s">
        <v>113</v>
      </c>
      <c r="C467" s="277">
        <v>1195031.2999999998</v>
      </c>
      <c r="D467" s="278"/>
      <c r="E467" s="278">
        <v>0</v>
      </c>
      <c r="F467" s="279">
        <v>0</v>
      </c>
      <c r="G467" s="280">
        <f t="shared" si="56"/>
        <v>1195031.2999999998</v>
      </c>
      <c r="H467" s="290"/>
      <c r="I467" s="288">
        <f t="shared" si="58"/>
        <v>0</v>
      </c>
      <c r="J467" s="283">
        <f t="shared" si="55"/>
        <v>0</v>
      </c>
      <c r="K467" s="311">
        <v>0</v>
      </c>
      <c r="L467" s="291">
        <f t="shared" si="59"/>
        <v>0</v>
      </c>
      <c r="M467" s="289">
        <f t="shared" si="57"/>
        <v>0</v>
      </c>
    </row>
    <row r="468" spans="1:13" x14ac:dyDescent="0.2">
      <c r="A468" s="150">
        <v>1908</v>
      </c>
      <c r="B468" s="276" t="s">
        <v>128</v>
      </c>
      <c r="C468" s="277">
        <v>16343798.121499997</v>
      </c>
      <c r="D468" s="278"/>
      <c r="E468" s="278">
        <v>1976083.2</v>
      </c>
      <c r="F468" s="279">
        <v>0</v>
      </c>
      <c r="G468" s="280">
        <f t="shared" si="56"/>
        <v>17331839.721499998</v>
      </c>
      <c r="H468" s="290">
        <v>15.549685879760196</v>
      </c>
      <c r="I468" s="288">
        <f t="shared" si="58"/>
        <v>6.4309980775986056E-2</v>
      </c>
      <c r="J468" s="283">
        <f t="shared" si="55"/>
        <v>1114610.2793021365</v>
      </c>
      <c r="K468" s="311">
        <v>1143063.9641694978</v>
      </c>
      <c r="L468" s="291">
        <f t="shared" si="59"/>
        <v>28453.684867361328</v>
      </c>
      <c r="M468" s="289">
        <f t="shared" si="57"/>
        <v>2.4892469502382202E-2</v>
      </c>
    </row>
    <row r="469" spans="1:13" x14ac:dyDescent="0.2">
      <c r="A469" s="150">
        <v>1910</v>
      </c>
      <c r="B469" s="276" t="s">
        <v>115</v>
      </c>
      <c r="C469" s="277">
        <v>0</v>
      </c>
      <c r="D469" s="278"/>
      <c r="E469" s="278">
        <v>0</v>
      </c>
      <c r="F469" s="279">
        <v>0</v>
      </c>
      <c r="G469" s="280">
        <f t="shared" si="56"/>
        <v>0</v>
      </c>
      <c r="H469" s="290"/>
      <c r="I469" s="288">
        <f t="shared" si="58"/>
        <v>0</v>
      </c>
      <c r="J469" s="283">
        <f t="shared" si="55"/>
        <v>0</v>
      </c>
      <c r="K469" s="311">
        <v>0</v>
      </c>
      <c r="L469" s="291">
        <f t="shared" si="59"/>
        <v>0</v>
      </c>
      <c r="M469" s="289">
        <f t="shared" si="57"/>
        <v>0</v>
      </c>
    </row>
    <row r="470" spans="1:13" x14ac:dyDescent="0.2">
      <c r="A470" s="150">
        <v>1915</v>
      </c>
      <c r="B470" s="276" t="s">
        <v>129</v>
      </c>
      <c r="C470" s="277">
        <v>3993334.3612999991</v>
      </c>
      <c r="D470" s="278"/>
      <c r="E470" s="278">
        <v>0</v>
      </c>
      <c r="F470" s="279">
        <v>0</v>
      </c>
      <c r="G470" s="280">
        <f t="shared" si="56"/>
        <v>3993334.3612999991</v>
      </c>
      <c r="H470" s="290">
        <v>8.5066611056125936</v>
      </c>
      <c r="I470" s="288">
        <f t="shared" si="58"/>
        <v>0.11755493578323133</v>
      </c>
      <c r="J470" s="283">
        <f t="shared" si="55"/>
        <v>469436.16440359247</v>
      </c>
      <c r="K470" s="311">
        <v>469607.65420109592</v>
      </c>
      <c r="L470" s="291">
        <f t="shared" si="59"/>
        <v>171.48979750345461</v>
      </c>
      <c r="M470" s="289">
        <f t="shared" si="57"/>
        <v>3.651767512077626E-4</v>
      </c>
    </row>
    <row r="471" spans="1:13" x14ac:dyDescent="0.2">
      <c r="A471" s="150">
        <v>1915</v>
      </c>
      <c r="B471" s="276" t="s">
        <v>130</v>
      </c>
      <c r="C471" s="277">
        <v>0</v>
      </c>
      <c r="D471" s="278"/>
      <c r="E471" s="278">
        <v>0</v>
      </c>
      <c r="F471" s="279">
        <v>0</v>
      </c>
      <c r="G471" s="280">
        <f t="shared" si="56"/>
        <v>0</v>
      </c>
      <c r="H471" s="290"/>
      <c r="I471" s="288">
        <f t="shared" si="58"/>
        <v>0</v>
      </c>
      <c r="J471" s="283">
        <f t="shared" si="55"/>
        <v>0</v>
      </c>
      <c r="K471" s="311">
        <v>0</v>
      </c>
      <c r="L471" s="291">
        <f t="shared" si="59"/>
        <v>0</v>
      </c>
      <c r="M471" s="289">
        <f t="shared" si="57"/>
        <v>0</v>
      </c>
    </row>
    <row r="472" spans="1:13" x14ac:dyDescent="0.2">
      <c r="A472" s="150">
        <v>1920</v>
      </c>
      <c r="B472" s="276" t="s">
        <v>131</v>
      </c>
      <c r="C472" s="277">
        <v>5731251.9944000021</v>
      </c>
      <c r="D472" s="278"/>
      <c r="E472" s="278">
        <v>2726941.33</v>
      </c>
      <c r="F472" s="279">
        <v>0</v>
      </c>
      <c r="G472" s="280">
        <f t="shared" si="56"/>
        <v>7094722.6594000021</v>
      </c>
      <c r="H472" s="290">
        <v>2.8660378692703006</v>
      </c>
      <c r="I472" s="288">
        <f t="shared" si="58"/>
        <v>0.34891374280919818</v>
      </c>
      <c r="J472" s="283">
        <f t="shared" si="55"/>
        <v>2475446.2372844829</v>
      </c>
      <c r="K472" s="311">
        <v>2477492.9794160738</v>
      </c>
      <c r="L472" s="291">
        <f t="shared" si="59"/>
        <v>2046.7421315908432</v>
      </c>
      <c r="M472" s="289">
        <f t="shared" si="57"/>
        <v>8.2613438205312076E-4</v>
      </c>
    </row>
    <row r="473" spans="1:13" x14ac:dyDescent="0.2">
      <c r="A473" s="150">
        <v>1920</v>
      </c>
      <c r="B473" s="276" t="s">
        <v>132</v>
      </c>
      <c r="C473" s="277">
        <v>0</v>
      </c>
      <c r="D473" s="278"/>
      <c r="E473" s="278">
        <v>0</v>
      </c>
      <c r="F473" s="279">
        <v>0</v>
      </c>
      <c r="G473" s="280">
        <f t="shared" si="56"/>
        <v>0</v>
      </c>
      <c r="H473" s="290"/>
      <c r="I473" s="288">
        <f t="shared" si="58"/>
        <v>0</v>
      </c>
      <c r="J473" s="283">
        <f t="shared" si="55"/>
        <v>0</v>
      </c>
      <c r="K473" s="311">
        <v>0</v>
      </c>
      <c r="L473" s="291">
        <f t="shared" si="59"/>
        <v>0</v>
      </c>
      <c r="M473" s="292">
        <f t="shared" si="57"/>
        <v>0</v>
      </c>
    </row>
    <row r="474" spans="1:13" x14ac:dyDescent="0.2">
      <c r="A474" s="150">
        <v>1920</v>
      </c>
      <c r="B474" s="276" t="s">
        <v>133</v>
      </c>
      <c r="C474" s="277">
        <v>0</v>
      </c>
      <c r="D474" s="278"/>
      <c r="E474" s="278">
        <v>0</v>
      </c>
      <c r="F474" s="279">
        <v>0</v>
      </c>
      <c r="G474" s="280">
        <f t="shared" si="56"/>
        <v>0</v>
      </c>
      <c r="H474" s="290"/>
      <c r="I474" s="288">
        <f t="shared" si="58"/>
        <v>0</v>
      </c>
      <c r="J474" s="283">
        <f t="shared" si="55"/>
        <v>0</v>
      </c>
      <c r="K474" s="311">
        <v>0</v>
      </c>
      <c r="L474" s="291">
        <f t="shared" si="59"/>
        <v>0</v>
      </c>
      <c r="M474" s="292">
        <f t="shared" si="57"/>
        <v>0</v>
      </c>
    </row>
    <row r="475" spans="1:13" x14ac:dyDescent="0.2">
      <c r="A475" s="150">
        <v>1930</v>
      </c>
      <c r="B475" s="276" t="s">
        <v>134</v>
      </c>
      <c r="C475" s="277">
        <v>11736992.326633336</v>
      </c>
      <c r="D475" s="278"/>
      <c r="E475" s="278">
        <v>3370896</v>
      </c>
      <c r="F475" s="279">
        <v>0</v>
      </c>
      <c r="G475" s="280">
        <f t="shared" si="56"/>
        <v>13422440.326633336</v>
      </c>
      <c r="H475" s="290">
        <v>7.1216771032073343</v>
      </c>
      <c r="I475" s="288">
        <f t="shared" si="58"/>
        <v>0.14041636338014227</v>
      </c>
      <c r="J475" s="283">
        <f t="shared" si="55"/>
        <v>1884730.2583528219</v>
      </c>
      <c r="K475" s="311">
        <v>1886826.8205421006</v>
      </c>
      <c r="L475" s="291">
        <f t="shared" si="59"/>
        <v>2096.5621892786585</v>
      </c>
      <c r="M475" s="289">
        <f t="shared" si="57"/>
        <v>1.1111577207050191E-3</v>
      </c>
    </row>
    <row r="476" spans="1:13" x14ac:dyDescent="0.2">
      <c r="A476" s="150">
        <v>1935</v>
      </c>
      <c r="B476" s="276" t="s">
        <v>135</v>
      </c>
      <c r="C476" s="277">
        <v>0</v>
      </c>
      <c r="D476" s="278"/>
      <c r="E476" s="278">
        <v>0</v>
      </c>
      <c r="F476" s="279">
        <v>0</v>
      </c>
      <c r="G476" s="280">
        <f t="shared" si="56"/>
        <v>0</v>
      </c>
      <c r="H476" s="290">
        <v>0</v>
      </c>
      <c r="I476" s="288">
        <f t="shared" si="58"/>
        <v>0</v>
      </c>
      <c r="J476" s="283">
        <f t="shared" si="55"/>
        <v>0</v>
      </c>
      <c r="K476" s="311">
        <v>0</v>
      </c>
      <c r="L476" s="291">
        <f t="shared" si="59"/>
        <v>0</v>
      </c>
      <c r="M476" s="289">
        <f t="shared" si="57"/>
        <v>0</v>
      </c>
    </row>
    <row r="477" spans="1:13" x14ac:dyDescent="0.2">
      <c r="A477" s="150">
        <v>1940</v>
      </c>
      <c r="B477" s="276" t="s">
        <v>136</v>
      </c>
      <c r="C477" s="277">
        <v>2418111.6865455015</v>
      </c>
      <c r="D477" s="278"/>
      <c r="E477" s="278">
        <v>1260349.92</v>
      </c>
      <c r="F477" s="279">
        <v>0</v>
      </c>
      <c r="G477" s="280">
        <f t="shared" si="56"/>
        <v>3048286.6465455014</v>
      </c>
      <c r="H477" s="290">
        <v>6.8092829368958014</v>
      </c>
      <c r="I477" s="288">
        <f t="shared" si="58"/>
        <v>0.14685834165908188</v>
      </c>
      <c r="J477" s="283">
        <f t="shared" si="55"/>
        <v>447666.32181319618</v>
      </c>
      <c r="K477" s="311">
        <v>444655.42800382181</v>
      </c>
      <c r="L477" s="291">
        <f t="shared" si="59"/>
        <v>-3010.8938093743636</v>
      </c>
      <c r="M477" s="292">
        <f t="shared" si="57"/>
        <v>-6.7712966484881976E-3</v>
      </c>
    </row>
    <row r="478" spans="1:13" x14ac:dyDescent="0.2">
      <c r="A478" s="150">
        <v>1945</v>
      </c>
      <c r="B478" s="276" t="s">
        <v>137</v>
      </c>
      <c r="C478" s="277">
        <v>11335.665399499965</v>
      </c>
      <c r="D478" s="278"/>
      <c r="E478" s="278">
        <v>0</v>
      </c>
      <c r="F478" s="279">
        <v>0</v>
      </c>
      <c r="G478" s="280">
        <f t="shared" si="56"/>
        <v>11335.665399499965</v>
      </c>
      <c r="H478" s="290">
        <v>4.3033970590081534</v>
      </c>
      <c r="I478" s="288">
        <f t="shared" si="58"/>
        <v>0.23237456044329777</v>
      </c>
      <c r="J478" s="283">
        <f t="shared" si="55"/>
        <v>2634.120264541104</v>
      </c>
      <c r="K478" s="311">
        <v>2640.1757697397265</v>
      </c>
      <c r="L478" s="291">
        <f t="shared" si="59"/>
        <v>6.0555051986225408</v>
      </c>
      <c r="M478" s="289">
        <f t="shared" si="57"/>
        <v>2.2935992626049681E-3</v>
      </c>
    </row>
    <row r="479" spans="1:13" x14ac:dyDescent="0.2">
      <c r="A479" s="150">
        <v>1950</v>
      </c>
      <c r="B479" s="276" t="s">
        <v>138</v>
      </c>
      <c r="C479" s="277">
        <v>0</v>
      </c>
      <c r="D479" s="278"/>
      <c r="E479" s="278">
        <v>0</v>
      </c>
      <c r="F479" s="279">
        <v>0</v>
      </c>
      <c r="G479" s="280">
        <f t="shared" si="56"/>
        <v>0</v>
      </c>
      <c r="H479" s="290"/>
      <c r="I479" s="288">
        <f t="shared" si="58"/>
        <v>0</v>
      </c>
      <c r="J479" s="283">
        <f t="shared" si="55"/>
        <v>0</v>
      </c>
      <c r="K479" s="311">
        <v>0</v>
      </c>
      <c r="L479" s="291">
        <f t="shared" si="59"/>
        <v>0</v>
      </c>
      <c r="M479" s="292">
        <f t="shared" si="57"/>
        <v>0</v>
      </c>
    </row>
    <row r="480" spans="1:13" x14ac:dyDescent="0.2">
      <c r="A480" s="150">
        <v>1955</v>
      </c>
      <c r="B480" s="276" t="s">
        <v>139</v>
      </c>
      <c r="C480" s="277">
        <v>193272.39829999954</v>
      </c>
      <c r="D480" s="278"/>
      <c r="E480" s="278">
        <v>0</v>
      </c>
      <c r="F480" s="279">
        <v>0</v>
      </c>
      <c r="G480" s="280">
        <f t="shared" si="56"/>
        <v>193272.39829999954</v>
      </c>
      <c r="H480" s="290">
        <v>3.6333376285401497</v>
      </c>
      <c r="I480" s="288">
        <f t="shared" si="58"/>
        <v>0.27522903243148178</v>
      </c>
      <c r="J480" s="283">
        <f t="shared" si="55"/>
        <v>53194.175179820835</v>
      </c>
      <c r="K480" s="311">
        <v>53305.529593698629</v>
      </c>
      <c r="L480" s="291">
        <f t="shared" si="59"/>
        <v>111.35441387779429</v>
      </c>
      <c r="M480" s="292">
        <f t="shared" si="57"/>
        <v>2.0889842897453877E-3</v>
      </c>
    </row>
    <row r="481" spans="1:17" x14ac:dyDescent="0.2">
      <c r="A481" s="150">
        <v>1955</v>
      </c>
      <c r="B481" s="276" t="s">
        <v>140</v>
      </c>
      <c r="C481" s="277">
        <v>0</v>
      </c>
      <c r="D481" s="278"/>
      <c r="E481" s="278">
        <v>0</v>
      </c>
      <c r="F481" s="279">
        <v>0</v>
      </c>
      <c r="G481" s="280">
        <f t="shared" si="56"/>
        <v>0</v>
      </c>
      <c r="H481" s="290"/>
      <c r="I481" s="288">
        <f t="shared" si="58"/>
        <v>0</v>
      </c>
      <c r="J481" s="283">
        <f t="shared" si="55"/>
        <v>0</v>
      </c>
      <c r="K481" s="311">
        <v>0</v>
      </c>
      <c r="L481" s="291">
        <f t="shared" si="59"/>
        <v>0</v>
      </c>
      <c r="M481" s="289">
        <f t="shared" si="57"/>
        <v>0</v>
      </c>
    </row>
    <row r="482" spans="1:17" x14ac:dyDescent="0.2">
      <c r="A482" s="150">
        <v>1960</v>
      </c>
      <c r="B482" s="276" t="s">
        <v>141</v>
      </c>
      <c r="C482" s="277">
        <v>43762.624199999962</v>
      </c>
      <c r="D482" s="278"/>
      <c r="E482" s="278">
        <v>0</v>
      </c>
      <c r="F482" s="279">
        <v>0</v>
      </c>
      <c r="G482" s="280">
        <f t="shared" si="56"/>
        <v>43762.624199999962</v>
      </c>
      <c r="H482" s="290">
        <v>2.1803057725733965</v>
      </c>
      <c r="I482" s="288">
        <f t="shared" si="58"/>
        <v>0.45865126468922218</v>
      </c>
      <c r="J482" s="283">
        <f t="shared" si="55"/>
        <v>20071.782935449144</v>
      </c>
      <c r="K482" s="311">
        <v>20115.941462465751</v>
      </c>
      <c r="L482" s="291">
        <f t="shared" si="59"/>
        <v>44.158527016606968</v>
      </c>
      <c r="M482" s="292">
        <f t="shared" si="57"/>
        <v>2.1952006123602107E-3</v>
      </c>
    </row>
    <row r="483" spans="1:17" x14ac:dyDescent="0.2">
      <c r="A483" s="150">
        <v>1970</v>
      </c>
      <c r="B483" s="293" t="s">
        <v>142</v>
      </c>
      <c r="C483" s="277">
        <v>0</v>
      </c>
      <c r="D483" s="278"/>
      <c r="E483" s="278">
        <v>0</v>
      </c>
      <c r="F483" s="279">
        <v>0</v>
      </c>
      <c r="G483" s="280">
        <f t="shared" si="56"/>
        <v>0</v>
      </c>
      <c r="H483" s="290"/>
      <c r="I483" s="288">
        <f t="shared" si="58"/>
        <v>0</v>
      </c>
      <c r="J483" s="283">
        <f t="shared" si="55"/>
        <v>0</v>
      </c>
      <c r="K483" s="311">
        <v>0</v>
      </c>
      <c r="L483" s="291">
        <f t="shared" si="59"/>
        <v>0</v>
      </c>
      <c r="M483" s="292">
        <f t="shared" si="57"/>
        <v>0</v>
      </c>
    </row>
    <row r="484" spans="1:17" x14ac:dyDescent="0.2">
      <c r="A484" s="150">
        <v>1975</v>
      </c>
      <c r="B484" s="276" t="s">
        <v>143</v>
      </c>
      <c r="C484" s="277">
        <v>0</v>
      </c>
      <c r="D484" s="278"/>
      <c r="E484" s="278">
        <v>0</v>
      </c>
      <c r="F484" s="279">
        <v>0</v>
      </c>
      <c r="G484" s="280">
        <f t="shared" si="56"/>
        <v>0</v>
      </c>
      <c r="H484" s="290"/>
      <c r="I484" s="288">
        <f t="shared" si="58"/>
        <v>0</v>
      </c>
      <c r="J484" s="283">
        <f t="shared" si="55"/>
        <v>0</v>
      </c>
      <c r="K484" s="311">
        <v>0</v>
      </c>
      <c r="L484" s="291">
        <f t="shared" si="59"/>
        <v>0</v>
      </c>
      <c r="M484" s="289">
        <f t="shared" si="57"/>
        <v>0</v>
      </c>
    </row>
    <row r="485" spans="1:17" x14ac:dyDescent="0.2">
      <c r="A485" s="150">
        <v>1980</v>
      </c>
      <c r="B485" s="276" t="s">
        <v>144</v>
      </c>
      <c r="C485" s="277">
        <v>4290045.0570757743</v>
      </c>
      <c r="D485" s="278"/>
      <c r="E485" s="278">
        <v>1736057.4067111111</v>
      </c>
      <c r="F485" s="279">
        <v>0</v>
      </c>
      <c r="G485" s="280">
        <f t="shared" si="56"/>
        <v>5158073.7604313297</v>
      </c>
      <c r="H485" s="290">
        <v>8.0091573708293602</v>
      </c>
      <c r="I485" s="288">
        <f t="shared" si="58"/>
        <v>0.12485707967759016</v>
      </c>
      <c r="J485" s="283">
        <f t="shared" si="55"/>
        <v>644022.02648906165</v>
      </c>
      <c r="K485" s="311">
        <v>645137.6286672008</v>
      </c>
      <c r="L485" s="291">
        <f t="shared" si="59"/>
        <v>1115.6021781391464</v>
      </c>
      <c r="M485" s="289">
        <f t="shared" si="57"/>
        <v>1.7292467972204399E-3</v>
      </c>
    </row>
    <row r="486" spans="1:17" x14ac:dyDescent="0.2">
      <c r="A486" s="150">
        <v>1985</v>
      </c>
      <c r="B486" s="276" t="s">
        <v>145</v>
      </c>
      <c r="C486" s="277">
        <v>0</v>
      </c>
      <c r="D486" s="278"/>
      <c r="E486" s="278">
        <v>0</v>
      </c>
      <c r="F486" s="279">
        <v>0</v>
      </c>
      <c r="G486" s="280">
        <f t="shared" si="56"/>
        <v>0</v>
      </c>
      <c r="H486" s="290"/>
      <c r="I486" s="288">
        <f t="shared" si="58"/>
        <v>0</v>
      </c>
      <c r="J486" s="283">
        <f t="shared" si="55"/>
        <v>0</v>
      </c>
      <c r="K486" s="311">
        <v>0</v>
      </c>
      <c r="L486" s="291">
        <f t="shared" si="59"/>
        <v>0</v>
      </c>
      <c r="M486" s="292">
        <f t="shared" si="57"/>
        <v>0</v>
      </c>
    </row>
    <row r="487" spans="1:17" x14ac:dyDescent="0.2">
      <c r="A487" s="150">
        <v>1990</v>
      </c>
      <c r="B487" s="235" t="s">
        <v>146</v>
      </c>
      <c r="C487" s="277">
        <v>0</v>
      </c>
      <c r="D487" s="278"/>
      <c r="E487" s="278">
        <v>0</v>
      </c>
      <c r="F487" s="279">
        <v>0</v>
      </c>
      <c r="G487" s="280">
        <f t="shared" si="56"/>
        <v>0</v>
      </c>
      <c r="H487" s="290"/>
      <c r="I487" s="288">
        <f t="shared" si="58"/>
        <v>0</v>
      </c>
      <c r="J487" s="283">
        <f t="shared" si="55"/>
        <v>0</v>
      </c>
      <c r="K487" s="311">
        <v>0</v>
      </c>
      <c r="L487" s="291">
        <f t="shared" si="59"/>
        <v>0</v>
      </c>
      <c r="M487" s="289">
        <f t="shared" si="57"/>
        <v>0</v>
      </c>
    </row>
    <row r="488" spans="1:17" x14ac:dyDescent="0.2">
      <c r="A488" s="150">
        <v>1995</v>
      </c>
      <c r="B488" s="276" t="s">
        <v>147</v>
      </c>
      <c r="C488" s="277">
        <v>0</v>
      </c>
      <c r="D488" s="278"/>
      <c r="E488" s="278">
        <v>0</v>
      </c>
      <c r="F488" s="279">
        <v>0</v>
      </c>
      <c r="G488" s="280">
        <f t="shared" si="56"/>
        <v>0</v>
      </c>
      <c r="H488" s="290"/>
      <c r="I488" s="294">
        <f t="shared" si="58"/>
        <v>0</v>
      </c>
      <c r="J488" s="295">
        <f t="shared" si="55"/>
        <v>0</v>
      </c>
      <c r="K488" s="311">
        <v>0</v>
      </c>
      <c r="L488" s="291">
        <f t="shared" si="59"/>
        <v>0</v>
      </c>
      <c r="M488" s="289">
        <f t="shared" si="57"/>
        <v>0</v>
      </c>
    </row>
    <row r="489" spans="1:17" x14ac:dyDescent="0.2">
      <c r="A489" s="150">
        <v>2075</v>
      </c>
      <c r="B489" s="276" t="s">
        <v>148</v>
      </c>
      <c r="C489" s="277">
        <v>506898.50429999945</v>
      </c>
      <c r="D489" s="278"/>
      <c r="E489" s="278">
        <v>0</v>
      </c>
      <c r="F489" s="279">
        <v>0</v>
      </c>
      <c r="G489" s="280">
        <f t="shared" si="56"/>
        <v>506898.50429999945</v>
      </c>
      <c r="H489" s="290">
        <v>8.0027591660127122</v>
      </c>
      <c r="I489" s="294">
        <f t="shared" si="58"/>
        <v>0.12495690289505977</v>
      </c>
      <c r="J489" s="295">
        <f t="shared" si="55"/>
        <v>63340.467179466068</v>
      </c>
      <c r="K489" s="311">
        <v>52653.383603835617</v>
      </c>
      <c r="L489" s="291">
        <f t="shared" si="59"/>
        <v>-10687.083575630451</v>
      </c>
      <c r="M489" s="289">
        <f t="shared" si="57"/>
        <v>-0.20297049959866081</v>
      </c>
    </row>
    <row r="490" spans="1:17" x14ac:dyDescent="0.2">
      <c r="A490" s="150">
        <v>2440</v>
      </c>
      <c r="B490" s="151" t="s">
        <v>166</v>
      </c>
      <c r="C490" s="277">
        <v>-209969078.65526217</v>
      </c>
      <c r="D490" s="278"/>
      <c r="E490" s="278">
        <v>-50628808.979999997</v>
      </c>
      <c r="F490" s="279">
        <v>-73476.077231909818</v>
      </c>
      <c r="G490" s="280">
        <f t="shared" si="56"/>
        <v>-235210007.06803027</v>
      </c>
      <c r="H490" s="290">
        <v>34.397772187547545</v>
      </c>
      <c r="I490" s="294">
        <f t="shared" si="58"/>
        <v>2.9071650179775695E-2</v>
      </c>
      <c r="J490" s="295">
        <f t="shared" si="55"/>
        <v>-6837943.0442643445</v>
      </c>
      <c r="K490" s="311">
        <v>-6846617.4360136576</v>
      </c>
      <c r="L490" s="291">
        <f t="shared" si="59"/>
        <v>-8674.3917493131012</v>
      </c>
      <c r="M490" s="289">
        <f t="shared" si="57"/>
        <v>1.2669601931729426E-3</v>
      </c>
    </row>
    <row r="491" spans="1:17" ht="13.5" thickBot="1" x14ac:dyDescent="0.25">
      <c r="A491" s="150">
        <v>2005</v>
      </c>
      <c r="B491" s="276" t="s">
        <v>329</v>
      </c>
      <c r="C491" s="277">
        <v>0</v>
      </c>
      <c r="D491" s="278"/>
      <c r="E491" s="278">
        <v>0</v>
      </c>
      <c r="F491" s="279">
        <v>0</v>
      </c>
      <c r="G491" s="280">
        <f t="shared" si="56"/>
        <v>0</v>
      </c>
      <c r="H491" s="297"/>
      <c r="I491" s="298">
        <f t="shared" si="58"/>
        <v>0</v>
      </c>
      <c r="J491" s="299">
        <f t="shared" si="55"/>
        <v>0</v>
      </c>
      <c r="K491" s="312">
        <v>0</v>
      </c>
      <c r="L491" s="300">
        <f t="shared" si="59"/>
        <v>0</v>
      </c>
      <c r="M491" s="301">
        <f t="shared" si="57"/>
        <v>0</v>
      </c>
    </row>
    <row r="492" spans="1:17" ht="13.5" thickBot="1" x14ac:dyDescent="0.25">
      <c r="A492" s="309"/>
      <c r="B492" s="310" t="s">
        <v>43</v>
      </c>
      <c r="C492" s="304">
        <f>SUM(C447:C491)</f>
        <v>600037915.28126287</v>
      </c>
      <c r="D492" s="304">
        <f>SUM(D447:D491)</f>
        <v>0</v>
      </c>
      <c r="E492" s="304">
        <f>SUM(E447:E491)</f>
        <v>122404972.53999996</v>
      </c>
      <c r="F492" s="304">
        <f>SUM(F447:F491)</f>
        <v>1434571.3679748375</v>
      </c>
      <c r="G492" s="304">
        <f>SUM(G449:G491)</f>
        <v>637076390.24346352</v>
      </c>
      <c r="H492" s="304"/>
      <c r="I492" s="305"/>
      <c r="J492" s="304">
        <f>SUM(J447:J491)</f>
        <v>29530378.907205857</v>
      </c>
      <c r="K492" s="304">
        <f t="shared" ref="K492:L492" si="60">SUM(K447:K491)</f>
        <v>29667221.401440818</v>
      </c>
      <c r="L492" s="306">
        <f t="shared" si="60"/>
        <v>136842.49423496172</v>
      </c>
      <c r="M492" s="307">
        <f t="shared" si="57"/>
        <v>4.6125820946721968E-3</v>
      </c>
    </row>
    <row r="493" spans="1:17" x14ac:dyDescent="0.2">
      <c r="C493" s="172"/>
      <c r="E493" s="172"/>
      <c r="F493" s="172"/>
      <c r="K493" s="172"/>
    </row>
    <row r="494" spans="1:17" ht="13.5" thickBot="1" x14ac:dyDescent="0.25"/>
    <row r="495" spans="1:17" ht="18" customHeight="1" thickBot="1" x14ac:dyDescent="0.3">
      <c r="A495" s="253"/>
      <c r="B495" s="253"/>
      <c r="C495" s="253"/>
      <c r="D495" s="253"/>
      <c r="E495" s="254" t="s">
        <v>300</v>
      </c>
      <c r="F495" s="259">
        <v>2029</v>
      </c>
      <c r="G495" s="253"/>
      <c r="H495" s="253"/>
      <c r="I495" s="253"/>
      <c r="J495" s="253"/>
      <c r="K495" s="253"/>
    </row>
    <row r="496" spans="1:17" ht="13.5" thickBot="1" x14ac:dyDescent="0.25">
      <c r="A496" s="260"/>
      <c r="B496" s="260"/>
      <c r="C496" s="260"/>
      <c r="D496" s="260"/>
      <c r="E496" s="260"/>
      <c r="F496" s="260"/>
      <c r="G496" s="260"/>
      <c r="H496" s="260"/>
      <c r="I496" s="260"/>
      <c r="J496" s="260"/>
      <c r="K496" s="260"/>
      <c r="Q496" s="123">
        <v>2017</v>
      </c>
    </row>
    <row r="497" spans="1:17" ht="19.149999999999999" customHeight="1" thickBot="1" x14ac:dyDescent="0.3">
      <c r="A497" s="253"/>
      <c r="B497" s="253"/>
      <c r="C497" s="457" t="s">
        <v>301</v>
      </c>
      <c r="D497" s="458"/>
      <c r="E497" s="458"/>
      <c r="F497" s="458"/>
      <c r="G497" s="459" t="s">
        <v>302</v>
      </c>
      <c r="H497" s="460"/>
      <c r="I497" s="261" t="s">
        <v>303</v>
      </c>
      <c r="J497" s="253"/>
      <c r="K497" s="253"/>
      <c r="Q497" s="123">
        <v>2018</v>
      </c>
    </row>
    <row r="498" spans="1:17" ht="64.150000000000006" customHeight="1" thickBot="1" x14ac:dyDescent="0.25">
      <c r="A498" s="453" t="s">
        <v>304</v>
      </c>
      <c r="B498" s="455" t="s">
        <v>305</v>
      </c>
      <c r="C498" s="262" t="s">
        <v>306</v>
      </c>
      <c r="D498" s="263" t="s">
        <v>307</v>
      </c>
      <c r="E498" s="264" t="s">
        <v>308</v>
      </c>
      <c r="F498" s="265" t="s">
        <v>309</v>
      </c>
      <c r="G498" s="265" t="s">
        <v>310</v>
      </c>
      <c r="H498" s="262" t="s">
        <v>311</v>
      </c>
      <c r="I498" s="266" t="s">
        <v>312</v>
      </c>
      <c r="J498" s="267" t="s">
        <v>313</v>
      </c>
      <c r="K498" s="264" t="s">
        <v>331</v>
      </c>
      <c r="L498" s="266" t="s">
        <v>315</v>
      </c>
      <c r="M498" s="266" t="s">
        <v>316</v>
      </c>
    </row>
    <row r="499" spans="1:17" ht="13.5" thickBot="1" x14ac:dyDescent="0.25">
      <c r="A499" s="454"/>
      <c r="B499" s="456"/>
      <c r="C499" s="268" t="s">
        <v>317</v>
      </c>
      <c r="D499" s="269" t="s">
        <v>318</v>
      </c>
      <c r="E499" s="270" t="s">
        <v>319</v>
      </c>
      <c r="F499" s="270" t="s">
        <v>320</v>
      </c>
      <c r="G499" s="271" t="s">
        <v>321</v>
      </c>
      <c r="H499" s="272" t="s">
        <v>322</v>
      </c>
      <c r="I499" s="270" t="s">
        <v>323</v>
      </c>
      <c r="J499" s="268" t="s">
        <v>324</v>
      </c>
      <c r="K499" s="273" t="s">
        <v>325</v>
      </c>
      <c r="L499" s="271" t="s">
        <v>326</v>
      </c>
      <c r="M499" s="274" t="s">
        <v>327</v>
      </c>
    </row>
    <row r="500" spans="1:17" ht="13.5" thickBot="1" x14ac:dyDescent="0.25">
      <c r="A500" s="275">
        <v>1609</v>
      </c>
      <c r="B500" s="276" t="s">
        <v>108</v>
      </c>
      <c r="C500" s="277">
        <v>21094689.286426477</v>
      </c>
      <c r="D500" s="278"/>
      <c r="E500" s="278">
        <v>0</v>
      </c>
      <c r="F500" s="279">
        <v>0</v>
      </c>
      <c r="G500" s="280">
        <f>C500-D500+(E500*0.5)-F500</f>
        <v>21094689.286426477</v>
      </c>
      <c r="H500" s="281">
        <v>15.329637602013083</v>
      </c>
      <c r="I500" s="282">
        <f>IF(H500=0,0,1/H500)</f>
        <v>6.5233114178033819E-2</v>
      </c>
      <c r="J500" s="283">
        <f t="shared" ref="J500:J544" si="61">IF(H500=0,0,+G500/H500)</f>
        <v>1376072.2747716052</v>
      </c>
      <c r="K500" s="284">
        <v>1376029.3467436</v>
      </c>
      <c r="L500" s="285">
        <f>IF(ISERROR(+K500-J500), 0, +K500-J500)</f>
        <v>-42.928028005175292</v>
      </c>
      <c r="M500" s="286">
        <f>IFERROR(L500/K500,0)</f>
        <v>-3.1197029414209295E-5</v>
      </c>
    </row>
    <row r="501" spans="1:17" x14ac:dyDescent="0.2">
      <c r="A501" s="275">
        <v>1610</v>
      </c>
      <c r="B501" s="287" t="s">
        <v>328</v>
      </c>
      <c r="C501" s="277">
        <v>210016.80055451952</v>
      </c>
      <c r="D501" s="278"/>
      <c r="E501" s="278">
        <v>0</v>
      </c>
      <c r="F501" s="279">
        <v>0</v>
      </c>
      <c r="G501" s="280">
        <f>C501-D501+(E501*0.5)-F501</f>
        <v>210016.80055451952</v>
      </c>
      <c r="H501" s="281">
        <v>4.4986301369863027</v>
      </c>
      <c r="I501" s="282">
        <f>IF(H501=0,0,1/H501)</f>
        <v>0.22228989037758826</v>
      </c>
      <c r="J501" s="283">
        <f t="shared" si="61"/>
        <v>46684.611572715956</v>
      </c>
      <c r="K501" s="284">
        <v>46684.611599999997</v>
      </c>
      <c r="L501" s="285">
        <f>IF(ISERROR(+K501-J501), 0, +K501-J501)</f>
        <v>2.7284040697850287E-5</v>
      </c>
      <c r="M501" s="286">
        <f>IFERROR(L501/K501,0)</f>
        <v>5.8443328031993924E-10</v>
      </c>
    </row>
    <row r="502" spans="1:17" x14ac:dyDescent="0.2">
      <c r="A502" s="234">
        <v>1611</v>
      </c>
      <c r="B502" s="287" t="s">
        <v>111</v>
      </c>
      <c r="C502" s="277">
        <v>2813486.8434144333</v>
      </c>
      <c r="D502" s="278"/>
      <c r="E502" s="278">
        <v>1935723.16</v>
      </c>
      <c r="F502" s="279">
        <v>0</v>
      </c>
      <c r="G502" s="280">
        <f t="shared" ref="G502:G544" si="62">C502-D502+(E502*0.5)-F502</f>
        <v>3781348.4234144334</v>
      </c>
      <c r="H502" s="281">
        <v>1.9433931939637239</v>
      </c>
      <c r="I502" s="288">
        <f>IF(H502=0,0,1/H502)</f>
        <v>0.51456390971525978</v>
      </c>
      <c r="J502" s="283">
        <f t="shared" si="61"/>
        <v>1945745.4287477646</v>
      </c>
      <c r="K502" s="311">
        <v>1945745.4287477625</v>
      </c>
      <c r="L502" s="285">
        <f>IF(ISERROR(+K502-J502), 0, +K502-J502)</f>
        <v>-2.0954757928848267E-9</v>
      </c>
      <c r="M502" s="289">
        <f t="shared" ref="M502:M545" si="63">IFERROR(L502/K502,0)</f>
        <v>-1.0769526999394918E-15</v>
      </c>
    </row>
    <row r="503" spans="1:17" x14ac:dyDescent="0.2">
      <c r="A503" s="150">
        <v>1612</v>
      </c>
      <c r="B503" s="276" t="s">
        <v>112</v>
      </c>
      <c r="C503" s="277">
        <v>283302.97977753449</v>
      </c>
      <c r="D503" s="278"/>
      <c r="E503" s="278">
        <v>0</v>
      </c>
      <c r="F503" s="279">
        <v>0</v>
      </c>
      <c r="G503" s="280">
        <f t="shared" si="62"/>
        <v>283302.97977753449</v>
      </c>
      <c r="H503" s="290">
        <v>23.016664570226574</v>
      </c>
      <c r="I503" s="288">
        <f t="shared" ref="I503:I544" si="64">IF(H503=0,0,1/H503)</f>
        <v>4.3446781654608614E-2</v>
      </c>
      <c r="J503" s="283">
        <f t="shared" si="61"/>
        <v>12308.60270449454</v>
      </c>
      <c r="K503" s="311">
        <v>12301.7492</v>
      </c>
      <c r="L503" s="291">
        <f t="shared" ref="L503:L544" si="65">IF(ISERROR(+K503-J503), 0, +K503-J503)</f>
        <v>-6.8535044945401751</v>
      </c>
      <c r="M503" s="289">
        <f t="shared" si="63"/>
        <v>-5.5711625908778689E-4</v>
      </c>
    </row>
    <row r="504" spans="1:17" x14ac:dyDescent="0.2">
      <c r="A504" s="150">
        <v>1612</v>
      </c>
      <c r="B504" s="276" t="s">
        <v>330</v>
      </c>
      <c r="C504" s="277">
        <v>3841402</v>
      </c>
      <c r="D504" s="278"/>
      <c r="E504" s="278"/>
      <c r="F504" s="279"/>
      <c r="G504" s="280">
        <f t="shared" si="62"/>
        <v>3841402</v>
      </c>
      <c r="H504" s="290"/>
      <c r="I504" s="288">
        <f t="shared" si="64"/>
        <v>0</v>
      </c>
      <c r="J504" s="283">
        <f t="shared" si="61"/>
        <v>0</v>
      </c>
      <c r="K504" s="284"/>
      <c r="L504" s="291">
        <f t="shared" si="65"/>
        <v>0</v>
      </c>
      <c r="M504" s="289">
        <f t="shared" si="63"/>
        <v>0</v>
      </c>
    </row>
    <row r="505" spans="1:17" x14ac:dyDescent="0.2">
      <c r="A505" s="150">
        <v>1805</v>
      </c>
      <c r="B505" s="276" t="s">
        <v>113</v>
      </c>
      <c r="C505" s="277">
        <v>4190619.8899999997</v>
      </c>
      <c r="D505" s="278"/>
      <c r="E505" s="278">
        <v>0</v>
      </c>
      <c r="F505" s="279">
        <v>0</v>
      </c>
      <c r="G505" s="280">
        <f t="shared" si="62"/>
        <v>4190619.8899999997</v>
      </c>
      <c r="H505" s="290"/>
      <c r="I505" s="288">
        <f t="shared" si="64"/>
        <v>0</v>
      </c>
      <c r="J505" s="283">
        <f t="shared" si="61"/>
        <v>0</v>
      </c>
      <c r="K505" s="311">
        <v>0</v>
      </c>
      <c r="L505" s="291">
        <f t="shared" si="65"/>
        <v>0</v>
      </c>
      <c r="M505" s="289">
        <f t="shared" si="63"/>
        <v>0</v>
      </c>
    </row>
    <row r="506" spans="1:17" x14ac:dyDescent="0.2">
      <c r="A506" s="150">
        <v>1808</v>
      </c>
      <c r="B506" s="276" t="s">
        <v>114</v>
      </c>
      <c r="C506" s="277">
        <v>149658.70638082176</v>
      </c>
      <c r="D506" s="278"/>
      <c r="E506" s="278">
        <v>0</v>
      </c>
      <c r="F506" s="279">
        <v>0</v>
      </c>
      <c r="G506" s="280">
        <f t="shared" si="62"/>
        <v>149658.70638082176</v>
      </c>
      <c r="H506" s="290">
        <v>15.626309921796979</v>
      </c>
      <c r="I506" s="288">
        <f t="shared" si="64"/>
        <v>6.3994635010093476E-2</v>
      </c>
      <c r="J506" s="283">
        <f t="shared" si="61"/>
        <v>9577.3542909234366</v>
      </c>
      <c r="K506" s="311">
        <v>9573.8109999999997</v>
      </c>
      <c r="L506" s="291">
        <f t="shared" si="65"/>
        <v>-3.5432909234368708</v>
      </c>
      <c r="M506" s="289">
        <f t="shared" si="63"/>
        <v>-3.7010245172344335E-4</v>
      </c>
    </row>
    <row r="507" spans="1:17" x14ac:dyDescent="0.2">
      <c r="A507" s="150">
        <v>1810</v>
      </c>
      <c r="B507" s="276" t="s">
        <v>115</v>
      </c>
      <c r="C507" s="277">
        <v>0</v>
      </c>
      <c r="D507" s="278"/>
      <c r="E507" s="278">
        <v>0</v>
      </c>
      <c r="F507" s="279">
        <v>0</v>
      </c>
      <c r="G507" s="280">
        <f t="shared" si="62"/>
        <v>0</v>
      </c>
      <c r="H507" s="290"/>
      <c r="I507" s="288">
        <f t="shared" si="64"/>
        <v>0</v>
      </c>
      <c r="J507" s="283">
        <f t="shared" si="61"/>
        <v>0</v>
      </c>
      <c r="K507" s="311">
        <v>0</v>
      </c>
      <c r="L507" s="291">
        <f t="shared" si="65"/>
        <v>0</v>
      </c>
      <c r="M507" s="289">
        <f t="shared" si="63"/>
        <v>0</v>
      </c>
    </row>
    <row r="508" spans="1:17" x14ac:dyDescent="0.2">
      <c r="A508" s="150">
        <v>1815</v>
      </c>
      <c r="B508" s="276" t="s">
        <v>116</v>
      </c>
      <c r="C508" s="277">
        <v>30158655.113732327</v>
      </c>
      <c r="D508" s="278"/>
      <c r="E508" s="278">
        <v>0</v>
      </c>
      <c r="F508" s="279">
        <v>0</v>
      </c>
      <c r="G508" s="280">
        <f t="shared" si="62"/>
        <v>30158655.113732327</v>
      </c>
      <c r="H508" s="290">
        <v>40.626722342780219</v>
      </c>
      <c r="I508" s="288">
        <f t="shared" si="64"/>
        <v>2.4614341062581688E-2</v>
      </c>
      <c r="J508" s="283">
        <f t="shared" si="61"/>
        <v>742335.42295818077</v>
      </c>
      <c r="K508" s="311">
        <v>741911.21570000006</v>
      </c>
      <c r="L508" s="291">
        <f t="shared" si="65"/>
        <v>-424.20725818071514</v>
      </c>
      <c r="M508" s="289">
        <f t="shared" si="63"/>
        <v>-5.7177631124024958E-4</v>
      </c>
    </row>
    <row r="509" spans="1:17" x14ac:dyDescent="0.2">
      <c r="A509" s="150">
        <v>1820</v>
      </c>
      <c r="B509" s="276" t="s">
        <v>117</v>
      </c>
      <c r="C509" s="277">
        <v>120484347.40147837</v>
      </c>
      <c r="D509" s="278"/>
      <c r="E509" s="278">
        <v>41509388.684155554</v>
      </c>
      <c r="F509" s="279">
        <v>1828035.1923353425</v>
      </c>
      <c r="G509" s="280">
        <f t="shared" si="62"/>
        <v>139411006.5512208</v>
      </c>
      <c r="H509" s="290">
        <v>33.000660938747117</v>
      </c>
      <c r="I509" s="288">
        <f t="shared" si="64"/>
        <v>3.0302423392552978E-2</v>
      </c>
      <c r="J509" s="283">
        <f t="shared" si="61"/>
        <v>4224491.3460970698</v>
      </c>
      <c r="K509" s="311">
        <v>4316190.1006366676</v>
      </c>
      <c r="L509" s="291">
        <f t="shared" si="65"/>
        <v>91698.75453959778</v>
      </c>
      <c r="M509" s="289">
        <f t="shared" si="63"/>
        <v>2.1245300230421173E-2</v>
      </c>
    </row>
    <row r="510" spans="1:17" x14ac:dyDescent="0.2">
      <c r="A510" s="150">
        <v>1825</v>
      </c>
      <c r="B510" s="276" t="s">
        <v>118</v>
      </c>
      <c r="C510" s="277">
        <v>0</v>
      </c>
      <c r="D510" s="278"/>
      <c r="E510" s="278">
        <v>0</v>
      </c>
      <c r="F510" s="279">
        <v>0</v>
      </c>
      <c r="G510" s="280">
        <f t="shared" si="62"/>
        <v>0</v>
      </c>
      <c r="H510" s="290"/>
      <c r="I510" s="288">
        <f t="shared" si="64"/>
        <v>0</v>
      </c>
      <c r="J510" s="283">
        <f t="shared" si="61"/>
        <v>0</v>
      </c>
      <c r="K510" s="311">
        <v>0</v>
      </c>
      <c r="L510" s="291">
        <f t="shared" si="65"/>
        <v>0</v>
      </c>
      <c r="M510" s="289">
        <f t="shared" si="63"/>
        <v>0</v>
      </c>
    </row>
    <row r="511" spans="1:17" x14ac:dyDescent="0.2">
      <c r="A511" s="150">
        <v>1830</v>
      </c>
      <c r="B511" s="276" t="s">
        <v>119</v>
      </c>
      <c r="C511" s="277">
        <v>205347405.50562069</v>
      </c>
      <c r="D511" s="278"/>
      <c r="E511" s="278">
        <v>28352574.672699999</v>
      </c>
      <c r="F511" s="279">
        <v>190069.44420582044</v>
      </c>
      <c r="G511" s="280">
        <f t="shared" si="62"/>
        <v>219333623.39776486</v>
      </c>
      <c r="H511" s="290">
        <v>32.863421943376402</v>
      </c>
      <c r="I511" s="288">
        <f t="shared" si="64"/>
        <v>3.0428967553135448E-2</v>
      </c>
      <c r="J511" s="283">
        <f t="shared" si="61"/>
        <v>6674095.7096822169</v>
      </c>
      <c r="K511" s="311">
        <v>6677045.6146579105</v>
      </c>
      <c r="L511" s="291">
        <f t="shared" si="65"/>
        <v>2949.9049756936729</v>
      </c>
      <c r="M511" s="292">
        <f t="shared" si="63"/>
        <v>4.4179793668293029E-4</v>
      </c>
    </row>
    <row r="512" spans="1:17" x14ac:dyDescent="0.2">
      <c r="A512" s="150">
        <v>1835</v>
      </c>
      <c r="B512" s="276" t="s">
        <v>120</v>
      </c>
      <c r="C512" s="277">
        <v>144804202.05289045</v>
      </c>
      <c r="D512" s="278"/>
      <c r="E512" s="278">
        <v>27792564.462699998</v>
      </c>
      <c r="F512" s="279">
        <v>126436.55785886472</v>
      </c>
      <c r="G512" s="280">
        <f t="shared" si="62"/>
        <v>158574047.7263816</v>
      </c>
      <c r="H512" s="290">
        <v>39.927003924695398</v>
      </c>
      <c r="I512" s="288">
        <f t="shared" si="64"/>
        <v>2.5045705955950438E-2</v>
      </c>
      <c r="J512" s="283">
        <f t="shared" si="61"/>
        <v>3971598.9715998042</v>
      </c>
      <c r="K512" s="311">
        <v>4012588.0772326193</v>
      </c>
      <c r="L512" s="291">
        <f t="shared" si="65"/>
        <v>40989.105632815044</v>
      </c>
      <c r="M512" s="289">
        <f t="shared" si="63"/>
        <v>1.0215129199378023E-2</v>
      </c>
    </row>
    <row r="513" spans="1:13" x14ac:dyDescent="0.2">
      <c r="A513" s="150">
        <v>1840</v>
      </c>
      <c r="B513" s="276" t="s">
        <v>121</v>
      </c>
      <c r="C513" s="277">
        <v>86906590.954381585</v>
      </c>
      <c r="D513" s="278"/>
      <c r="E513" s="278">
        <v>9010796.3972000014</v>
      </c>
      <c r="F513" s="279">
        <v>0</v>
      </c>
      <c r="G513" s="280">
        <f t="shared" si="62"/>
        <v>91411989.152981579</v>
      </c>
      <c r="H513" s="290">
        <v>49.607959139329409</v>
      </c>
      <c r="I513" s="288">
        <f t="shared" si="64"/>
        <v>2.0158055629569238E-2</v>
      </c>
      <c r="J513" s="283">
        <f t="shared" si="61"/>
        <v>1842687.9625553826</v>
      </c>
      <c r="K513" s="311">
        <v>1841955.7433022829</v>
      </c>
      <c r="L513" s="291">
        <f t="shared" si="65"/>
        <v>-732.21925309975632</v>
      </c>
      <c r="M513" s="292">
        <f t="shared" si="63"/>
        <v>-3.9752271777552259E-4</v>
      </c>
    </row>
    <row r="514" spans="1:13" x14ac:dyDescent="0.2">
      <c r="A514" s="150">
        <v>1845</v>
      </c>
      <c r="B514" s="276" t="s">
        <v>122</v>
      </c>
      <c r="C514" s="277">
        <v>135408622.71509153</v>
      </c>
      <c r="D514" s="278"/>
      <c r="E514" s="278">
        <v>27442532.878600001</v>
      </c>
      <c r="F514" s="279">
        <v>59576.925674883802</v>
      </c>
      <c r="G514" s="280">
        <f t="shared" si="62"/>
        <v>149070312.22871664</v>
      </c>
      <c r="H514" s="290">
        <v>29.182148860643917</v>
      </c>
      <c r="I514" s="288">
        <f t="shared" si="64"/>
        <v>3.4267524464198576E-2</v>
      </c>
      <c r="J514" s="283">
        <f t="shared" si="61"/>
        <v>5108270.571183268</v>
      </c>
      <c r="K514" s="311">
        <v>5108324.8810189888</v>
      </c>
      <c r="L514" s="291">
        <f t="shared" si="65"/>
        <v>54.309835720807314</v>
      </c>
      <c r="M514" s="289">
        <f t="shared" si="63"/>
        <v>1.0631633066762543E-5</v>
      </c>
    </row>
    <row r="515" spans="1:13" x14ac:dyDescent="0.2">
      <c r="A515" s="150">
        <v>1850</v>
      </c>
      <c r="B515" s="276" t="s">
        <v>123</v>
      </c>
      <c r="C515" s="277">
        <v>68229094.355065256</v>
      </c>
      <c r="D515" s="278"/>
      <c r="E515" s="278">
        <v>6593246.4648000002</v>
      </c>
      <c r="F515" s="279">
        <v>341095.97876545961</v>
      </c>
      <c r="G515" s="280">
        <f t="shared" si="62"/>
        <v>71184621.608699799</v>
      </c>
      <c r="H515" s="290">
        <v>20.33130719025009</v>
      </c>
      <c r="I515" s="288">
        <f t="shared" si="64"/>
        <v>4.9185228998927896E-2</v>
      </c>
      <c r="J515" s="283">
        <f t="shared" si="61"/>
        <v>3501231.9150259309</v>
      </c>
      <c r="K515" s="311">
        <v>3518431.1437735395</v>
      </c>
      <c r="L515" s="291">
        <f t="shared" si="65"/>
        <v>17199.228747608606</v>
      </c>
      <c r="M515" s="289">
        <f t="shared" si="63"/>
        <v>4.8883232454457887E-3</v>
      </c>
    </row>
    <row r="516" spans="1:13" x14ac:dyDescent="0.2">
      <c r="A516" s="150">
        <v>1855</v>
      </c>
      <c r="B516" s="276" t="s">
        <v>124</v>
      </c>
      <c r="C516" s="277">
        <v>58194584.095866784</v>
      </c>
      <c r="D516" s="278"/>
      <c r="E516" s="278">
        <v>5964738.6140000001</v>
      </c>
      <c r="F516" s="279">
        <v>0</v>
      </c>
      <c r="G516" s="280">
        <f t="shared" si="62"/>
        <v>61176953.402866781</v>
      </c>
      <c r="H516" s="290">
        <v>32.096110566763123</v>
      </c>
      <c r="I516" s="288">
        <f t="shared" si="64"/>
        <v>3.1156423078737217E-2</v>
      </c>
      <c r="J516" s="283">
        <f t="shared" si="61"/>
        <v>1906055.0428879098</v>
      </c>
      <c r="K516" s="311">
        <v>1905307.6078368251</v>
      </c>
      <c r="L516" s="291">
        <f t="shared" si="65"/>
        <v>-747.43505108472891</v>
      </c>
      <c r="M516" s="289">
        <f t="shared" si="63"/>
        <v>-3.9229101275322308E-4</v>
      </c>
    </row>
    <row r="517" spans="1:13" x14ac:dyDescent="0.2">
      <c r="A517" s="150">
        <v>1860</v>
      </c>
      <c r="B517" s="276" t="s">
        <v>125</v>
      </c>
      <c r="C517" s="277">
        <v>2242016.6311789029</v>
      </c>
      <c r="D517" s="278"/>
      <c r="E517" s="278">
        <v>620216.17980000004</v>
      </c>
      <c r="F517" s="279">
        <v>2443.5301985205788</v>
      </c>
      <c r="G517" s="280">
        <f t="shared" si="62"/>
        <v>2549681.1908803824</v>
      </c>
      <c r="H517" s="290">
        <v>15.162682558193108</v>
      </c>
      <c r="I517" s="288">
        <f t="shared" si="64"/>
        <v>6.5951390604009785E-2</v>
      </c>
      <c r="J517" s="283">
        <f t="shared" si="61"/>
        <v>168155.02013544893</v>
      </c>
      <c r="K517" s="311">
        <v>167392.87454691771</v>
      </c>
      <c r="L517" s="291">
        <f t="shared" si="65"/>
        <v>-762.14558853121707</v>
      </c>
      <c r="M517" s="289">
        <f t="shared" si="63"/>
        <v>-4.5530348325406112E-3</v>
      </c>
    </row>
    <row r="518" spans="1:13" x14ac:dyDescent="0.2">
      <c r="A518" s="150">
        <v>1860</v>
      </c>
      <c r="B518" s="276" t="s">
        <v>126</v>
      </c>
      <c r="C518" s="277">
        <v>10321531.451068565</v>
      </c>
      <c r="D518" s="278"/>
      <c r="E518" s="278">
        <v>7619798.7804000005</v>
      </c>
      <c r="F518" s="279">
        <v>15771.773673678748</v>
      </c>
      <c r="G518" s="280">
        <f t="shared" si="62"/>
        <v>14115659.067594886</v>
      </c>
      <c r="H518" s="290">
        <v>9.9782304688764505</v>
      </c>
      <c r="I518" s="288">
        <f t="shared" si="64"/>
        <v>0.10021817025765692</v>
      </c>
      <c r="J518" s="283">
        <f t="shared" si="61"/>
        <v>1414645.5237352632</v>
      </c>
      <c r="K518" s="311">
        <v>1422537.408480701</v>
      </c>
      <c r="L518" s="291">
        <f t="shared" si="65"/>
        <v>7891.8847454378847</v>
      </c>
      <c r="M518" s="289">
        <f t="shared" si="63"/>
        <v>5.5477519947026059E-3</v>
      </c>
    </row>
    <row r="519" spans="1:13" x14ac:dyDescent="0.2">
      <c r="A519" s="150">
        <v>1865</v>
      </c>
      <c r="B519" s="276" t="s">
        <v>127</v>
      </c>
      <c r="C519" s="277">
        <v>0</v>
      </c>
      <c r="D519" s="278"/>
      <c r="E519" s="278">
        <v>0</v>
      </c>
      <c r="F519" s="279">
        <v>0</v>
      </c>
      <c r="G519" s="280">
        <f t="shared" si="62"/>
        <v>0</v>
      </c>
      <c r="H519" s="290"/>
      <c r="I519" s="288">
        <f t="shared" si="64"/>
        <v>0</v>
      </c>
      <c r="J519" s="283">
        <f t="shared" si="61"/>
        <v>0</v>
      </c>
      <c r="K519" s="311">
        <v>0</v>
      </c>
      <c r="L519" s="291">
        <f t="shared" si="65"/>
        <v>0</v>
      </c>
      <c r="M519" s="289">
        <f t="shared" si="63"/>
        <v>0</v>
      </c>
    </row>
    <row r="520" spans="1:13" x14ac:dyDescent="0.2">
      <c r="A520" s="150">
        <v>1905</v>
      </c>
      <c r="B520" s="276" t="s">
        <v>113</v>
      </c>
      <c r="C520" s="277">
        <v>1195031.2999999998</v>
      </c>
      <c r="D520" s="278"/>
      <c r="E520" s="278">
        <v>0</v>
      </c>
      <c r="F520" s="279">
        <v>0</v>
      </c>
      <c r="G520" s="280">
        <f t="shared" si="62"/>
        <v>1195031.2999999998</v>
      </c>
      <c r="H520" s="290"/>
      <c r="I520" s="288">
        <f t="shared" si="64"/>
        <v>0</v>
      </c>
      <c r="J520" s="283">
        <f t="shared" si="61"/>
        <v>0</v>
      </c>
      <c r="K520" s="311">
        <v>0</v>
      </c>
      <c r="L520" s="291">
        <f t="shared" si="65"/>
        <v>0</v>
      </c>
      <c r="M520" s="289">
        <f t="shared" si="63"/>
        <v>0</v>
      </c>
    </row>
    <row r="521" spans="1:13" x14ac:dyDescent="0.2">
      <c r="A521" s="150">
        <v>1908</v>
      </c>
      <c r="B521" s="276" t="s">
        <v>128</v>
      </c>
      <c r="C521" s="277">
        <v>17176817.357330501</v>
      </c>
      <c r="D521" s="278"/>
      <c r="E521" s="278">
        <v>5418315.7800000003</v>
      </c>
      <c r="F521" s="279">
        <v>0</v>
      </c>
      <c r="G521" s="280">
        <f t="shared" si="62"/>
        <v>19885975.247330502</v>
      </c>
      <c r="H521" s="290">
        <v>14.411674554174937</v>
      </c>
      <c r="I521" s="288">
        <f t="shared" si="64"/>
        <v>6.938818915462594E-2</v>
      </c>
      <c r="J521" s="283">
        <f t="shared" si="61"/>
        <v>1379851.8119859782</v>
      </c>
      <c r="K521" s="311">
        <v>1379566.3980514156</v>
      </c>
      <c r="L521" s="291">
        <f t="shared" si="65"/>
        <v>-285.41393456258811</v>
      </c>
      <c r="M521" s="289">
        <f t="shared" si="63"/>
        <v>-2.0688669640382972E-4</v>
      </c>
    </row>
    <row r="522" spans="1:13" x14ac:dyDescent="0.2">
      <c r="A522" s="150">
        <v>1910</v>
      </c>
      <c r="B522" s="276" t="s">
        <v>115</v>
      </c>
      <c r="C522" s="277">
        <v>0</v>
      </c>
      <c r="D522" s="278"/>
      <c r="E522" s="278">
        <v>0</v>
      </c>
      <c r="F522" s="279">
        <v>0</v>
      </c>
      <c r="G522" s="280">
        <f t="shared" si="62"/>
        <v>0</v>
      </c>
      <c r="H522" s="290"/>
      <c r="I522" s="288">
        <f t="shared" si="64"/>
        <v>0</v>
      </c>
      <c r="J522" s="283">
        <f t="shared" si="61"/>
        <v>0</v>
      </c>
      <c r="K522" s="311">
        <v>0</v>
      </c>
      <c r="L522" s="291">
        <f t="shared" si="65"/>
        <v>0</v>
      </c>
      <c r="M522" s="289">
        <f t="shared" si="63"/>
        <v>0</v>
      </c>
    </row>
    <row r="523" spans="1:13" x14ac:dyDescent="0.2">
      <c r="A523" s="150">
        <v>1915</v>
      </c>
      <c r="B523" s="276" t="s">
        <v>129</v>
      </c>
      <c r="C523" s="277">
        <v>3523726.7070989031</v>
      </c>
      <c r="D523" s="278"/>
      <c r="E523" s="278">
        <v>0</v>
      </c>
      <c r="F523" s="279">
        <v>0</v>
      </c>
      <c r="G523" s="280">
        <f t="shared" si="62"/>
        <v>3523726.7070989031</v>
      </c>
      <c r="H523" s="290">
        <v>7.7364214862669867</v>
      </c>
      <c r="I523" s="288">
        <f t="shared" si="64"/>
        <v>0.12925872792415871</v>
      </c>
      <c r="J523" s="283">
        <f t="shared" si="61"/>
        <v>455472.43171198881</v>
      </c>
      <c r="K523" s="311">
        <v>455502.98757671239</v>
      </c>
      <c r="L523" s="291">
        <f t="shared" si="65"/>
        <v>30.555864723573904</v>
      </c>
      <c r="M523" s="289">
        <f t="shared" si="63"/>
        <v>6.7081590147480462E-5</v>
      </c>
    </row>
    <row r="524" spans="1:13" x14ac:dyDescent="0.2">
      <c r="A524" s="150">
        <v>1915</v>
      </c>
      <c r="B524" s="276" t="s">
        <v>130</v>
      </c>
      <c r="C524" s="277">
        <v>0</v>
      </c>
      <c r="D524" s="278"/>
      <c r="E524" s="278">
        <v>0</v>
      </c>
      <c r="F524" s="279">
        <v>0</v>
      </c>
      <c r="G524" s="280">
        <f t="shared" si="62"/>
        <v>0</v>
      </c>
      <c r="H524" s="290"/>
      <c r="I524" s="288">
        <f t="shared" si="64"/>
        <v>0</v>
      </c>
      <c r="J524" s="283">
        <f t="shared" si="61"/>
        <v>0</v>
      </c>
      <c r="K524" s="311">
        <v>0</v>
      </c>
      <c r="L524" s="291">
        <f t="shared" si="65"/>
        <v>0</v>
      </c>
      <c r="M524" s="289">
        <f t="shared" si="63"/>
        <v>0</v>
      </c>
    </row>
    <row r="525" spans="1:13" x14ac:dyDescent="0.2">
      <c r="A525" s="150">
        <v>1920</v>
      </c>
      <c r="B525" s="276" t="s">
        <v>131</v>
      </c>
      <c r="C525" s="277">
        <v>5980700.3449839279</v>
      </c>
      <c r="D525" s="278"/>
      <c r="E525" s="278">
        <v>3466580.74</v>
      </c>
      <c r="F525" s="279">
        <v>0</v>
      </c>
      <c r="G525" s="280">
        <f t="shared" si="62"/>
        <v>7713990.714983928</v>
      </c>
      <c r="H525" s="290">
        <v>3.0186528886834885</v>
      </c>
      <c r="I525" s="288">
        <f t="shared" si="64"/>
        <v>0.33127359682488222</v>
      </c>
      <c r="J525" s="283">
        <f t="shared" si="61"/>
        <v>2555441.4500264707</v>
      </c>
      <c r="K525" s="311">
        <v>2555441.4517839267</v>
      </c>
      <c r="L525" s="291">
        <f t="shared" si="65"/>
        <v>1.7574559897184372E-3</v>
      </c>
      <c r="M525" s="289">
        <f t="shared" si="63"/>
        <v>6.8773087659338688E-10</v>
      </c>
    </row>
    <row r="526" spans="1:13" x14ac:dyDescent="0.2">
      <c r="A526" s="150">
        <v>1920</v>
      </c>
      <c r="B526" s="276" t="s">
        <v>132</v>
      </c>
      <c r="C526" s="277">
        <v>0</v>
      </c>
      <c r="D526" s="278"/>
      <c r="E526" s="278">
        <v>0</v>
      </c>
      <c r="F526" s="279">
        <v>0</v>
      </c>
      <c r="G526" s="280">
        <f t="shared" si="62"/>
        <v>0</v>
      </c>
      <c r="H526" s="290"/>
      <c r="I526" s="288">
        <f t="shared" si="64"/>
        <v>0</v>
      </c>
      <c r="J526" s="283">
        <f t="shared" si="61"/>
        <v>0</v>
      </c>
      <c r="K526" s="311">
        <v>0</v>
      </c>
      <c r="L526" s="291">
        <f t="shared" si="65"/>
        <v>0</v>
      </c>
      <c r="M526" s="292">
        <f t="shared" si="63"/>
        <v>0</v>
      </c>
    </row>
    <row r="527" spans="1:13" x14ac:dyDescent="0.2">
      <c r="A527" s="150">
        <v>1920</v>
      </c>
      <c r="B527" s="276" t="s">
        <v>133</v>
      </c>
      <c r="C527" s="277">
        <v>0</v>
      </c>
      <c r="D527" s="278"/>
      <c r="E527" s="278">
        <v>0</v>
      </c>
      <c r="F527" s="279">
        <v>0</v>
      </c>
      <c r="G527" s="280">
        <f t="shared" si="62"/>
        <v>0</v>
      </c>
      <c r="H527" s="290"/>
      <c r="I527" s="288">
        <f t="shared" si="64"/>
        <v>0</v>
      </c>
      <c r="J527" s="283">
        <f t="shared" si="61"/>
        <v>0</v>
      </c>
      <c r="K527" s="311">
        <v>0</v>
      </c>
      <c r="L527" s="291">
        <f t="shared" si="65"/>
        <v>0</v>
      </c>
      <c r="M527" s="292">
        <f t="shared" si="63"/>
        <v>0</v>
      </c>
    </row>
    <row r="528" spans="1:13" x14ac:dyDescent="0.2">
      <c r="A528" s="150">
        <v>1930</v>
      </c>
      <c r="B528" s="276" t="s">
        <v>134</v>
      </c>
      <c r="C528" s="277">
        <v>13221061.506091235</v>
      </c>
      <c r="D528" s="278"/>
      <c r="E528" s="278">
        <v>4637444</v>
      </c>
      <c r="F528" s="279">
        <v>0</v>
      </c>
      <c r="G528" s="280">
        <f t="shared" si="62"/>
        <v>15539783.506091235</v>
      </c>
      <c r="H528" s="290">
        <v>7.1844610885944888</v>
      </c>
      <c r="I528" s="288">
        <f t="shared" si="64"/>
        <v>0.1391892847171968</v>
      </c>
      <c r="J528" s="283">
        <f t="shared" si="61"/>
        <v>2162971.3508729315</v>
      </c>
      <c r="K528" s="311">
        <v>2163326.9344000909</v>
      </c>
      <c r="L528" s="291">
        <f t="shared" si="65"/>
        <v>355.58352715941146</v>
      </c>
      <c r="M528" s="289">
        <f t="shared" si="63"/>
        <v>1.6436883464311777E-4</v>
      </c>
    </row>
    <row r="529" spans="1:13" x14ac:dyDescent="0.2">
      <c r="A529" s="150">
        <v>1935</v>
      </c>
      <c r="B529" s="276" t="s">
        <v>135</v>
      </c>
      <c r="C529" s="277">
        <v>0</v>
      </c>
      <c r="D529" s="278"/>
      <c r="E529" s="278">
        <v>0</v>
      </c>
      <c r="F529" s="279">
        <v>0</v>
      </c>
      <c r="G529" s="280">
        <f t="shared" si="62"/>
        <v>0</v>
      </c>
      <c r="H529" s="290">
        <v>0</v>
      </c>
      <c r="I529" s="288">
        <f t="shared" si="64"/>
        <v>0</v>
      </c>
      <c r="J529" s="283">
        <f t="shared" si="61"/>
        <v>0</v>
      </c>
      <c r="K529" s="311">
        <v>0</v>
      </c>
      <c r="L529" s="291">
        <f t="shared" si="65"/>
        <v>0</v>
      </c>
      <c r="M529" s="289">
        <f t="shared" si="63"/>
        <v>0</v>
      </c>
    </row>
    <row r="530" spans="1:13" x14ac:dyDescent="0.2">
      <c r="A530" s="150">
        <v>1940</v>
      </c>
      <c r="B530" s="276" t="s">
        <v>136</v>
      </c>
      <c r="C530" s="277">
        <v>3233806.1785416794</v>
      </c>
      <c r="D530" s="278"/>
      <c r="E530" s="278">
        <v>1351163.88</v>
      </c>
      <c r="F530" s="279">
        <v>0</v>
      </c>
      <c r="G530" s="280">
        <f t="shared" si="62"/>
        <v>3909388.1185416793</v>
      </c>
      <c r="H530" s="290">
        <v>7.2187622222263554</v>
      </c>
      <c r="I530" s="288">
        <f t="shared" si="64"/>
        <v>0.13852790398345988</v>
      </c>
      <c r="J530" s="283">
        <f t="shared" si="61"/>
        <v>541559.34191942064</v>
      </c>
      <c r="K530" s="311">
        <v>539097.28207121918</v>
      </c>
      <c r="L530" s="291">
        <f t="shared" si="65"/>
        <v>-2462.0598482014611</v>
      </c>
      <c r="M530" s="292">
        <f t="shared" si="63"/>
        <v>-4.5670047505010471E-3</v>
      </c>
    </row>
    <row r="531" spans="1:13" x14ac:dyDescent="0.2">
      <c r="A531" s="150">
        <v>1945</v>
      </c>
      <c r="B531" s="276" t="s">
        <v>137</v>
      </c>
      <c r="C531" s="277">
        <v>8695.489629760239</v>
      </c>
      <c r="D531" s="278"/>
      <c r="E531" s="278">
        <v>0</v>
      </c>
      <c r="F531" s="279">
        <v>0</v>
      </c>
      <c r="G531" s="280">
        <f t="shared" si="62"/>
        <v>8695.489629760239</v>
      </c>
      <c r="H531" s="290">
        <v>3.3041381690251415</v>
      </c>
      <c r="I531" s="288">
        <f t="shared" si="64"/>
        <v>0.30265078179071481</v>
      </c>
      <c r="J531" s="283">
        <f t="shared" si="61"/>
        <v>2631.6967344999894</v>
      </c>
      <c r="K531" s="311">
        <v>2634.1202470000003</v>
      </c>
      <c r="L531" s="291">
        <f t="shared" si="65"/>
        <v>2.4235125000109292</v>
      </c>
      <c r="M531" s="289">
        <f t="shared" si="63"/>
        <v>9.2004626697322108E-4</v>
      </c>
    </row>
    <row r="532" spans="1:13" x14ac:dyDescent="0.2">
      <c r="A532" s="150">
        <v>1950</v>
      </c>
      <c r="B532" s="276" t="s">
        <v>138</v>
      </c>
      <c r="C532" s="277">
        <v>0</v>
      </c>
      <c r="D532" s="278"/>
      <c r="E532" s="278">
        <v>0</v>
      </c>
      <c r="F532" s="279">
        <v>0</v>
      </c>
      <c r="G532" s="280">
        <f t="shared" si="62"/>
        <v>0</v>
      </c>
      <c r="H532" s="290"/>
      <c r="I532" s="288">
        <f t="shared" si="64"/>
        <v>0</v>
      </c>
      <c r="J532" s="283">
        <f t="shared" si="61"/>
        <v>0</v>
      </c>
      <c r="K532" s="311">
        <v>0</v>
      </c>
      <c r="L532" s="291">
        <f t="shared" si="65"/>
        <v>0</v>
      </c>
      <c r="M532" s="292">
        <f t="shared" si="63"/>
        <v>0</v>
      </c>
    </row>
    <row r="533" spans="1:13" x14ac:dyDescent="0.2">
      <c r="A533" s="150">
        <v>1955</v>
      </c>
      <c r="B533" s="276" t="s">
        <v>139</v>
      </c>
      <c r="C533" s="277">
        <v>139966.86870630085</v>
      </c>
      <c r="D533" s="278"/>
      <c r="E533" s="278">
        <v>0</v>
      </c>
      <c r="F533" s="279">
        <v>0</v>
      </c>
      <c r="G533" s="280">
        <f t="shared" si="62"/>
        <v>139966.86870630085</v>
      </c>
      <c r="H533" s="290">
        <v>2.9066463728266707</v>
      </c>
      <c r="I533" s="288">
        <f t="shared" si="64"/>
        <v>0.34403909926872694</v>
      </c>
      <c r="J533" s="283">
        <f t="shared" si="61"/>
        <v>48154.075437179905</v>
      </c>
      <c r="K533" s="311">
        <v>48180.180200000003</v>
      </c>
      <c r="L533" s="291">
        <f t="shared" si="65"/>
        <v>26.104762820097676</v>
      </c>
      <c r="M533" s="292">
        <f t="shared" si="63"/>
        <v>5.4181538366470609E-4</v>
      </c>
    </row>
    <row r="534" spans="1:13" x14ac:dyDescent="0.2">
      <c r="A534" s="150">
        <v>1955</v>
      </c>
      <c r="B534" s="276" t="s">
        <v>140</v>
      </c>
      <c r="C534" s="277">
        <v>0</v>
      </c>
      <c r="D534" s="278"/>
      <c r="E534" s="278">
        <v>0</v>
      </c>
      <c r="F534" s="279">
        <v>0</v>
      </c>
      <c r="G534" s="280">
        <f t="shared" si="62"/>
        <v>0</v>
      </c>
      <c r="H534" s="290"/>
      <c r="I534" s="288">
        <f t="shared" si="64"/>
        <v>0</v>
      </c>
      <c r="J534" s="283">
        <f t="shared" si="61"/>
        <v>0</v>
      </c>
      <c r="K534" s="311">
        <v>0</v>
      </c>
      <c r="L534" s="291">
        <f t="shared" si="65"/>
        <v>0</v>
      </c>
      <c r="M534" s="289">
        <f t="shared" si="63"/>
        <v>0</v>
      </c>
    </row>
    <row r="535" spans="1:13" x14ac:dyDescent="0.2">
      <c r="A535" s="150">
        <v>1960</v>
      </c>
      <c r="B535" s="276" t="s">
        <v>141</v>
      </c>
      <c r="C535" s="277">
        <v>23646.682737534225</v>
      </c>
      <c r="D535" s="278"/>
      <c r="E535" s="278">
        <v>0</v>
      </c>
      <c r="F535" s="279">
        <v>0</v>
      </c>
      <c r="G535" s="280">
        <f t="shared" si="62"/>
        <v>23646.682737534225</v>
      </c>
      <c r="H535" s="290">
        <v>1.9986569477020624</v>
      </c>
      <c r="I535" s="288">
        <f t="shared" si="64"/>
        <v>0.50033598869968199</v>
      </c>
      <c r="J535" s="283">
        <f t="shared" si="61"/>
        <v>11831.28638695189</v>
      </c>
      <c r="K535" s="311">
        <v>11837.189690410958</v>
      </c>
      <c r="L535" s="291">
        <f t="shared" si="65"/>
        <v>5.903303459068411</v>
      </c>
      <c r="M535" s="292">
        <f t="shared" si="63"/>
        <v>4.9870819117231392E-4</v>
      </c>
    </row>
    <row r="536" spans="1:13" x14ac:dyDescent="0.2">
      <c r="A536" s="150">
        <v>1970</v>
      </c>
      <c r="B536" s="293" t="s">
        <v>142</v>
      </c>
      <c r="C536" s="277">
        <v>0</v>
      </c>
      <c r="D536" s="278"/>
      <c r="E536" s="278">
        <v>0</v>
      </c>
      <c r="F536" s="279">
        <v>0</v>
      </c>
      <c r="G536" s="280">
        <f t="shared" si="62"/>
        <v>0</v>
      </c>
      <c r="H536" s="290"/>
      <c r="I536" s="288">
        <f t="shared" si="64"/>
        <v>0</v>
      </c>
      <c r="J536" s="283">
        <f t="shared" si="61"/>
        <v>0</v>
      </c>
      <c r="K536" s="311">
        <v>0</v>
      </c>
      <c r="L536" s="291">
        <f t="shared" si="65"/>
        <v>0</v>
      </c>
      <c r="M536" s="292">
        <f t="shared" si="63"/>
        <v>0</v>
      </c>
    </row>
    <row r="537" spans="1:13" x14ac:dyDescent="0.2">
      <c r="A537" s="150">
        <v>1975</v>
      </c>
      <c r="B537" s="276" t="s">
        <v>143</v>
      </c>
      <c r="C537" s="277">
        <v>0</v>
      </c>
      <c r="D537" s="278"/>
      <c r="E537" s="278">
        <v>0</v>
      </c>
      <c r="F537" s="279">
        <v>0</v>
      </c>
      <c r="G537" s="280">
        <f t="shared" si="62"/>
        <v>0</v>
      </c>
      <c r="H537" s="290"/>
      <c r="I537" s="288">
        <f t="shared" si="64"/>
        <v>0</v>
      </c>
      <c r="J537" s="283">
        <f t="shared" si="61"/>
        <v>0</v>
      </c>
      <c r="K537" s="311">
        <v>0</v>
      </c>
      <c r="L537" s="291">
        <f t="shared" si="65"/>
        <v>0</v>
      </c>
      <c r="M537" s="289">
        <f t="shared" si="63"/>
        <v>0</v>
      </c>
    </row>
    <row r="538" spans="1:13" x14ac:dyDescent="0.2">
      <c r="A538" s="150">
        <v>1980</v>
      </c>
      <c r="B538" s="276" t="s">
        <v>144</v>
      </c>
      <c r="C538" s="277">
        <v>5380964.8351196842</v>
      </c>
      <c r="D538" s="278"/>
      <c r="E538" s="278">
        <v>1580667.3056444447</v>
      </c>
      <c r="F538" s="279">
        <v>5431.9438257534202</v>
      </c>
      <c r="G538" s="280">
        <f t="shared" si="62"/>
        <v>6165866.5441161534</v>
      </c>
      <c r="H538" s="290">
        <v>8.6245388231430837</v>
      </c>
      <c r="I538" s="288">
        <f t="shared" si="64"/>
        <v>0.11594822871184723</v>
      </c>
      <c r="J538" s="283">
        <f t="shared" si="61"/>
        <v>714921.30426390679</v>
      </c>
      <c r="K538" s="311">
        <v>715800.8879771349</v>
      </c>
      <c r="L538" s="291">
        <f t="shared" si="65"/>
        <v>879.58371322811581</v>
      </c>
      <c r="M538" s="289">
        <f t="shared" si="63"/>
        <v>1.228810592445385E-3</v>
      </c>
    </row>
    <row r="539" spans="1:13" x14ac:dyDescent="0.2">
      <c r="A539" s="150">
        <v>1985</v>
      </c>
      <c r="B539" s="276" t="s">
        <v>145</v>
      </c>
      <c r="C539" s="277">
        <v>0</v>
      </c>
      <c r="D539" s="278"/>
      <c r="E539" s="278">
        <v>0</v>
      </c>
      <c r="F539" s="279">
        <v>0</v>
      </c>
      <c r="G539" s="280">
        <f t="shared" si="62"/>
        <v>0</v>
      </c>
      <c r="H539" s="290"/>
      <c r="I539" s="288">
        <f t="shared" si="64"/>
        <v>0</v>
      </c>
      <c r="J539" s="283">
        <f t="shared" si="61"/>
        <v>0</v>
      </c>
      <c r="K539" s="311">
        <v>0</v>
      </c>
      <c r="L539" s="291">
        <f t="shared" si="65"/>
        <v>0</v>
      </c>
      <c r="M539" s="292">
        <f t="shared" si="63"/>
        <v>0</v>
      </c>
    </row>
    <row r="540" spans="1:13" x14ac:dyDescent="0.2">
      <c r="A540" s="150">
        <v>1990</v>
      </c>
      <c r="B540" s="235" t="s">
        <v>146</v>
      </c>
      <c r="C540" s="277">
        <v>0</v>
      </c>
      <c r="D540" s="278"/>
      <c r="E540" s="278">
        <v>0</v>
      </c>
      <c r="F540" s="279">
        <v>0</v>
      </c>
      <c r="G540" s="280">
        <f t="shared" si="62"/>
        <v>0</v>
      </c>
      <c r="H540" s="290"/>
      <c r="I540" s="288">
        <f t="shared" si="64"/>
        <v>0</v>
      </c>
      <c r="J540" s="283">
        <f t="shared" si="61"/>
        <v>0</v>
      </c>
      <c r="K540" s="311">
        <v>0</v>
      </c>
      <c r="L540" s="291">
        <f t="shared" si="65"/>
        <v>0</v>
      </c>
      <c r="M540" s="289">
        <f t="shared" si="63"/>
        <v>0</v>
      </c>
    </row>
    <row r="541" spans="1:13" x14ac:dyDescent="0.2">
      <c r="A541" s="150">
        <v>1995</v>
      </c>
      <c r="B541" s="276" t="s">
        <v>147</v>
      </c>
      <c r="C541" s="277">
        <v>0</v>
      </c>
      <c r="D541" s="278"/>
      <c r="E541" s="278">
        <v>0</v>
      </c>
      <c r="F541" s="279">
        <v>0</v>
      </c>
      <c r="G541" s="280">
        <f t="shared" si="62"/>
        <v>0</v>
      </c>
      <c r="H541" s="290"/>
      <c r="I541" s="294">
        <f t="shared" si="64"/>
        <v>0</v>
      </c>
      <c r="J541" s="295">
        <f t="shared" si="61"/>
        <v>0</v>
      </c>
      <c r="K541" s="311">
        <v>0</v>
      </c>
      <c r="L541" s="291">
        <f t="shared" si="65"/>
        <v>0</v>
      </c>
      <c r="M541" s="289">
        <f t="shared" si="63"/>
        <v>0</v>
      </c>
    </row>
    <row r="542" spans="1:13" x14ac:dyDescent="0.2">
      <c r="A542" s="150">
        <v>2075</v>
      </c>
      <c r="B542" s="276" t="s">
        <v>148</v>
      </c>
      <c r="C542" s="277">
        <v>454245.12069616385</v>
      </c>
      <c r="D542" s="278"/>
      <c r="E542" s="278">
        <v>0</v>
      </c>
      <c r="F542" s="279">
        <v>0</v>
      </c>
      <c r="G542" s="280">
        <f t="shared" si="62"/>
        <v>454245.12069616385</v>
      </c>
      <c r="H542" s="290">
        <v>7.0028121791162006</v>
      </c>
      <c r="I542" s="294">
        <f t="shared" si="64"/>
        <v>0.14279977449376721</v>
      </c>
      <c r="J542" s="295">
        <f t="shared" si="61"/>
        <v>64866.100800306267</v>
      </c>
      <c r="K542" s="311">
        <v>52509.521900000007</v>
      </c>
      <c r="L542" s="291">
        <f t="shared" si="65"/>
        <v>-12356.57890030626</v>
      </c>
      <c r="M542" s="289">
        <f t="shared" si="63"/>
        <v>-0.23532072761657077</v>
      </c>
    </row>
    <row r="543" spans="1:13" x14ac:dyDescent="0.2">
      <c r="A543" s="150">
        <v>2440</v>
      </c>
      <c r="B543" s="151" t="s">
        <v>166</v>
      </c>
      <c r="C543" s="277">
        <v>-253677794.12201658</v>
      </c>
      <c r="D543" s="278"/>
      <c r="E543" s="278">
        <v>-36078284.280000001</v>
      </c>
      <c r="F543" s="279">
        <v>-68551.491666453643</v>
      </c>
      <c r="G543" s="280">
        <f t="shared" si="62"/>
        <v>-271648384.77035016</v>
      </c>
      <c r="H543" s="290">
        <v>35.378138109638627</v>
      </c>
      <c r="I543" s="294">
        <f t="shared" si="64"/>
        <v>2.8266043761289803E-2</v>
      </c>
      <c r="J543" s="295">
        <f t="shared" si="61"/>
        <v>-7678425.1316024084</v>
      </c>
      <c r="K543" s="311">
        <v>-7677587.5838314444</v>
      </c>
      <c r="L543" s="291">
        <f t="shared" si="65"/>
        <v>837.54777096398175</v>
      </c>
      <c r="M543" s="289">
        <f t="shared" si="63"/>
        <v>-1.0908996632325094E-4</v>
      </c>
    </row>
    <row r="544" spans="1:13" ht="13.5" thickBot="1" x14ac:dyDescent="0.25">
      <c r="A544" s="150">
        <v>2005</v>
      </c>
      <c r="B544" s="276" t="s">
        <v>329</v>
      </c>
      <c r="C544" s="277">
        <v>0</v>
      </c>
      <c r="D544" s="278"/>
      <c r="E544" s="278">
        <v>0</v>
      </c>
      <c r="F544" s="279">
        <v>0</v>
      </c>
      <c r="G544" s="280">
        <f t="shared" si="62"/>
        <v>0</v>
      </c>
      <c r="H544" s="297"/>
      <c r="I544" s="298">
        <f t="shared" si="64"/>
        <v>0</v>
      </c>
      <c r="J544" s="299">
        <f t="shared" si="61"/>
        <v>0</v>
      </c>
      <c r="K544" s="312">
        <v>0</v>
      </c>
      <c r="L544" s="300">
        <f t="shared" si="65"/>
        <v>0</v>
      </c>
      <c r="M544" s="301">
        <f t="shared" si="63"/>
        <v>0</v>
      </c>
    </row>
    <row r="545" spans="1:17" ht="13.5" thickBot="1" x14ac:dyDescent="0.25">
      <c r="A545" s="309"/>
      <c r="B545" s="310" t="s">
        <v>43</v>
      </c>
      <c r="C545" s="304">
        <f t="shared" ref="C545:G545" si="66">SUM(C500:C544)</f>
        <v>691341095.05184734</v>
      </c>
      <c r="D545" s="304">
        <f t="shared" si="66"/>
        <v>0</v>
      </c>
      <c r="E545" s="304">
        <f t="shared" si="66"/>
        <v>137217467.72</v>
      </c>
      <c r="F545" s="304">
        <f t="shared" si="66"/>
        <v>2500309.8548718705</v>
      </c>
      <c r="G545" s="304">
        <f t="shared" si="66"/>
        <v>757449519.05697584</v>
      </c>
      <c r="H545" s="304"/>
      <c r="I545" s="305"/>
      <c r="J545" s="304">
        <f>SUM(J500:J544)</f>
        <v>33203231.476485208</v>
      </c>
      <c r="K545" s="304">
        <f t="shared" ref="K545:L545" si="67">SUM(K500:K544)</f>
        <v>33348328.984544285</v>
      </c>
      <c r="L545" s="306">
        <f t="shared" si="67"/>
        <v>145097.50805907609</v>
      </c>
      <c r="M545" s="307">
        <f t="shared" si="63"/>
        <v>4.3509678738722834E-3</v>
      </c>
    </row>
    <row r="546" spans="1:17" x14ac:dyDescent="0.2">
      <c r="C546" s="172"/>
      <c r="E546" s="172"/>
      <c r="F546" s="172"/>
      <c r="K546" s="172"/>
    </row>
    <row r="547" spans="1:17" ht="13.5" thickBot="1" x14ac:dyDescent="0.25"/>
    <row r="548" spans="1:17" ht="18" customHeight="1" thickBot="1" x14ac:dyDescent="0.3">
      <c r="A548" s="253"/>
      <c r="B548" s="253"/>
      <c r="C548" s="253"/>
      <c r="D548" s="253"/>
      <c r="E548" s="254" t="s">
        <v>300</v>
      </c>
      <c r="F548" s="259">
        <v>2030</v>
      </c>
      <c r="G548" s="253"/>
      <c r="H548" s="253"/>
      <c r="I548" s="253"/>
      <c r="J548" s="253"/>
      <c r="K548" s="253"/>
    </row>
    <row r="549" spans="1:17" ht="13.5" thickBot="1" x14ac:dyDescent="0.25">
      <c r="A549" s="260"/>
      <c r="B549" s="260"/>
      <c r="C549" s="260"/>
      <c r="D549" s="260"/>
      <c r="E549" s="260"/>
      <c r="F549" s="260"/>
      <c r="G549" s="260"/>
      <c r="H549" s="260"/>
      <c r="I549" s="260"/>
      <c r="J549" s="260"/>
      <c r="K549" s="260"/>
      <c r="Q549" s="123">
        <v>2017</v>
      </c>
    </row>
    <row r="550" spans="1:17" ht="19.149999999999999" customHeight="1" thickBot="1" x14ac:dyDescent="0.3">
      <c r="A550" s="253"/>
      <c r="B550" s="253"/>
      <c r="C550" s="457" t="s">
        <v>301</v>
      </c>
      <c r="D550" s="458"/>
      <c r="E550" s="458"/>
      <c r="F550" s="458"/>
      <c r="G550" s="459" t="s">
        <v>302</v>
      </c>
      <c r="H550" s="460"/>
      <c r="I550" s="261" t="s">
        <v>303</v>
      </c>
      <c r="J550" s="253"/>
      <c r="K550" s="253"/>
      <c r="Q550" s="123">
        <v>2018</v>
      </c>
    </row>
    <row r="551" spans="1:17" ht="64.150000000000006" customHeight="1" thickBot="1" x14ac:dyDescent="0.25">
      <c r="A551" s="453" t="s">
        <v>304</v>
      </c>
      <c r="B551" s="455" t="s">
        <v>305</v>
      </c>
      <c r="C551" s="262" t="s">
        <v>306</v>
      </c>
      <c r="D551" s="263" t="s">
        <v>307</v>
      </c>
      <c r="E551" s="264" t="s">
        <v>308</v>
      </c>
      <c r="F551" s="265" t="s">
        <v>309</v>
      </c>
      <c r="G551" s="265" t="s">
        <v>310</v>
      </c>
      <c r="H551" s="262" t="s">
        <v>311</v>
      </c>
      <c r="I551" s="266" t="s">
        <v>312</v>
      </c>
      <c r="J551" s="267" t="s">
        <v>313</v>
      </c>
      <c r="K551" s="264" t="s">
        <v>331</v>
      </c>
      <c r="L551" s="266" t="s">
        <v>315</v>
      </c>
      <c r="M551" s="266" t="s">
        <v>316</v>
      </c>
    </row>
    <row r="552" spans="1:17" ht="13.5" thickBot="1" x14ac:dyDescent="0.25">
      <c r="A552" s="454"/>
      <c r="B552" s="456"/>
      <c r="C552" s="268" t="s">
        <v>317</v>
      </c>
      <c r="D552" s="269" t="s">
        <v>318</v>
      </c>
      <c r="E552" s="270" t="s">
        <v>319</v>
      </c>
      <c r="F552" s="270" t="s">
        <v>320</v>
      </c>
      <c r="G552" s="271" t="s">
        <v>321</v>
      </c>
      <c r="H552" s="272" t="s">
        <v>322</v>
      </c>
      <c r="I552" s="270" t="s">
        <v>323</v>
      </c>
      <c r="J552" s="268" t="s">
        <v>324</v>
      </c>
      <c r="K552" s="273" t="s">
        <v>325</v>
      </c>
      <c r="L552" s="271" t="s">
        <v>326</v>
      </c>
      <c r="M552" s="274" t="s">
        <v>327</v>
      </c>
    </row>
    <row r="553" spans="1:17" ht="13.5" thickBot="1" x14ac:dyDescent="0.25">
      <c r="A553" s="275">
        <v>1609</v>
      </c>
      <c r="B553" s="276" t="s">
        <v>108</v>
      </c>
      <c r="C553" s="277">
        <v>19718659.939682879</v>
      </c>
      <c r="D553" s="278"/>
      <c r="E553" s="278">
        <v>0</v>
      </c>
      <c r="F553" s="279">
        <v>0</v>
      </c>
      <c r="G553" s="280">
        <f>C553-D553+(E553*0.5)-F553</f>
        <v>19718659.939682879</v>
      </c>
      <c r="H553" s="281">
        <v>14.329656876973457</v>
      </c>
      <c r="I553" s="282">
        <f>IF(H553=0,0,1/H553)</f>
        <v>6.9785341588109839E-2</v>
      </c>
      <c r="J553" s="283">
        <f t="shared" ref="J553:J597" si="68">IF(H553=0,0,+G553/H553)</f>
        <v>1376073.4195505471</v>
      </c>
      <c r="K553" s="284">
        <v>1376029.3467436</v>
      </c>
      <c r="L553" s="285">
        <f>IF(ISERROR(+K553-J553), 0, +K553-J553)</f>
        <v>-44.0728069471661</v>
      </c>
      <c r="M553" s="286">
        <f>IFERROR(L553/K553,0)</f>
        <v>-3.202897311126776E-5</v>
      </c>
    </row>
    <row r="554" spans="1:17" x14ac:dyDescent="0.2">
      <c r="A554" s="275">
        <v>1610</v>
      </c>
      <c r="B554" s="287" t="s">
        <v>328</v>
      </c>
      <c r="C554" s="277">
        <v>163332.18895451911</v>
      </c>
      <c r="D554" s="278"/>
      <c r="E554" s="278">
        <v>0</v>
      </c>
      <c r="F554" s="279">
        <v>0</v>
      </c>
      <c r="G554" s="280">
        <f>C554-D554+(E554*0.5)-F554</f>
        <v>163332.18895451911</v>
      </c>
      <c r="H554" s="281">
        <v>3.4986301369863018</v>
      </c>
      <c r="I554" s="282">
        <f>IF(H554=0,0,1/H554)</f>
        <v>0.28582615505090053</v>
      </c>
      <c r="J554" s="283">
        <f t="shared" si="68"/>
        <v>46684.611564917359</v>
      </c>
      <c r="K554" s="284">
        <v>46684.611599999997</v>
      </c>
      <c r="L554" s="285">
        <f>IF(ISERROR(+K554-J554), 0, +K554-J554)</f>
        <v>3.5082637623418123E-5</v>
      </c>
      <c r="M554" s="286">
        <f>IFERROR(L554/K554,0)</f>
        <v>7.5148183568519018E-10</v>
      </c>
    </row>
    <row r="555" spans="1:17" x14ac:dyDescent="0.2">
      <c r="A555" s="234">
        <v>1611</v>
      </c>
      <c r="B555" s="287" t="s">
        <v>111</v>
      </c>
      <c r="C555" s="277">
        <v>2803464.5746666715</v>
      </c>
      <c r="D555" s="278"/>
      <c r="E555" s="278">
        <v>2839828.44</v>
      </c>
      <c r="F555" s="279">
        <v>0</v>
      </c>
      <c r="G555" s="280">
        <f t="shared" ref="G555:G597" si="69">C555-D555+(E555*0.5)-F555</f>
        <v>4223378.7946666712</v>
      </c>
      <c r="H555" s="281">
        <v>2.0106377534352862</v>
      </c>
      <c r="I555" s="288">
        <f>IF(H555=0,0,1/H555)</f>
        <v>0.49735463202729807</v>
      </c>
      <c r="J555" s="283">
        <f t="shared" si="68"/>
        <v>2100517.0063333358</v>
      </c>
      <c r="K555" s="311">
        <v>2100517.0063333334</v>
      </c>
      <c r="L555" s="285">
        <f>IF(ISERROR(+K555-J555), 0, +K555-J555)</f>
        <v>-2.3283064365386963E-9</v>
      </c>
      <c r="M555" s="289">
        <f t="shared" ref="M555:M598" si="70">IFERROR(L555/K555,0)</f>
        <v>-1.1084444589206124E-15</v>
      </c>
    </row>
    <row r="556" spans="1:17" x14ac:dyDescent="0.2">
      <c r="A556" s="150">
        <v>1612</v>
      </c>
      <c r="B556" s="276" t="s">
        <v>112</v>
      </c>
      <c r="C556" s="277">
        <v>271001.23057753453</v>
      </c>
      <c r="D556" s="278"/>
      <c r="E556" s="278">
        <v>0</v>
      </c>
      <c r="F556" s="279">
        <v>0</v>
      </c>
      <c r="G556" s="280">
        <f t="shared" si="69"/>
        <v>271001.23057753453</v>
      </c>
      <c r="H556" s="290">
        <v>22.01663280784107</v>
      </c>
      <c r="I556" s="288">
        <f t="shared" ref="I556:I597" si="71">IF(H556=0,0,1/H556)</f>
        <v>4.5420206110893445E-2</v>
      </c>
      <c r="J556" s="283">
        <f t="shared" si="68"/>
        <v>12308.931749137377</v>
      </c>
      <c r="K556" s="311">
        <v>12301.7492</v>
      </c>
      <c r="L556" s="291">
        <f t="shared" ref="L556:L597" si="72">IF(ISERROR(+K556-J556), 0, +K556-J556)</f>
        <v>-7.1825491373765544</v>
      </c>
      <c r="M556" s="289">
        <f t="shared" si="70"/>
        <v>-5.8386405222572366E-4</v>
      </c>
    </row>
    <row r="557" spans="1:17" x14ac:dyDescent="0.2">
      <c r="A557" s="150">
        <v>1612</v>
      </c>
      <c r="B557" s="276" t="s">
        <v>330</v>
      </c>
      <c r="C557" s="277">
        <v>3841402</v>
      </c>
      <c r="D557" s="278"/>
      <c r="E557" s="278"/>
      <c r="F557" s="279"/>
      <c r="G557" s="280">
        <f t="shared" si="69"/>
        <v>3841402</v>
      </c>
      <c r="H557" s="290"/>
      <c r="I557" s="288">
        <f t="shared" si="71"/>
        <v>0</v>
      </c>
      <c r="J557" s="283">
        <f t="shared" si="68"/>
        <v>0</v>
      </c>
      <c r="K557" s="284"/>
      <c r="L557" s="291">
        <f t="shared" si="72"/>
        <v>0</v>
      </c>
      <c r="M557" s="289">
        <f t="shared" si="70"/>
        <v>0</v>
      </c>
    </row>
    <row r="558" spans="1:17" x14ac:dyDescent="0.2">
      <c r="A558" s="150">
        <v>1805</v>
      </c>
      <c r="B558" s="276" t="s">
        <v>113</v>
      </c>
      <c r="C558" s="277">
        <v>4190619.8899999997</v>
      </c>
      <c r="D558" s="278"/>
      <c r="E558" s="278">
        <v>0</v>
      </c>
      <c r="F558" s="279">
        <v>0</v>
      </c>
      <c r="G558" s="280">
        <f t="shared" si="69"/>
        <v>4190619.8899999997</v>
      </c>
      <c r="H558" s="290"/>
      <c r="I558" s="288">
        <f t="shared" si="71"/>
        <v>0</v>
      </c>
      <c r="J558" s="283">
        <f t="shared" si="68"/>
        <v>0</v>
      </c>
      <c r="K558" s="311">
        <v>0</v>
      </c>
      <c r="L558" s="291">
        <f t="shared" si="72"/>
        <v>0</v>
      </c>
      <c r="M558" s="289">
        <f t="shared" si="70"/>
        <v>0</v>
      </c>
    </row>
    <row r="559" spans="1:17" x14ac:dyDescent="0.2">
      <c r="A559" s="150">
        <v>1808</v>
      </c>
      <c r="B559" s="276" t="s">
        <v>114</v>
      </c>
      <c r="C559" s="277">
        <v>140084.89538082178</v>
      </c>
      <c r="D559" s="278"/>
      <c r="E559" s="278">
        <v>0</v>
      </c>
      <c r="F559" s="279">
        <v>0</v>
      </c>
      <c r="G559" s="280">
        <f t="shared" si="69"/>
        <v>140084.89538082178</v>
      </c>
      <c r="H559" s="290">
        <v>14.626302547883549</v>
      </c>
      <c r="I559" s="288">
        <f t="shared" si="71"/>
        <v>6.8369979133564532E-2</v>
      </c>
      <c r="J559" s="283">
        <f t="shared" si="68"/>
        <v>9577.6013741143561</v>
      </c>
      <c r="K559" s="311">
        <v>9573.8109999999997</v>
      </c>
      <c r="L559" s="291">
        <f t="shared" si="72"/>
        <v>-3.7903741143563821</v>
      </c>
      <c r="M559" s="289">
        <f t="shared" si="70"/>
        <v>-3.9591068952127652E-4</v>
      </c>
    </row>
    <row r="560" spans="1:17" x14ac:dyDescent="0.2">
      <c r="A560" s="150">
        <v>1810</v>
      </c>
      <c r="B560" s="276" t="s">
        <v>115</v>
      </c>
      <c r="C560" s="277">
        <v>0</v>
      </c>
      <c r="D560" s="278"/>
      <c r="E560" s="278">
        <v>0</v>
      </c>
      <c r="F560" s="279">
        <v>0</v>
      </c>
      <c r="G560" s="280">
        <f t="shared" si="69"/>
        <v>0</v>
      </c>
      <c r="H560" s="290"/>
      <c r="I560" s="288">
        <f t="shared" si="71"/>
        <v>0</v>
      </c>
      <c r="J560" s="283">
        <f t="shared" si="68"/>
        <v>0</v>
      </c>
      <c r="K560" s="311">
        <v>0</v>
      </c>
      <c r="L560" s="291">
        <f t="shared" si="72"/>
        <v>0</v>
      </c>
      <c r="M560" s="289">
        <f t="shared" si="70"/>
        <v>0</v>
      </c>
    </row>
    <row r="561" spans="1:13" x14ac:dyDescent="0.2">
      <c r="A561" s="150">
        <v>1815</v>
      </c>
      <c r="B561" s="276" t="s">
        <v>116</v>
      </c>
      <c r="C561" s="277">
        <v>29416743.898032326</v>
      </c>
      <c r="D561" s="278"/>
      <c r="E561" s="278">
        <v>0</v>
      </c>
      <c r="F561" s="279">
        <v>0</v>
      </c>
      <c r="G561" s="280">
        <f t="shared" si="69"/>
        <v>29416743.898032326</v>
      </c>
      <c r="H561" s="290">
        <v>39.626667277781323</v>
      </c>
      <c r="I561" s="288">
        <f t="shared" si="71"/>
        <v>2.5235531239355576E-2</v>
      </c>
      <c r="J561" s="283">
        <f t="shared" si="68"/>
        <v>742347.15959891735</v>
      </c>
      <c r="K561" s="311">
        <v>741911.21570000006</v>
      </c>
      <c r="L561" s="291">
        <f t="shared" si="72"/>
        <v>-435.94389891729224</v>
      </c>
      <c r="M561" s="289">
        <f t="shared" si="70"/>
        <v>-5.8759577924155681E-4</v>
      </c>
    </row>
    <row r="562" spans="1:13" x14ac:dyDescent="0.2">
      <c r="A562" s="150">
        <v>1820</v>
      </c>
      <c r="B562" s="276" t="s">
        <v>117</v>
      </c>
      <c r="C562" s="277">
        <v>155849510.79266191</v>
      </c>
      <c r="D562" s="278"/>
      <c r="E562" s="278">
        <v>29558691.8266</v>
      </c>
      <c r="F562" s="279">
        <v>1638298.494364657</v>
      </c>
      <c r="G562" s="280">
        <f t="shared" si="69"/>
        <v>168990558.21159726</v>
      </c>
      <c r="H562" s="290">
        <v>33.772379468571401</v>
      </c>
      <c r="I562" s="288">
        <f t="shared" si="71"/>
        <v>2.960999537893386E-2</v>
      </c>
      <c r="J562" s="283">
        <f t="shared" si="68"/>
        <v>5003809.6477288483</v>
      </c>
      <c r="K562" s="311">
        <v>5066924.45107067</v>
      </c>
      <c r="L562" s="291">
        <f t="shared" si="72"/>
        <v>63114.803341821767</v>
      </c>
      <c r="M562" s="289">
        <f t="shared" si="70"/>
        <v>1.2456235326043839E-2</v>
      </c>
    </row>
    <row r="563" spans="1:13" x14ac:dyDescent="0.2">
      <c r="A563" s="150">
        <v>1825</v>
      </c>
      <c r="B563" s="276" t="s">
        <v>118</v>
      </c>
      <c r="C563" s="277">
        <v>0</v>
      </c>
      <c r="D563" s="278"/>
      <c r="E563" s="278">
        <v>0</v>
      </c>
      <c r="F563" s="279">
        <v>0</v>
      </c>
      <c r="G563" s="280">
        <f t="shared" si="69"/>
        <v>0</v>
      </c>
      <c r="H563" s="290"/>
      <c r="I563" s="288">
        <f t="shared" si="71"/>
        <v>0</v>
      </c>
      <c r="J563" s="283">
        <f t="shared" si="68"/>
        <v>0</v>
      </c>
      <c r="K563" s="311">
        <v>0</v>
      </c>
      <c r="L563" s="291">
        <f t="shared" si="72"/>
        <v>0</v>
      </c>
      <c r="M563" s="289">
        <f t="shared" si="70"/>
        <v>0</v>
      </c>
    </row>
    <row r="564" spans="1:13" x14ac:dyDescent="0.2">
      <c r="A564" s="150">
        <v>1830</v>
      </c>
      <c r="B564" s="276" t="s">
        <v>119</v>
      </c>
      <c r="C564" s="277">
        <v>226832865.11945698</v>
      </c>
      <c r="D564" s="278"/>
      <c r="E564" s="278">
        <v>28785121.173500001</v>
      </c>
      <c r="F564" s="279">
        <v>197844.38330390851</v>
      </c>
      <c r="G564" s="280">
        <f t="shared" si="69"/>
        <v>241027581.32290307</v>
      </c>
      <c r="H564" s="290">
        <v>32.755470490495313</v>
      </c>
      <c r="I564" s="288">
        <f t="shared" si="71"/>
        <v>3.0529251603641932E-2</v>
      </c>
      <c r="J564" s="283">
        <f t="shared" si="68"/>
        <v>7358391.6736241747</v>
      </c>
      <c r="K564" s="311">
        <v>7360024.0460889805</v>
      </c>
      <c r="L564" s="291">
        <f t="shared" si="72"/>
        <v>1632.3724648058414</v>
      </c>
      <c r="M564" s="292">
        <f t="shared" si="70"/>
        <v>2.2178901245210777E-4</v>
      </c>
    </row>
    <row r="565" spans="1:13" x14ac:dyDescent="0.2">
      <c r="A565" s="150">
        <v>1835</v>
      </c>
      <c r="B565" s="276" t="s">
        <v>120</v>
      </c>
      <c r="C565" s="277">
        <v>168457741.88049901</v>
      </c>
      <c r="D565" s="278"/>
      <c r="E565" s="278">
        <v>26535194.294500001</v>
      </c>
      <c r="F565" s="279">
        <v>110355.83230241452</v>
      </c>
      <c r="G565" s="280">
        <f t="shared" si="69"/>
        <v>181614983.19544658</v>
      </c>
      <c r="H565" s="290">
        <v>40.15048459800132</v>
      </c>
      <c r="I565" s="288">
        <f t="shared" si="71"/>
        <v>2.4906299637782695E-2</v>
      </c>
      <c r="J565" s="283">
        <f t="shared" si="68"/>
        <v>4523357.1901766621</v>
      </c>
      <c r="K565" s="311">
        <v>4587880.5876871571</v>
      </c>
      <c r="L565" s="291">
        <f t="shared" si="72"/>
        <v>64523.397510495037</v>
      </c>
      <c r="M565" s="289">
        <f t="shared" si="70"/>
        <v>1.406387901281942E-2</v>
      </c>
    </row>
    <row r="566" spans="1:13" x14ac:dyDescent="0.2">
      <c r="A566" s="150">
        <v>1840</v>
      </c>
      <c r="B566" s="276" t="s">
        <v>121</v>
      </c>
      <c r="C566" s="277">
        <v>94075431.608279303</v>
      </c>
      <c r="D566" s="278"/>
      <c r="E566" s="278">
        <v>8893148.320700001</v>
      </c>
      <c r="F566" s="279">
        <v>0</v>
      </c>
      <c r="G566" s="280">
        <f t="shared" si="69"/>
        <v>98522005.768629298</v>
      </c>
      <c r="H566" s="290">
        <v>49.461199768964406</v>
      </c>
      <c r="I566" s="288">
        <f t="shared" si="71"/>
        <v>2.0217867837234987E-2</v>
      </c>
      <c r="J566" s="283">
        <f t="shared" si="68"/>
        <v>1991904.89168945</v>
      </c>
      <c r="K566" s="311">
        <v>1991155.2826181161</v>
      </c>
      <c r="L566" s="291">
        <f t="shared" si="72"/>
        <v>-749.60907133389264</v>
      </c>
      <c r="M566" s="292">
        <f t="shared" si="70"/>
        <v>-3.7646941847159808E-4</v>
      </c>
    </row>
    <row r="567" spans="1:13" x14ac:dyDescent="0.2">
      <c r="A567" s="150">
        <v>1845</v>
      </c>
      <c r="B567" s="276" t="s">
        <v>122</v>
      </c>
      <c r="C567" s="277">
        <v>157683253.78699765</v>
      </c>
      <c r="D567" s="278"/>
      <c r="E567" s="278">
        <v>34814730.834299996</v>
      </c>
      <c r="F567" s="279">
        <v>66168.579674315828</v>
      </c>
      <c r="G567" s="280">
        <f t="shared" si="69"/>
        <v>175024450.62447333</v>
      </c>
      <c r="H567" s="290">
        <v>29.352575627338226</v>
      </c>
      <c r="I567" s="288">
        <f t="shared" si="71"/>
        <v>3.406856054800949E-2</v>
      </c>
      <c r="J567" s="283">
        <f t="shared" si="68"/>
        <v>5962831.0934819672</v>
      </c>
      <c r="K567" s="311">
        <v>5962925.7080643941</v>
      </c>
      <c r="L567" s="291">
        <f t="shared" si="72"/>
        <v>94.614582426846027</v>
      </c>
      <c r="M567" s="289">
        <f t="shared" si="70"/>
        <v>1.5867140906834902E-5</v>
      </c>
    </row>
    <row r="568" spans="1:13" x14ac:dyDescent="0.2">
      <c r="A568" s="150">
        <v>1850</v>
      </c>
      <c r="B568" s="276" t="s">
        <v>123</v>
      </c>
      <c r="C568" s="277">
        <v>70962813.697326273</v>
      </c>
      <c r="D568" s="278"/>
      <c r="E568" s="278">
        <v>6704475.5590000004</v>
      </c>
      <c r="F568" s="279">
        <v>375307.62532164808</v>
      </c>
      <c r="G568" s="280">
        <f t="shared" si="69"/>
        <v>73939743.851504639</v>
      </c>
      <c r="H568" s="290">
        <v>20.060722828443893</v>
      </c>
      <c r="I568" s="288">
        <f t="shared" si="71"/>
        <v>4.984865244148183E-2</v>
      </c>
      <c r="J568" s="283">
        <f t="shared" si="68"/>
        <v>3685796.592865848</v>
      </c>
      <c r="K568" s="311">
        <v>3690884.4249525559</v>
      </c>
      <c r="L568" s="291">
        <f t="shared" si="72"/>
        <v>5087.832086707931</v>
      </c>
      <c r="M568" s="289">
        <f t="shared" si="70"/>
        <v>1.3784858860145239E-3</v>
      </c>
    </row>
    <row r="569" spans="1:13" x14ac:dyDescent="0.2">
      <c r="A569" s="150">
        <v>1855</v>
      </c>
      <c r="B569" s="276" t="s">
        <v>124</v>
      </c>
      <c r="C569" s="277">
        <v>62254015.102029972</v>
      </c>
      <c r="D569" s="278"/>
      <c r="E569" s="278">
        <v>6283463.5779999997</v>
      </c>
      <c r="F569" s="279">
        <v>0</v>
      </c>
      <c r="G569" s="280">
        <f t="shared" si="69"/>
        <v>65395746.891029969</v>
      </c>
      <c r="H569" s="290">
        <v>32.012208394623663</v>
      </c>
      <c r="I569" s="288">
        <f t="shared" si="71"/>
        <v>3.1238082286380045E-2</v>
      </c>
      <c r="J569" s="283">
        <f t="shared" si="68"/>
        <v>2042837.7225612761</v>
      </c>
      <c r="K569" s="311">
        <v>2042062.544338421</v>
      </c>
      <c r="L569" s="291">
        <f t="shared" si="72"/>
        <v>-775.17822285508737</v>
      </c>
      <c r="M569" s="289">
        <f t="shared" si="70"/>
        <v>-3.7960552432845607E-4</v>
      </c>
    </row>
    <row r="570" spans="1:13" x14ac:dyDescent="0.2">
      <c r="A570" s="150">
        <v>1860</v>
      </c>
      <c r="B570" s="276" t="s">
        <v>125</v>
      </c>
      <c r="C570" s="277">
        <v>2692396.4062334653</v>
      </c>
      <c r="D570" s="278"/>
      <c r="E570" s="278">
        <v>633974.20940000005</v>
      </c>
      <c r="F570" s="279">
        <v>1860.2210648124828</v>
      </c>
      <c r="G570" s="280">
        <f t="shared" si="69"/>
        <v>3007523.2898686528</v>
      </c>
      <c r="H570" s="290">
        <v>15.635017436840718</v>
      </c>
      <c r="I570" s="288">
        <f t="shared" si="71"/>
        <v>6.3958994867745061E-2</v>
      </c>
      <c r="J570" s="283">
        <f t="shared" si="68"/>
        <v>192358.16666133291</v>
      </c>
      <c r="K570" s="311">
        <v>191201.94316345401</v>
      </c>
      <c r="L570" s="291">
        <f t="shared" si="72"/>
        <v>-1156.2234978789056</v>
      </c>
      <c r="M570" s="289">
        <f t="shared" si="70"/>
        <v>-6.0471325696228803E-3</v>
      </c>
    </row>
    <row r="571" spans="1:13" x14ac:dyDescent="0.2">
      <c r="A571" s="150">
        <v>1860</v>
      </c>
      <c r="B571" s="276" t="s">
        <v>126</v>
      </c>
      <c r="C571" s="277">
        <v>16503021.049314186</v>
      </c>
      <c r="D571" s="278"/>
      <c r="E571" s="278">
        <v>7788826.0011999998</v>
      </c>
      <c r="F571" s="279">
        <v>514.92213982762769</v>
      </c>
      <c r="G571" s="280">
        <f t="shared" si="69"/>
        <v>20396919.127774358</v>
      </c>
      <c r="H571" s="290">
        <v>10.824822070396559</v>
      </c>
      <c r="I571" s="288">
        <f t="shared" si="71"/>
        <v>9.2380271333491373E-2</v>
      </c>
      <c r="J571" s="283">
        <f t="shared" si="68"/>
        <v>1884272.9233910753</v>
      </c>
      <c r="K571" s="311">
        <v>1885251.7230167296</v>
      </c>
      <c r="L571" s="291">
        <f t="shared" si="72"/>
        <v>978.79962565423921</v>
      </c>
      <c r="M571" s="289">
        <f t="shared" si="70"/>
        <v>5.1918776347170768E-4</v>
      </c>
    </row>
    <row r="572" spans="1:13" x14ac:dyDescent="0.2">
      <c r="A572" s="150">
        <v>1865</v>
      </c>
      <c r="B572" s="276" t="s">
        <v>127</v>
      </c>
      <c r="C572" s="277">
        <v>0</v>
      </c>
      <c r="D572" s="278"/>
      <c r="E572" s="278">
        <v>0</v>
      </c>
      <c r="F572" s="279">
        <v>0</v>
      </c>
      <c r="G572" s="280">
        <f t="shared" si="69"/>
        <v>0</v>
      </c>
      <c r="H572" s="290"/>
      <c r="I572" s="288">
        <f t="shared" si="71"/>
        <v>0</v>
      </c>
      <c r="J572" s="283">
        <f t="shared" si="68"/>
        <v>0</v>
      </c>
      <c r="K572" s="311">
        <v>0</v>
      </c>
      <c r="L572" s="291">
        <f t="shared" si="72"/>
        <v>0</v>
      </c>
      <c r="M572" s="289">
        <f t="shared" si="70"/>
        <v>0</v>
      </c>
    </row>
    <row r="573" spans="1:13" x14ac:dyDescent="0.2">
      <c r="A573" s="150">
        <v>1905</v>
      </c>
      <c r="B573" s="276" t="s">
        <v>113</v>
      </c>
      <c r="C573" s="277">
        <v>1195031.2999999998</v>
      </c>
      <c r="D573" s="278"/>
      <c r="E573" s="278">
        <v>0</v>
      </c>
      <c r="F573" s="279">
        <v>0</v>
      </c>
      <c r="G573" s="280">
        <f t="shared" si="69"/>
        <v>1195031.2999999998</v>
      </c>
      <c r="H573" s="290"/>
      <c r="I573" s="288">
        <f t="shared" si="71"/>
        <v>0</v>
      </c>
      <c r="J573" s="283">
        <f t="shared" si="68"/>
        <v>0</v>
      </c>
      <c r="K573" s="311">
        <v>0</v>
      </c>
      <c r="L573" s="291">
        <f t="shared" si="72"/>
        <v>0</v>
      </c>
      <c r="M573" s="289">
        <f t="shared" si="70"/>
        <v>0</v>
      </c>
    </row>
    <row r="574" spans="1:13" x14ac:dyDescent="0.2">
      <c r="A574" s="150">
        <v>1908</v>
      </c>
      <c r="B574" s="276" t="s">
        <v>128</v>
      </c>
      <c r="C574" s="277">
        <v>21215566.739279088</v>
      </c>
      <c r="D574" s="278"/>
      <c r="E574" s="278">
        <v>1409679.56</v>
      </c>
      <c r="F574" s="279">
        <v>0</v>
      </c>
      <c r="G574" s="280">
        <f t="shared" si="69"/>
        <v>21920406.519279089</v>
      </c>
      <c r="H574" s="290">
        <v>13.753856503704998</v>
      </c>
      <c r="I574" s="288">
        <f t="shared" si="71"/>
        <v>7.2706880410641272E-2</v>
      </c>
      <c r="J574" s="283">
        <f t="shared" si="68"/>
        <v>1593764.375349866</v>
      </c>
      <c r="K574" s="311">
        <v>1593429.2461800002</v>
      </c>
      <c r="L574" s="291">
        <f t="shared" si="72"/>
        <v>-335.12916986574419</v>
      </c>
      <c r="M574" s="289">
        <f t="shared" si="70"/>
        <v>-2.1031945451557667E-4</v>
      </c>
    </row>
    <row r="575" spans="1:13" x14ac:dyDescent="0.2">
      <c r="A575" s="150">
        <v>1910</v>
      </c>
      <c r="B575" s="276" t="s">
        <v>115</v>
      </c>
      <c r="C575" s="277">
        <v>0</v>
      </c>
      <c r="D575" s="278"/>
      <c r="E575" s="278">
        <v>0</v>
      </c>
      <c r="F575" s="279">
        <v>0</v>
      </c>
      <c r="G575" s="280">
        <f t="shared" si="69"/>
        <v>0</v>
      </c>
      <c r="H575" s="290"/>
      <c r="I575" s="288">
        <f t="shared" si="71"/>
        <v>0</v>
      </c>
      <c r="J575" s="283">
        <f t="shared" si="68"/>
        <v>0</v>
      </c>
      <c r="K575" s="311">
        <v>0</v>
      </c>
      <c r="L575" s="291">
        <f t="shared" si="72"/>
        <v>0</v>
      </c>
      <c r="M575" s="289">
        <f t="shared" si="70"/>
        <v>0</v>
      </c>
    </row>
    <row r="576" spans="1:13" x14ac:dyDescent="0.2">
      <c r="A576" s="150">
        <v>1915</v>
      </c>
      <c r="B576" s="276" t="s">
        <v>129</v>
      </c>
      <c r="C576" s="277">
        <v>3068223.7195221907</v>
      </c>
      <c r="D576" s="278"/>
      <c r="E576" s="278">
        <v>0</v>
      </c>
      <c r="F576" s="279">
        <v>0</v>
      </c>
      <c r="G576" s="280">
        <f t="shared" si="69"/>
        <v>3068223.7195221907</v>
      </c>
      <c r="H576" s="290">
        <v>6.9619894692473672</v>
      </c>
      <c r="I576" s="288">
        <f t="shared" si="71"/>
        <v>0.14363710321844339</v>
      </c>
      <c r="J576" s="283">
        <f t="shared" si="68"/>
        <v>440710.7670982852</v>
      </c>
      <c r="K576" s="311">
        <v>440726.13079068495</v>
      </c>
      <c r="L576" s="291">
        <f t="shared" si="72"/>
        <v>15.363692399754655</v>
      </c>
      <c r="M576" s="289">
        <f t="shared" si="70"/>
        <v>3.4859953441361452E-5</v>
      </c>
    </row>
    <row r="577" spans="1:13" x14ac:dyDescent="0.2">
      <c r="A577" s="150">
        <v>1915</v>
      </c>
      <c r="B577" s="276" t="s">
        <v>130</v>
      </c>
      <c r="C577" s="277">
        <v>0</v>
      </c>
      <c r="D577" s="278"/>
      <c r="E577" s="278">
        <v>0</v>
      </c>
      <c r="F577" s="279">
        <v>0</v>
      </c>
      <c r="G577" s="280">
        <f t="shared" si="69"/>
        <v>0</v>
      </c>
      <c r="H577" s="290"/>
      <c r="I577" s="288">
        <f t="shared" si="71"/>
        <v>0</v>
      </c>
      <c r="J577" s="283">
        <f t="shared" si="68"/>
        <v>0</v>
      </c>
      <c r="K577" s="311">
        <v>0</v>
      </c>
      <c r="L577" s="291">
        <f t="shared" si="72"/>
        <v>0</v>
      </c>
      <c r="M577" s="289">
        <f t="shared" si="70"/>
        <v>0</v>
      </c>
    </row>
    <row r="578" spans="1:13" x14ac:dyDescent="0.2">
      <c r="A578" s="150">
        <v>1920</v>
      </c>
      <c r="B578" s="276" t="s">
        <v>131</v>
      </c>
      <c r="C578" s="277">
        <v>6891839.6332000047</v>
      </c>
      <c r="D578" s="278"/>
      <c r="E578" s="278">
        <v>4478007.3600000003</v>
      </c>
      <c r="F578" s="279">
        <v>0</v>
      </c>
      <c r="G578" s="280">
        <f t="shared" si="69"/>
        <v>9130843.3132000044</v>
      </c>
      <c r="H578" s="290">
        <v>3.1659465617217002</v>
      </c>
      <c r="I578" s="288">
        <f t="shared" si="71"/>
        <v>0.31586130103730542</v>
      </c>
      <c r="J578" s="283">
        <f t="shared" si="68"/>
        <v>2884080.0484751337</v>
      </c>
      <c r="K578" s="311">
        <v>2884080.0530000003</v>
      </c>
      <c r="L578" s="291">
        <f t="shared" si="72"/>
        <v>4.5248665846884251E-3</v>
      </c>
      <c r="M578" s="289">
        <f t="shared" si="70"/>
        <v>1.5689115771879111E-9</v>
      </c>
    </row>
    <row r="579" spans="1:13" x14ac:dyDescent="0.2">
      <c r="A579" s="150">
        <v>1920</v>
      </c>
      <c r="B579" s="276" t="s">
        <v>132</v>
      </c>
      <c r="C579" s="277">
        <v>0</v>
      </c>
      <c r="D579" s="278"/>
      <c r="E579" s="278">
        <v>0</v>
      </c>
      <c r="F579" s="279">
        <v>0</v>
      </c>
      <c r="G579" s="280">
        <f t="shared" si="69"/>
        <v>0</v>
      </c>
      <c r="H579" s="290"/>
      <c r="I579" s="288">
        <f t="shared" si="71"/>
        <v>0</v>
      </c>
      <c r="J579" s="283">
        <f t="shared" si="68"/>
        <v>0</v>
      </c>
      <c r="K579" s="311">
        <v>0</v>
      </c>
      <c r="L579" s="291">
        <f t="shared" si="72"/>
        <v>0</v>
      </c>
      <c r="M579" s="292">
        <f t="shared" si="70"/>
        <v>0</v>
      </c>
    </row>
    <row r="580" spans="1:13" x14ac:dyDescent="0.2">
      <c r="A580" s="150">
        <v>1920</v>
      </c>
      <c r="B580" s="276" t="s">
        <v>133</v>
      </c>
      <c r="C580" s="277">
        <v>0</v>
      </c>
      <c r="D580" s="278"/>
      <c r="E580" s="278">
        <v>0</v>
      </c>
      <c r="F580" s="279">
        <v>0</v>
      </c>
      <c r="G580" s="280">
        <f t="shared" si="69"/>
        <v>0</v>
      </c>
      <c r="H580" s="290"/>
      <c r="I580" s="288">
        <f t="shared" si="71"/>
        <v>0</v>
      </c>
      <c r="J580" s="283">
        <f t="shared" si="68"/>
        <v>0</v>
      </c>
      <c r="K580" s="311">
        <v>0</v>
      </c>
      <c r="L580" s="291">
        <f t="shared" si="72"/>
        <v>0</v>
      </c>
      <c r="M580" s="292">
        <f t="shared" si="70"/>
        <v>0</v>
      </c>
    </row>
    <row r="581" spans="1:13" x14ac:dyDescent="0.2">
      <c r="A581" s="150">
        <v>1930</v>
      </c>
      <c r="B581" s="276" t="s">
        <v>134</v>
      </c>
      <c r="C581" s="277">
        <v>15695178.571691144</v>
      </c>
      <c r="D581" s="278"/>
      <c r="E581" s="278">
        <v>2960364</v>
      </c>
      <c r="F581" s="279">
        <v>0</v>
      </c>
      <c r="G581" s="280">
        <f t="shared" si="69"/>
        <v>17175360.571691144</v>
      </c>
      <c r="H581" s="290">
        <v>7.2544783777331263</v>
      </c>
      <c r="I581" s="288">
        <f t="shared" si="71"/>
        <v>0.13784588607630247</v>
      </c>
      <c r="J581" s="283">
        <f t="shared" si="68"/>
        <v>2367552.7966847545</v>
      </c>
      <c r="K581" s="311">
        <v>2367571.9215019178</v>
      </c>
      <c r="L581" s="291">
        <f t="shared" si="72"/>
        <v>19.124817163217813</v>
      </c>
      <c r="M581" s="289">
        <f t="shared" si="70"/>
        <v>8.0778188782901232E-6</v>
      </c>
    </row>
    <row r="582" spans="1:13" x14ac:dyDescent="0.2">
      <c r="A582" s="150">
        <v>1935</v>
      </c>
      <c r="B582" s="276" t="s">
        <v>135</v>
      </c>
      <c r="C582" s="277">
        <v>0</v>
      </c>
      <c r="D582" s="278"/>
      <c r="E582" s="278">
        <v>0</v>
      </c>
      <c r="F582" s="279">
        <v>0</v>
      </c>
      <c r="G582" s="280">
        <f t="shared" si="69"/>
        <v>0</v>
      </c>
      <c r="H582" s="290">
        <v>0</v>
      </c>
      <c r="I582" s="288">
        <f t="shared" si="71"/>
        <v>0</v>
      </c>
      <c r="J582" s="283">
        <f t="shared" si="68"/>
        <v>0</v>
      </c>
      <c r="K582" s="311">
        <v>0</v>
      </c>
      <c r="L582" s="291">
        <f t="shared" si="72"/>
        <v>0</v>
      </c>
      <c r="M582" s="289">
        <f t="shared" si="70"/>
        <v>0</v>
      </c>
    </row>
    <row r="583" spans="1:13" x14ac:dyDescent="0.2">
      <c r="A583" s="150">
        <v>1940</v>
      </c>
      <c r="B583" s="276" t="s">
        <v>136</v>
      </c>
      <c r="C583" s="277">
        <v>4045872.77647046</v>
      </c>
      <c r="D583" s="278"/>
      <c r="E583" s="278">
        <v>836653.37</v>
      </c>
      <c r="F583" s="279">
        <v>0</v>
      </c>
      <c r="G583" s="280">
        <f t="shared" si="69"/>
        <v>4464199.4614704596</v>
      </c>
      <c r="H583" s="290">
        <v>7.1186045713697208</v>
      </c>
      <c r="I583" s="288">
        <f t="shared" si="71"/>
        <v>0.14047696988562827</v>
      </c>
      <c r="J583" s="283">
        <f t="shared" si="68"/>
        <v>627117.21331242367</v>
      </c>
      <c r="K583" s="311">
        <v>622368.82302738342</v>
      </c>
      <c r="L583" s="291">
        <f t="shared" si="72"/>
        <v>-4748.3902850402519</v>
      </c>
      <c r="M583" s="292">
        <f t="shared" si="70"/>
        <v>-7.6295439446061857E-3</v>
      </c>
    </row>
    <row r="584" spans="1:13" x14ac:dyDescent="0.2">
      <c r="A584" s="150">
        <v>1945</v>
      </c>
      <c r="B584" s="276" t="s">
        <v>137</v>
      </c>
      <c r="C584" s="277">
        <v>6061.3693827602256</v>
      </c>
      <c r="D584" s="278"/>
      <c r="E584" s="278">
        <v>0</v>
      </c>
      <c r="F584" s="279">
        <v>0</v>
      </c>
      <c r="G584" s="280">
        <f t="shared" si="69"/>
        <v>6061.3693827602256</v>
      </c>
      <c r="H584" s="290">
        <v>2.30463345016173</v>
      </c>
      <c r="I584" s="288">
        <f t="shared" si="71"/>
        <v>0.43390848116424935</v>
      </c>
      <c r="J584" s="283">
        <f t="shared" si="68"/>
        <v>2630.079582648973</v>
      </c>
      <c r="K584" s="311">
        <v>2634.1202470000003</v>
      </c>
      <c r="L584" s="291">
        <f t="shared" si="72"/>
        <v>4.040664351027317</v>
      </c>
      <c r="M584" s="289">
        <f t="shared" si="70"/>
        <v>1.533971106911019E-3</v>
      </c>
    </row>
    <row r="585" spans="1:13" x14ac:dyDescent="0.2">
      <c r="A585" s="150">
        <v>1950</v>
      </c>
      <c r="B585" s="276" t="s">
        <v>138</v>
      </c>
      <c r="C585" s="277">
        <v>0</v>
      </c>
      <c r="D585" s="278"/>
      <c r="E585" s="278">
        <v>0</v>
      </c>
      <c r="F585" s="279">
        <v>0</v>
      </c>
      <c r="G585" s="280">
        <f t="shared" si="69"/>
        <v>0</v>
      </c>
      <c r="H585" s="290"/>
      <c r="I585" s="288">
        <f t="shared" si="71"/>
        <v>0</v>
      </c>
      <c r="J585" s="283">
        <f t="shared" si="68"/>
        <v>0</v>
      </c>
      <c r="K585" s="311">
        <v>0</v>
      </c>
      <c r="L585" s="291">
        <f t="shared" si="72"/>
        <v>0</v>
      </c>
      <c r="M585" s="292">
        <f t="shared" si="70"/>
        <v>0</v>
      </c>
    </row>
    <row r="586" spans="1:13" x14ac:dyDescent="0.2">
      <c r="A586" s="150">
        <v>1955</v>
      </c>
      <c r="B586" s="276" t="s">
        <v>139</v>
      </c>
      <c r="C586" s="277">
        <v>91786.688506301027</v>
      </c>
      <c r="D586" s="278"/>
      <c r="E586" s="278">
        <v>0</v>
      </c>
      <c r="F586" s="279">
        <v>0</v>
      </c>
      <c r="G586" s="280">
        <f t="shared" si="69"/>
        <v>91786.688506301027</v>
      </c>
      <c r="H586" s="290">
        <v>2.2396918451806429</v>
      </c>
      <c r="I586" s="288">
        <f t="shared" si="71"/>
        <v>0.44648999466234374</v>
      </c>
      <c r="J586" s="283">
        <f t="shared" si="68"/>
        <v>40981.838061252551</v>
      </c>
      <c r="K586" s="311">
        <v>40981.8381750685</v>
      </c>
      <c r="L586" s="291">
        <f t="shared" si="72"/>
        <v>1.1381594958947971E-4</v>
      </c>
      <c r="M586" s="292">
        <f t="shared" si="70"/>
        <v>2.7772290033276302E-9</v>
      </c>
    </row>
    <row r="587" spans="1:13" x14ac:dyDescent="0.2">
      <c r="A587" s="150">
        <v>1955</v>
      </c>
      <c r="B587" s="276" t="s">
        <v>140</v>
      </c>
      <c r="C587" s="277">
        <v>0</v>
      </c>
      <c r="D587" s="278"/>
      <c r="E587" s="278">
        <v>0</v>
      </c>
      <c r="F587" s="279">
        <v>0</v>
      </c>
      <c r="G587" s="280">
        <f t="shared" si="69"/>
        <v>0</v>
      </c>
      <c r="H587" s="290"/>
      <c r="I587" s="288">
        <f t="shared" si="71"/>
        <v>0</v>
      </c>
      <c r="J587" s="283">
        <f t="shared" si="68"/>
        <v>0</v>
      </c>
      <c r="K587" s="311">
        <v>0</v>
      </c>
      <c r="L587" s="291">
        <f t="shared" si="72"/>
        <v>0</v>
      </c>
      <c r="M587" s="289">
        <f t="shared" si="70"/>
        <v>0</v>
      </c>
    </row>
    <row r="588" spans="1:13" x14ac:dyDescent="0.2">
      <c r="A588" s="150">
        <v>1960</v>
      </c>
      <c r="B588" s="276" t="s">
        <v>141</v>
      </c>
      <c r="C588" s="277">
        <v>11809.493047123251</v>
      </c>
      <c r="D588" s="278"/>
      <c r="E588" s="278">
        <v>0</v>
      </c>
      <c r="F588" s="279">
        <v>0</v>
      </c>
      <c r="G588" s="280">
        <f t="shared" si="69"/>
        <v>11809.493047123251</v>
      </c>
      <c r="H588" s="290">
        <v>1.9913389390560448</v>
      </c>
      <c r="I588" s="288">
        <f t="shared" si="71"/>
        <v>0.50217468276597377</v>
      </c>
      <c r="J588" s="283">
        <f t="shared" si="68"/>
        <v>5930.4284245660911</v>
      </c>
      <c r="K588" s="311">
        <v>5933.8969876712326</v>
      </c>
      <c r="L588" s="291">
        <f t="shared" si="72"/>
        <v>3.4685631051415839</v>
      </c>
      <c r="M588" s="292">
        <f t="shared" si="70"/>
        <v>5.8453375789100563E-4</v>
      </c>
    </row>
    <row r="589" spans="1:13" x14ac:dyDescent="0.2">
      <c r="A589" s="150">
        <v>1970</v>
      </c>
      <c r="B589" s="293" t="s">
        <v>142</v>
      </c>
      <c r="C589" s="277">
        <v>0</v>
      </c>
      <c r="D589" s="278"/>
      <c r="E589" s="278">
        <v>0</v>
      </c>
      <c r="F589" s="279">
        <v>0</v>
      </c>
      <c r="G589" s="280">
        <f t="shared" si="69"/>
        <v>0</v>
      </c>
      <c r="H589" s="290"/>
      <c r="I589" s="288">
        <f t="shared" si="71"/>
        <v>0</v>
      </c>
      <c r="J589" s="283">
        <f t="shared" si="68"/>
        <v>0</v>
      </c>
      <c r="K589" s="311">
        <v>0</v>
      </c>
      <c r="L589" s="291">
        <f t="shared" si="72"/>
        <v>0</v>
      </c>
      <c r="M589" s="292">
        <f t="shared" si="70"/>
        <v>0</v>
      </c>
    </row>
    <row r="590" spans="1:13" x14ac:dyDescent="0.2">
      <c r="A590" s="150">
        <v>1975</v>
      </c>
      <c r="B590" s="276" t="s">
        <v>143</v>
      </c>
      <c r="C590" s="277">
        <v>0</v>
      </c>
      <c r="D590" s="278"/>
      <c r="E590" s="278">
        <v>0</v>
      </c>
      <c r="F590" s="279">
        <v>0</v>
      </c>
      <c r="G590" s="280">
        <f t="shared" si="69"/>
        <v>0</v>
      </c>
      <c r="H590" s="290"/>
      <c r="I590" s="288">
        <f t="shared" si="71"/>
        <v>0</v>
      </c>
      <c r="J590" s="283">
        <f t="shared" si="68"/>
        <v>0</v>
      </c>
      <c r="K590" s="311">
        <v>0</v>
      </c>
      <c r="L590" s="291">
        <f t="shared" si="72"/>
        <v>0</v>
      </c>
      <c r="M590" s="289">
        <f t="shared" si="70"/>
        <v>0</v>
      </c>
    </row>
    <row r="591" spans="1:13" x14ac:dyDescent="0.2">
      <c r="A591" s="150">
        <v>1980</v>
      </c>
      <c r="B591" s="276" t="s">
        <v>144</v>
      </c>
      <c r="C591" s="277">
        <v>6240399.3089612406</v>
      </c>
      <c r="D591" s="278"/>
      <c r="E591" s="278">
        <v>1415984.4627999999</v>
      </c>
      <c r="F591" s="279">
        <v>27442.548200273974</v>
      </c>
      <c r="G591" s="280">
        <f t="shared" si="69"/>
        <v>6920948.9921609666</v>
      </c>
      <c r="H591" s="290">
        <v>8.8874705417206563</v>
      </c>
      <c r="I591" s="288">
        <f t="shared" si="71"/>
        <v>0.11251795382113247</v>
      </c>
      <c r="J591" s="283">
        <f t="shared" si="68"/>
        <v>778731.01909838093</v>
      </c>
      <c r="K591" s="311">
        <v>784209.76246957527</v>
      </c>
      <c r="L591" s="291">
        <f t="shared" si="72"/>
        <v>5478.7433711943449</v>
      </c>
      <c r="M591" s="289">
        <f t="shared" si="70"/>
        <v>6.9863238554198721E-3</v>
      </c>
    </row>
    <row r="592" spans="1:13" x14ac:dyDescent="0.2">
      <c r="A592" s="150">
        <v>1985</v>
      </c>
      <c r="B592" s="276" t="s">
        <v>145</v>
      </c>
      <c r="C592" s="277">
        <v>0</v>
      </c>
      <c r="D592" s="278"/>
      <c r="E592" s="278">
        <v>0</v>
      </c>
      <c r="F592" s="279">
        <v>0</v>
      </c>
      <c r="G592" s="280">
        <f t="shared" si="69"/>
        <v>0</v>
      </c>
      <c r="H592" s="290"/>
      <c r="I592" s="288">
        <f t="shared" si="71"/>
        <v>0</v>
      </c>
      <c r="J592" s="283">
        <f t="shared" si="68"/>
        <v>0</v>
      </c>
      <c r="K592" s="311">
        <v>0</v>
      </c>
      <c r="L592" s="291">
        <f t="shared" si="72"/>
        <v>0</v>
      </c>
      <c r="M592" s="292">
        <f t="shared" si="70"/>
        <v>0</v>
      </c>
    </row>
    <row r="593" spans="1:17" x14ac:dyDescent="0.2">
      <c r="A593" s="150">
        <v>1990</v>
      </c>
      <c r="B593" s="235" t="s">
        <v>146</v>
      </c>
      <c r="C593" s="277">
        <v>0</v>
      </c>
      <c r="D593" s="278"/>
      <c r="E593" s="278">
        <v>0</v>
      </c>
      <c r="F593" s="279">
        <v>0</v>
      </c>
      <c r="G593" s="280">
        <f t="shared" si="69"/>
        <v>0</v>
      </c>
      <c r="H593" s="290"/>
      <c r="I593" s="288">
        <f t="shared" si="71"/>
        <v>0</v>
      </c>
      <c r="J593" s="283">
        <f t="shared" si="68"/>
        <v>0</v>
      </c>
      <c r="K593" s="311">
        <v>0</v>
      </c>
      <c r="L593" s="291">
        <f t="shared" si="72"/>
        <v>0</v>
      </c>
      <c r="M593" s="289">
        <f t="shared" si="70"/>
        <v>0</v>
      </c>
    </row>
    <row r="594" spans="1:17" x14ac:dyDescent="0.2">
      <c r="A594" s="150">
        <v>1995</v>
      </c>
      <c r="B594" s="276" t="s">
        <v>147</v>
      </c>
      <c r="C594" s="277">
        <v>0</v>
      </c>
      <c r="D594" s="278"/>
      <c r="E594" s="278">
        <v>0</v>
      </c>
      <c r="F594" s="279">
        <v>0</v>
      </c>
      <c r="G594" s="280">
        <f>C594-D594+(E594*0.5)-F594</f>
        <v>0</v>
      </c>
      <c r="H594" s="290"/>
      <c r="I594" s="294">
        <f>IF(H594=0,0,1/H594)</f>
        <v>0</v>
      </c>
      <c r="J594" s="295">
        <f>IF(H594=0,0,+G594/H594)</f>
        <v>0</v>
      </c>
      <c r="K594" s="311">
        <v>0</v>
      </c>
      <c r="L594" s="291">
        <f>IF(ISERROR(+K594-J594), 0, +K594-J594)</f>
        <v>0</v>
      </c>
      <c r="M594" s="289">
        <f>IFERROR(L594/K594,0)</f>
        <v>0</v>
      </c>
    </row>
    <row r="595" spans="1:17" x14ac:dyDescent="0.2">
      <c r="A595" s="150">
        <v>2075</v>
      </c>
      <c r="B595" s="276" t="s">
        <v>148</v>
      </c>
      <c r="C595" s="277">
        <v>401735.5987961638</v>
      </c>
      <c r="D595" s="278"/>
      <c r="E595" s="278">
        <v>0</v>
      </c>
      <c r="F595" s="279">
        <v>0</v>
      </c>
      <c r="G595" s="280">
        <f>C595-D595+(E595*0.5)-F595</f>
        <v>401735.5987961638</v>
      </c>
      <c r="H595" s="290">
        <v>6.0028407378137008</v>
      </c>
      <c r="I595" s="294">
        <f>IF(H595=0,0,1/H595)</f>
        <v>0.16658779462541776</v>
      </c>
      <c r="J595" s="295">
        <f>IF(H595=0,0,+G595/H595)</f>
        <v>66924.247425974565</v>
      </c>
      <c r="K595" s="311">
        <v>52509.521900000007</v>
      </c>
      <c r="L595" s="291">
        <f>IF(ISERROR(+K595-J595), 0, +K595-J595)</f>
        <v>-14414.725525974558</v>
      </c>
      <c r="M595" s="289">
        <f>IFERROR(L595/K595,0)</f>
        <v>-0.27451641158390655</v>
      </c>
    </row>
    <row r="596" spans="1:17" x14ac:dyDescent="0.2">
      <c r="A596" s="150">
        <v>2440</v>
      </c>
      <c r="B596" s="151" t="s">
        <v>166</v>
      </c>
      <c r="C596" s="277">
        <v>-282009939.32651865</v>
      </c>
      <c r="D596" s="278"/>
      <c r="E596" s="278">
        <v>-36032585.510000005</v>
      </c>
      <c r="F596" s="279">
        <v>-70461.003046205617</v>
      </c>
      <c r="G596" s="280">
        <f t="shared" si="69"/>
        <v>-299955771.07847244</v>
      </c>
      <c r="H596" s="290">
        <v>36.104253172197318</v>
      </c>
      <c r="I596" s="294">
        <f t="shared" si="71"/>
        <v>2.7697567797083437E-2</v>
      </c>
      <c r="J596" s="295">
        <f t="shared" si="68"/>
        <v>-8308045.3055724297</v>
      </c>
      <c r="K596" s="311">
        <v>-8307214.3451970555</v>
      </c>
      <c r="L596" s="291">
        <f t="shared" si="72"/>
        <v>830.96037537418306</v>
      </c>
      <c r="M596" s="289">
        <f t="shared" si="70"/>
        <v>-1.0002876305396112E-4</v>
      </c>
    </row>
    <row r="597" spans="1:17" ht="13.5" thickBot="1" x14ac:dyDescent="0.25">
      <c r="A597" s="150">
        <v>2005</v>
      </c>
      <c r="B597" s="276" t="s">
        <v>329</v>
      </c>
      <c r="C597" s="277">
        <v>0</v>
      </c>
      <c r="D597" s="278"/>
      <c r="E597" s="278">
        <v>0</v>
      </c>
      <c r="F597" s="279">
        <v>0</v>
      </c>
      <c r="G597" s="280">
        <f t="shared" si="69"/>
        <v>0</v>
      </c>
      <c r="H597" s="297"/>
      <c r="I597" s="298">
        <f t="shared" si="71"/>
        <v>0</v>
      </c>
      <c r="J597" s="299">
        <f t="shared" si="68"/>
        <v>0</v>
      </c>
      <c r="K597" s="312">
        <v>0</v>
      </c>
      <c r="L597" s="300">
        <f t="shared" si="72"/>
        <v>0</v>
      </c>
      <c r="M597" s="301">
        <f t="shared" si="70"/>
        <v>0</v>
      </c>
    </row>
    <row r="598" spans="1:17" ht="13.5" thickBot="1" x14ac:dyDescent="0.25">
      <c r="A598" s="309"/>
      <c r="B598" s="310" t="s">
        <v>43</v>
      </c>
      <c r="C598" s="304">
        <f t="shared" ref="C598:G598" si="73">SUM(C553:C597)</f>
        <v>792709923.9324311</v>
      </c>
      <c r="D598" s="304">
        <f t="shared" si="73"/>
        <v>0</v>
      </c>
      <c r="E598" s="304">
        <f t="shared" si="73"/>
        <v>127905557.48</v>
      </c>
      <c r="F598" s="304">
        <f t="shared" si="73"/>
        <v>2347331.6033256524</v>
      </c>
      <c r="G598" s="304">
        <f t="shared" si="73"/>
        <v>854315371.06910586</v>
      </c>
      <c r="H598" s="304"/>
      <c r="I598" s="305"/>
      <c r="J598" s="304">
        <f>SUM(J553:J597)</f>
        <v>37433446.140292451</v>
      </c>
      <c r="K598" s="304">
        <f t="shared" ref="K598:L598" si="74">SUM(K553:K597)</f>
        <v>37552559.420659661</v>
      </c>
      <c r="L598" s="306">
        <f t="shared" si="74"/>
        <v>119113.2803671975</v>
      </c>
      <c r="M598" s="307">
        <f t="shared" si="70"/>
        <v>3.1719084452514557E-3</v>
      </c>
    </row>
    <row r="599" spans="1:17" x14ac:dyDescent="0.2">
      <c r="C599" s="200"/>
      <c r="E599" s="172"/>
      <c r="F599" s="172"/>
      <c r="K599" s="172"/>
    </row>
    <row r="600" spans="1:17" ht="13.5" thickBot="1" x14ac:dyDescent="0.25"/>
    <row r="601" spans="1:17" ht="18" customHeight="1" thickBot="1" x14ac:dyDescent="0.3">
      <c r="A601" s="253"/>
      <c r="B601" s="253"/>
      <c r="C601" s="253"/>
      <c r="D601" s="253"/>
      <c r="E601" s="254" t="s">
        <v>300</v>
      </c>
      <c r="F601" s="259">
        <v>2031</v>
      </c>
      <c r="G601" s="253"/>
      <c r="H601" s="253"/>
      <c r="I601" s="253"/>
      <c r="J601" s="253"/>
      <c r="K601" s="253"/>
    </row>
    <row r="602" spans="1:17" ht="13.5" thickBot="1" x14ac:dyDescent="0.25">
      <c r="A602" s="260"/>
      <c r="B602" s="260"/>
      <c r="C602" s="260"/>
      <c r="D602" s="260"/>
      <c r="E602" s="260"/>
      <c r="F602" s="260"/>
      <c r="G602" s="260"/>
      <c r="H602" s="260"/>
      <c r="I602" s="260"/>
      <c r="J602" s="260"/>
      <c r="K602" s="260"/>
      <c r="Q602" s="123">
        <v>2017</v>
      </c>
    </row>
    <row r="603" spans="1:17" ht="19.149999999999999" customHeight="1" thickBot="1" x14ac:dyDescent="0.3">
      <c r="A603" s="253"/>
      <c r="B603" s="253"/>
      <c r="C603" s="457" t="s">
        <v>301</v>
      </c>
      <c r="D603" s="458"/>
      <c r="E603" s="458"/>
      <c r="F603" s="458"/>
      <c r="G603" s="459" t="s">
        <v>302</v>
      </c>
      <c r="H603" s="460"/>
      <c r="I603" s="261" t="s">
        <v>303</v>
      </c>
      <c r="J603" s="253"/>
      <c r="K603" s="253"/>
      <c r="Q603" s="123">
        <v>2018</v>
      </c>
    </row>
    <row r="604" spans="1:17" ht="64.150000000000006" customHeight="1" thickBot="1" x14ac:dyDescent="0.25">
      <c r="A604" s="453" t="s">
        <v>304</v>
      </c>
      <c r="B604" s="455" t="s">
        <v>305</v>
      </c>
      <c r="C604" s="262" t="s">
        <v>306</v>
      </c>
      <c r="D604" s="263" t="s">
        <v>307</v>
      </c>
      <c r="E604" s="264" t="s">
        <v>308</v>
      </c>
      <c r="F604" s="265" t="s">
        <v>309</v>
      </c>
      <c r="G604" s="265" t="s">
        <v>310</v>
      </c>
      <c r="H604" s="262" t="s">
        <v>311</v>
      </c>
      <c r="I604" s="266" t="s">
        <v>312</v>
      </c>
      <c r="J604" s="313" t="s">
        <v>313</v>
      </c>
      <c r="K604" s="264" t="s">
        <v>331</v>
      </c>
      <c r="L604" s="314" t="s">
        <v>315</v>
      </c>
      <c r="M604" s="266" t="s">
        <v>316</v>
      </c>
    </row>
    <row r="605" spans="1:17" ht="13.5" thickBot="1" x14ac:dyDescent="0.25">
      <c r="A605" s="454"/>
      <c r="B605" s="456"/>
      <c r="C605" s="268" t="s">
        <v>317</v>
      </c>
      <c r="D605" s="269" t="s">
        <v>318</v>
      </c>
      <c r="E605" s="270" t="s">
        <v>319</v>
      </c>
      <c r="F605" s="270" t="s">
        <v>320</v>
      </c>
      <c r="G605" s="271" t="s">
        <v>321</v>
      </c>
      <c r="H605" s="272" t="s">
        <v>322</v>
      </c>
      <c r="I605" s="270" t="s">
        <v>323</v>
      </c>
      <c r="J605" s="268" t="s">
        <v>324</v>
      </c>
      <c r="K605" s="273" t="s">
        <v>325</v>
      </c>
      <c r="L605" s="271" t="s">
        <v>326</v>
      </c>
      <c r="M605" s="274" t="s">
        <v>327</v>
      </c>
    </row>
    <row r="606" spans="1:17" ht="13.5" thickBot="1" x14ac:dyDescent="0.25">
      <c r="A606" s="275">
        <v>1609</v>
      </c>
      <c r="B606" s="276" t="s">
        <v>108</v>
      </c>
      <c r="C606" s="277">
        <v>18342630.592939276</v>
      </c>
      <c r="D606" s="278"/>
      <c r="E606" s="278">
        <v>22113830.140000001</v>
      </c>
      <c r="F606" s="279">
        <v>0</v>
      </c>
      <c r="G606" s="280">
        <f>C606-D606+(E606*0.5)-F606</f>
        <v>29399545.662939277</v>
      </c>
      <c r="H606" s="281">
        <v>16.168243615590406</v>
      </c>
      <c r="I606" s="282">
        <f>IF(H606=0,0,1/H606)</f>
        <v>6.1849637089568532E-2</v>
      </c>
      <c r="J606" s="283">
        <f t="shared" ref="J606:J650" si="75">IF(H606=0,0,+G606/H606)</f>
        <v>1818351.2298509928</v>
      </c>
      <c r="K606" s="284">
        <v>1818305.9495436</v>
      </c>
      <c r="L606" s="285">
        <f>IF(ISERROR(+K606-J606), 0, +K606-J606)</f>
        <v>-45.280307392822579</v>
      </c>
      <c r="M606" s="286">
        <f>IFERROR(L606/K606,0)</f>
        <v>-2.49024689184942E-5</v>
      </c>
    </row>
    <row r="607" spans="1:17" x14ac:dyDescent="0.2">
      <c r="A607" s="275">
        <v>1610</v>
      </c>
      <c r="B607" s="287" t="s">
        <v>328</v>
      </c>
      <c r="C607" s="277">
        <v>116647.5773545187</v>
      </c>
      <c r="D607" s="278"/>
      <c r="E607" s="278">
        <v>0</v>
      </c>
      <c r="F607" s="279">
        <v>0</v>
      </c>
      <c r="G607" s="280">
        <f>C607-D607+(E607*0.5)-F607</f>
        <v>116647.5773545187</v>
      </c>
      <c r="H607" s="281">
        <v>2.4986301369863018</v>
      </c>
      <c r="I607" s="282">
        <f>IF(H607=0,0,1/H607)</f>
        <v>0.40021929824561397</v>
      </c>
      <c r="J607" s="283">
        <f t="shared" si="75"/>
        <v>46684.611550876441</v>
      </c>
      <c r="K607" s="284">
        <v>46684.611599999997</v>
      </c>
      <c r="L607" s="285">
        <f>IF(ISERROR(+K607-J607), 0, +K607-J607)</f>
        <v>4.9123555072583258E-5</v>
      </c>
      <c r="M607" s="286">
        <f>IFERROR(L607/K607,0)</f>
        <v>1.0522429851935034E-9</v>
      </c>
    </row>
    <row r="608" spans="1:17" x14ac:dyDescent="0.2">
      <c r="A608" s="234">
        <v>1611</v>
      </c>
      <c r="B608" s="287" t="s">
        <v>111</v>
      </c>
      <c r="C608" s="277">
        <v>3542776.0083333403</v>
      </c>
      <c r="D608" s="278"/>
      <c r="E608" s="278">
        <v>3346470.835</v>
      </c>
      <c r="F608" s="279">
        <v>0</v>
      </c>
      <c r="G608" s="280">
        <f t="shared" ref="G608:G650" si="76">C608-D608+(E608*0.5)-F608</f>
        <v>5216011.4258333407</v>
      </c>
      <c r="H608" s="281">
        <v>2.2120617082396867</v>
      </c>
      <c r="I608" s="288">
        <f>IF(H608=0,0,1/H608)</f>
        <v>0.45206695467631391</v>
      </c>
      <c r="J608" s="283">
        <f t="shared" si="75"/>
        <v>2357986.4008333362</v>
      </c>
      <c r="K608" s="311">
        <v>2357986.4008333334</v>
      </c>
      <c r="L608" s="285">
        <f>IF(ISERROR(+K608-J608), 0, +K608-J608)</f>
        <v>-2.7939677238464355E-9</v>
      </c>
      <c r="M608" s="289">
        <f t="shared" ref="M608:M651" si="77">IFERROR(L608/K608,0)</f>
        <v>-1.1848956053601592E-15</v>
      </c>
    </row>
    <row r="609" spans="1:13" x14ac:dyDescent="0.2">
      <c r="A609" s="150">
        <v>1612</v>
      </c>
      <c r="B609" s="276" t="s">
        <v>112</v>
      </c>
      <c r="C609" s="277">
        <v>258699.48137753457</v>
      </c>
      <c r="D609" s="278"/>
      <c r="E609" s="278">
        <v>0</v>
      </c>
      <c r="F609" s="279">
        <v>0</v>
      </c>
      <c r="G609" s="280">
        <f t="shared" si="76"/>
        <v>258699.48137753457</v>
      </c>
      <c r="H609" s="290">
        <v>21.016595245575623</v>
      </c>
      <c r="I609" s="288">
        <f t="shared" ref="I609:I650" si="78">IF(H609=0,0,1/H609)</f>
        <v>4.7581446391061759E-2</v>
      </c>
      <c r="J609" s="283">
        <f t="shared" si="75"/>
        <v>12309.295504560641</v>
      </c>
      <c r="K609" s="311">
        <v>12301.7492</v>
      </c>
      <c r="L609" s="291">
        <f t="shared" ref="L609:L650" si="79">IF(ISERROR(+K609-J609), 0, +K609-J609)</f>
        <v>-7.546304560641147</v>
      </c>
      <c r="M609" s="289">
        <f t="shared" si="77"/>
        <v>-6.1343345876707894E-4</v>
      </c>
    </row>
    <row r="610" spans="1:13" x14ac:dyDescent="0.2">
      <c r="A610" s="150">
        <v>1612</v>
      </c>
      <c r="B610" s="276" t="s">
        <v>330</v>
      </c>
      <c r="C610" s="277">
        <v>3841402</v>
      </c>
      <c r="D610" s="278"/>
      <c r="E610" s="278"/>
      <c r="F610" s="279"/>
      <c r="G610" s="280">
        <f t="shared" si="76"/>
        <v>3841402</v>
      </c>
      <c r="H610" s="290"/>
      <c r="I610" s="288">
        <f t="shared" si="78"/>
        <v>0</v>
      </c>
      <c r="J610" s="283">
        <f t="shared" si="75"/>
        <v>0</v>
      </c>
      <c r="K610" s="284"/>
      <c r="L610" s="291">
        <f t="shared" si="79"/>
        <v>0</v>
      </c>
      <c r="M610" s="289">
        <f t="shared" si="77"/>
        <v>0</v>
      </c>
    </row>
    <row r="611" spans="1:13" x14ac:dyDescent="0.2">
      <c r="A611" s="150">
        <v>1805</v>
      </c>
      <c r="B611" s="276" t="s">
        <v>113</v>
      </c>
      <c r="C611" s="277">
        <v>4190619.8899999997</v>
      </c>
      <c r="D611" s="278"/>
      <c r="E611" s="278">
        <v>7500000</v>
      </c>
      <c r="F611" s="279">
        <v>0</v>
      </c>
      <c r="G611" s="280">
        <f t="shared" si="76"/>
        <v>7940619.8899999997</v>
      </c>
      <c r="H611" s="290"/>
      <c r="I611" s="288">
        <f t="shared" si="78"/>
        <v>0</v>
      </c>
      <c r="J611" s="283">
        <f t="shared" si="75"/>
        <v>0</v>
      </c>
      <c r="K611" s="311">
        <v>0</v>
      </c>
      <c r="L611" s="291">
        <f t="shared" si="79"/>
        <v>0</v>
      </c>
      <c r="M611" s="289">
        <f t="shared" si="77"/>
        <v>0</v>
      </c>
    </row>
    <row r="612" spans="1:13" x14ac:dyDescent="0.2">
      <c r="A612" s="150">
        <v>1808</v>
      </c>
      <c r="B612" s="276" t="s">
        <v>114</v>
      </c>
      <c r="C612" s="277">
        <v>130511.08438082179</v>
      </c>
      <c r="D612" s="278"/>
      <c r="E612" s="278">
        <v>0</v>
      </c>
      <c r="F612" s="279">
        <v>0</v>
      </c>
      <c r="G612" s="280">
        <f t="shared" si="76"/>
        <v>130511.08438082179</v>
      </c>
      <c r="H612" s="290">
        <v>13.626293151005319</v>
      </c>
      <c r="I612" s="288">
        <f t="shared" si="78"/>
        <v>7.3387530190205996E-2</v>
      </c>
      <c r="J612" s="283">
        <f t="shared" si="75"/>
        <v>9577.8861451540815</v>
      </c>
      <c r="K612" s="311">
        <v>9573.8109999999997</v>
      </c>
      <c r="L612" s="291">
        <f t="shared" si="79"/>
        <v>-4.075145154081838</v>
      </c>
      <c r="M612" s="289">
        <f t="shared" si="77"/>
        <v>-4.2565548391145782E-4</v>
      </c>
    </row>
    <row r="613" spans="1:13" x14ac:dyDescent="0.2">
      <c r="A613" s="150">
        <v>1810</v>
      </c>
      <c r="B613" s="276" t="s">
        <v>115</v>
      </c>
      <c r="C613" s="277">
        <v>0</v>
      </c>
      <c r="D613" s="278"/>
      <c r="E613" s="278">
        <v>0</v>
      </c>
      <c r="F613" s="279">
        <v>0</v>
      </c>
      <c r="G613" s="280">
        <f t="shared" si="76"/>
        <v>0</v>
      </c>
      <c r="H613" s="290"/>
      <c r="I613" s="288">
        <f t="shared" si="78"/>
        <v>0</v>
      </c>
      <c r="J613" s="283">
        <f t="shared" si="75"/>
        <v>0</v>
      </c>
      <c r="K613" s="311">
        <v>0</v>
      </c>
      <c r="L613" s="291">
        <f t="shared" si="79"/>
        <v>0</v>
      </c>
      <c r="M613" s="289">
        <f t="shared" si="77"/>
        <v>0</v>
      </c>
    </row>
    <row r="614" spans="1:13" x14ac:dyDescent="0.2">
      <c r="A614" s="150">
        <v>1815</v>
      </c>
      <c r="B614" s="276" t="s">
        <v>116</v>
      </c>
      <c r="C614" s="277">
        <v>28674832.682332326</v>
      </c>
      <c r="D614" s="278"/>
      <c r="E614" s="278">
        <v>73606503.617983267</v>
      </c>
      <c r="F614" s="279">
        <v>0</v>
      </c>
      <c r="G614" s="280">
        <f t="shared" si="76"/>
        <v>65478084.491323963</v>
      </c>
      <c r="H614" s="290">
        <v>40.895633088687681</v>
      </c>
      <c r="I614" s="288">
        <f t="shared" si="78"/>
        <v>2.4452488553762343E-2</v>
      </c>
      <c r="J614" s="283">
        <f t="shared" si="75"/>
        <v>1601102.1115463828</v>
      </c>
      <c r="K614" s="311">
        <v>1600653.7579098046</v>
      </c>
      <c r="L614" s="291">
        <f t="shared" si="79"/>
        <v>-448.35363657819107</v>
      </c>
      <c r="M614" s="289">
        <f t="shared" si="77"/>
        <v>-2.8010657168210353E-4</v>
      </c>
    </row>
    <row r="615" spans="1:13" x14ac:dyDescent="0.2">
      <c r="A615" s="150">
        <v>1820</v>
      </c>
      <c r="B615" s="276" t="s">
        <v>117</v>
      </c>
      <c r="C615" s="277">
        <v>178702979.67382661</v>
      </c>
      <c r="D615" s="278"/>
      <c r="E615" s="278">
        <v>32651881.840200003</v>
      </c>
      <c r="F615" s="279">
        <v>1292952.7275693153</v>
      </c>
      <c r="G615" s="280">
        <f t="shared" si="76"/>
        <v>193735967.8663573</v>
      </c>
      <c r="H615" s="290">
        <v>34.566274045614087</v>
      </c>
      <c r="I615" s="288">
        <f t="shared" si="78"/>
        <v>2.8929933225675046E-2</v>
      </c>
      <c r="J615" s="283">
        <f t="shared" si="75"/>
        <v>5604768.6137852436</v>
      </c>
      <c r="K615" s="311">
        <v>5651955.5924679851</v>
      </c>
      <c r="L615" s="291">
        <f t="shared" si="79"/>
        <v>47186.978682741523</v>
      </c>
      <c r="M615" s="289">
        <f t="shared" si="77"/>
        <v>8.3487879391028336E-3</v>
      </c>
    </row>
    <row r="616" spans="1:13" x14ac:dyDescent="0.2">
      <c r="A616" s="150">
        <v>1825</v>
      </c>
      <c r="B616" s="276" t="s">
        <v>118</v>
      </c>
      <c r="C616" s="277">
        <v>0</v>
      </c>
      <c r="D616" s="278"/>
      <c r="E616" s="278">
        <v>0</v>
      </c>
      <c r="F616" s="279">
        <v>0</v>
      </c>
      <c r="G616" s="280">
        <f t="shared" si="76"/>
        <v>0</v>
      </c>
      <c r="H616" s="290"/>
      <c r="I616" s="288">
        <f t="shared" si="78"/>
        <v>0</v>
      </c>
      <c r="J616" s="283">
        <f t="shared" si="75"/>
        <v>0</v>
      </c>
      <c r="K616" s="311">
        <v>0</v>
      </c>
      <c r="L616" s="291">
        <f t="shared" si="79"/>
        <v>0</v>
      </c>
      <c r="M616" s="289">
        <f t="shared" si="77"/>
        <v>0</v>
      </c>
    </row>
    <row r="617" spans="1:13" x14ac:dyDescent="0.2">
      <c r="A617" s="150">
        <v>1830</v>
      </c>
      <c r="B617" s="276" t="s">
        <v>119</v>
      </c>
      <c r="C617" s="277">
        <v>248060117.86356407</v>
      </c>
      <c r="D617" s="278"/>
      <c r="E617" s="278">
        <v>34426510.3345</v>
      </c>
      <c r="F617" s="279">
        <v>285729.74686636333</v>
      </c>
      <c r="G617" s="280">
        <f t="shared" si="76"/>
        <v>264987643.28394771</v>
      </c>
      <c r="H617" s="290">
        <v>32.682160492624362</v>
      </c>
      <c r="I617" s="288">
        <f t="shared" si="78"/>
        <v>3.0597732369182808E-2</v>
      </c>
      <c r="J617" s="283">
        <f t="shared" si="75"/>
        <v>8108020.9903427139</v>
      </c>
      <c r="K617" s="311">
        <v>8120639.9324963791</v>
      </c>
      <c r="L617" s="291">
        <f t="shared" si="79"/>
        <v>12618.942153665237</v>
      </c>
      <c r="M617" s="292">
        <f t="shared" si="77"/>
        <v>1.5539344508020846E-3</v>
      </c>
    </row>
    <row r="618" spans="1:13" x14ac:dyDescent="0.2">
      <c r="A618" s="150">
        <v>1835</v>
      </c>
      <c r="B618" s="276" t="s">
        <v>120</v>
      </c>
      <c r="C618" s="277">
        <v>190294699.75500941</v>
      </c>
      <c r="D618" s="278"/>
      <c r="E618" s="278">
        <v>37096872.089899994</v>
      </c>
      <c r="F618" s="279">
        <v>190628.86042044393</v>
      </c>
      <c r="G618" s="280">
        <f t="shared" si="76"/>
        <v>208652506.93953899</v>
      </c>
      <c r="H618" s="290">
        <v>39.677368481834016</v>
      </c>
      <c r="I618" s="288">
        <f t="shared" si="78"/>
        <v>2.5203284347293405E-2</v>
      </c>
      <c r="J618" s="283">
        <f t="shared" si="75"/>
        <v>5258728.4621728119</v>
      </c>
      <c r="K618" s="311">
        <v>5300047.269466674</v>
      </c>
      <c r="L618" s="291">
        <f t="shared" si="79"/>
        <v>41318.807293862104</v>
      </c>
      <c r="M618" s="289">
        <f t="shared" si="77"/>
        <v>7.7959318460983987E-3</v>
      </c>
    </row>
    <row r="619" spans="1:13" x14ac:dyDescent="0.2">
      <c r="A619" s="150">
        <v>1840</v>
      </c>
      <c r="B619" s="276" t="s">
        <v>121</v>
      </c>
      <c r="C619" s="277">
        <v>100977424.64636119</v>
      </c>
      <c r="D619" s="278"/>
      <c r="E619" s="278">
        <v>8920837.3247999996</v>
      </c>
      <c r="F619" s="279">
        <v>151004.40302465754</v>
      </c>
      <c r="G619" s="280">
        <f t="shared" si="76"/>
        <v>105286838.90573652</v>
      </c>
      <c r="H619" s="290">
        <v>49.261093869330089</v>
      </c>
      <c r="I619" s="288">
        <f t="shared" si="78"/>
        <v>2.0299995827388621E-2</v>
      </c>
      <c r="J619" s="283">
        <f t="shared" si="75"/>
        <v>2137322.3904653895</v>
      </c>
      <c r="K619" s="311">
        <v>2139605.162997283</v>
      </c>
      <c r="L619" s="291">
        <f t="shared" si="79"/>
        <v>2282.77253189357</v>
      </c>
      <c r="M619" s="292">
        <f t="shared" si="77"/>
        <v>1.0669129853359159E-3</v>
      </c>
    </row>
    <row r="620" spans="1:13" x14ac:dyDescent="0.2">
      <c r="A620" s="150">
        <v>1845</v>
      </c>
      <c r="B620" s="276" t="s">
        <v>122</v>
      </c>
      <c r="C620" s="277">
        <v>186468890.33355892</v>
      </c>
      <c r="D620" s="278"/>
      <c r="E620" s="278">
        <v>42805343.3785</v>
      </c>
      <c r="F620" s="279">
        <v>166923.97569064918</v>
      </c>
      <c r="G620" s="280">
        <f t="shared" si="76"/>
        <v>207704638.04711825</v>
      </c>
      <c r="H620" s="290">
        <v>29.642121736744723</v>
      </c>
      <c r="I620" s="288">
        <f t="shared" si="78"/>
        <v>3.373577670590254E-2</v>
      </c>
      <c r="J620" s="283">
        <f t="shared" si="75"/>
        <v>7007077.2899378901</v>
      </c>
      <c r="K620" s="311">
        <v>7010382.5538914604</v>
      </c>
      <c r="L620" s="291">
        <f t="shared" si="79"/>
        <v>3305.2639535702765</v>
      </c>
      <c r="M620" s="289">
        <f t="shared" si="77"/>
        <v>4.7148125343538145E-4</v>
      </c>
    </row>
    <row r="621" spans="1:13" x14ac:dyDescent="0.2">
      <c r="A621" s="150">
        <v>1850</v>
      </c>
      <c r="B621" s="276" t="s">
        <v>123</v>
      </c>
      <c r="C621" s="277">
        <v>73601097.206052065</v>
      </c>
      <c r="D621" s="278"/>
      <c r="E621" s="278">
        <v>6679100.1423000004</v>
      </c>
      <c r="F621" s="279">
        <v>419744.08946020913</v>
      </c>
      <c r="G621" s="280">
        <f t="shared" si="76"/>
        <v>76520903.187741861</v>
      </c>
      <c r="H621" s="290">
        <v>19.921199347291594</v>
      </c>
      <c r="I621" s="288">
        <f t="shared" si="78"/>
        <v>5.0197780894951784E-2</v>
      </c>
      <c r="J621" s="283">
        <f t="shared" si="75"/>
        <v>3841179.5321020838</v>
      </c>
      <c r="K621" s="311">
        <v>3866844.0615058504</v>
      </c>
      <c r="L621" s="291">
        <f t="shared" si="79"/>
        <v>25664.529403766617</v>
      </c>
      <c r="M621" s="289">
        <f t="shared" si="77"/>
        <v>6.6370737985674494E-3</v>
      </c>
    </row>
    <row r="622" spans="1:13" x14ac:dyDescent="0.2">
      <c r="A622" s="150">
        <v>1855</v>
      </c>
      <c r="B622" s="276" t="s">
        <v>124</v>
      </c>
      <c r="C622" s="277">
        <v>66495416.135691546</v>
      </c>
      <c r="D622" s="278"/>
      <c r="E622" s="278">
        <v>6448993.25</v>
      </c>
      <c r="F622" s="279">
        <v>0</v>
      </c>
      <c r="G622" s="280">
        <f t="shared" si="76"/>
        <v>69719912.760691553</v>
      </c>
      <c r="H622" s="290">
        <v>31.919458482830159</v>
      </c>
      <c r="I622" s="288">
        <f t="shared" si="78"/>
        <v>3.1328852290458231E-2</v>
      </c>
      <c r="J622" s="283">
        <f t="shared" si="75"/>
        <v>2184244.8485833397</v>
      </c>
      <c r="K622" s="311">
        <v>2183437.2170390375</v>
      </c>
      <c r="L622" s="291">
        <f t="shared" si="79"/>
        <v>-807.63154430221766</v>
      </c>
      <c r="M622" s="289">
        <f t="shared" si="77"/>
        <v>-3.6988997805828739E-4</v>
      </c>
    </row>
    <row r="623" spans="1:13" x14ac:dyDescent="0.2">
      <c r="A623" s="150">
        <v>1860</v>
      </c>
      <c r="B623" s="276" t="s">
        <v>125</v>
      </c>
      <c r="C623" s="277">
        <v>3133308.4514051983</v>
      </c>
      <c r="D623" s="278"/>
      <c r="E623" s="278">
        <v>627949.62300000002</v>
      </c>
      <c r="F623" s="279">
        <v>1576.4349135698594</v>
      </c>
      <c r="G623" s="280">
        <f t="shared" si="76"/>
        <v>3445706.8279916281</v>
      </c>
      <c r="H623" s="290">
        <v>16.085996656473945</v>
      </c>
      <c r="I623" s="288">
        <f t="shared" si="78"/>
        <v>6.2165871431879328E-2</v>
      </c>
      <c r="J623" s="283">
        <f t="shared" si="75"/>
        <v>214205.36766087628</v>
      </c>
      <c r="K623" s="311">
        <v>212871.04152539276</v>
      </c>
      <c r="L623" s="291">
        <f t="shared" si="79"/>
        <v>-1334.3261354835122</v>
      </c>
      <c r="M623" s="289">
        <f t="shared" si="77"/>
        <v>-6.268236984805396E-3</v>
      </c>
    </row>
    <row r="624" spans="1:13" x14ac:dyDescent="0.2">
      <c r="A624" s="150">
        <v>1860</v>
      </c>
      <c r="B624" s="276" t="s">
        <v>126</v>
      </c>
      <c r="C624" s="277">
        <v>22406080.405357622</v>
      </c>
      <c r="D624" s="278"/>
      <c r="E624" s="278">
        <v>7714809.6539999992</v>
      </c>
      <c r="F624" s="279">
        <v>-6.5372325479984283E-5</v>
      </c>
      <c r="G624" s="280">
        <f t="shared" si="76"/>
        <v>26263485.232422993</v>
      </c>
      <c r="H624" s="290">
        <v>11.234697426904896</v>
      </c>
      <c r="I624" s="288">
        <f t="shared" si="78"/>
        <v>8.9009962796612233E-2</v>
      </c>
      <c r="J624" s="283">
        <f t="shared" si="75"/>
        <v>2337711.8434473453</v>
      </c>
      <c r="K624" s="311">
        <v>2346900.6419501575</v>
      </c>
      <c r="L624" s="291">
        <f t="shared" si="79"/>
        <v>9188.798502812162</v>
      </c>
      <c r="M624" s="289">
        <f t="shared" si="77"/>
        <v>3.9152908046319029E-3</v>
      </c>
    </row>
    <row r="625" spans="1:13" x14ac:dyDescent="0.2">
      <c r="A625" s="150">
        <v>1865</v>
      </c>
      <c r="B625" s="276" t="s">
        <v>127</v>
      </c>
      <c r="C625" s="277">
        <v>0</v>
      </c>
      <c r="D625" s="278"/>
      <c r="E625" s="278">
        <v>0</v>
      </c>
      <c r="F625" s="279">
        <v>0</v>
      </c>
      <c r="G625" s="280">
        <f t="shared" si="76"/>
        <v>0</v>
      </c>
      <c r="H625" s="290"/>
      <c r="I625" s="288">
        <f t="shared" si="78"/>
        <v>0</v>
      </c>
      <c r="J625" s="283">
        <f t="shared" si="75"/>
        <v>0</v>
      </c>
      <c r="K625" s="311">
        <v>0</v>
      </c>
      <c r="L625" s="291">
        <f t="shared" si="79"/>
        <v>0</v>
      </c>
      <c r="M625" s="289">
        <f t="shared" si="77"/>
        <v>0</v>
      </c>
    </row>
    <row r="626" spans="1:13" x14ac:dyDescent="0.2">
      <c r="A626" s="150">
        <v>1905</v>
      </c>
      <c r="B626" s="276" t="s">
        <v>113</v>
      </c>
      <c r="C626" s="277">
        <v>1195031.2999999998</v>
      </c>
      <c r="D626" s="278"/>
      <c r="E626" s="278">
        <v>0</v>
      </c>
      <c r="F626" s="279">
        <v>0</v>
      </c>
      <c r="G626" s="280">
        <f t="shared" si="76"/>
        <v>1195031.2999999998</v>
      </c>
      <c r="H626" s="290"/>
      <c r="I626" s="288">
        <f t="shared" si="78"/>
        <v>0</v>
      </c>
      <c r="J626" s="283">
        <f t="shared" si="75"/>
        <v>0</v>
      </c>
      <c r="K626" s="311">
        <v>0</v>
      </c>
      <c r="L626" s="291">
        <f t="shared" si="79"/>
        <v>0</v>
      </c>
      <c r="M626" s="289">
        <f t="shared" si="77"/>
        <v>0</v>
      </c>
    </row>
    <row r="627" spans="1:13" x14ac:dyDescent="0.2">
      <c r="A627" s="150">
        <v>1908</v>
      </c>
      <c r="B627" s="276" t="s">
        <v>128</v>
      </c>
      <c r="C627" s="277">
        <v>21031817.053099088</v>
      </c>
      <c r="D627" s="278"/>
      <c r="E627" s="278">
        <v>793866.02</v>
      </c>
      <c r="F627" s="279">
        <v>0</v>
      </c>
      <c r="G627" s="280">
        <f t="shared" si="76"/>
        <v>21428750.06309909</v>
      </c>
      <c r="H627" s="290">
        <v>12.929955970576467</v>
      </c>
      <c r="I627" s="288">
        <f t="shared" si="78"/>
        <v>7.733978385352662E-2</v>
      </c>
      <c r="J627" s="283">
        <f t="shared" si="75"/>
        <v>1657294.8981313286</v>
      </c>
      <c r="K627" s="311">
        <v>1648626.2443593605</v>
      </c>
      <c r="L627" s="291">
        <f t="shared" si="79"/>
        <v>-8668.6537719680928</v>
      </c>
      <c r="M627" s="289">
        <f t="shared" si="77"/>
        <v>-5.2581073494536315E-3</v>
      </c>
    </row>
    <row r="628" spans="1:13" x14ac:dyDescent="0.2">
      <c r="A628" s="150">
        <v>1910</v>
      </c>
      <c r="B628" s="276" t="s">
        <v>115</v>
      </c>
      <c r="C628" s="277">
        <v>0</v>
      </c>
      <c r="D628" s="278"/>
      <c r="E628" s="278">
        <v>0</v>
      </c>
      <c r="F628" s="279">
        <v>0</v>
      </c>
      <c r="G628" s="280">
        <f t="shared" si="76"/>
        <v>0</v>
      </c>
      <c r="H628" s="290"/>
      <c r="I628" s="288">
        <f t="shared" si="78"/>
        <v>0</v>
      </c>
      <c r="J628" s="283">
        <f t="shared" si="75"/>
        <v>0</v>
      </c>
      <c r="K628" s="311">
        <v>0</v>
      </c>
      <c r="L628" s="291">
        <f t="shared" si="79"/>
        <v>0</v>
      </c>
      <c r="M628" s="289">
        <f t="shared" si="77"/>
        <v>0</v>
      </c>
    </row>
    <row r="629" spans="1:13" x14ac:dyDescent="0.2">
      <c r="A629" s="150">
        <v>1915</v>
      </c>
      <c r="B629" s="276" t="s">
        <v>129</v>
      </c>
      <c r="C629" s="277">
        <v>2627497.5887315059</v>
      </c>
      <c r="D629" s="278"/>
      <c r="E629" s="278">
        <v>0</v>
      </c>
      <c r="F629" s="279">
        <v>0</v>
      </c>
      <c r="G629" s="280">
        <f t="shared" si="76"/>
        <v>2627497.5887315059</v>
      </c>
      <c r="H629" s="290">
        <v>6.1004938050944144</v>
      </c>
      <c r="I629" s="288">
        <f t="shared" si="78"/>
        <v>0.16392115654062589</v>
      </c>
      <c r="J629" s="283">
        <f t="shared" si="75"/>
        <v>430702.44355257426</v>
      </c>
      <c r="K629" s="311">
        <v>430702.44885972608</v>
      </c>
      <c r="L629" s="291">
        <f t="shared" si="79"/>
        <v>5.3071518195793033E-3</v>
      </c>
      <c r="M629" s="289">
        <f t="shared" si="77"/>
        <v>1.2322084152597354E-8</v>
      </c>
    </row>
    <row r="630" spans="1:13" x14ac:dyDescent="0.2">
      <c r="A630" s="150">
        <v>1915</v>
      </c>
      <c r="B630" s="276" t="s">
        <v>130</v>
      </c>
      <c r="C630" s="277">
        <v>0</v>
      </c>
      <c r="D630" s="278"/>
      <c r="E630" s="278">
        <v>0</v>
      </c>
      <c r="F630" s="279">
        <v>0</v>
      </c>
      <c r="G630" s="280">
        <f t="shared" si="76"/>
        <v>0</v>
      </c>
      <c r="H630" s="290"/>
      <c r="I630" s="288">
        <f t="shared" si="78"/>
        <v>0</v>
      </c>
      <c r="J630" s="283">
        <f t="shared" si="75"/>
        <v>0</v>
      </c>
      <c r="K630" s="311">
        <v>0</v>
      </c>
      <c r="L630" s="291">
        <f t="shared" si="79"/>
        <v>0</v>
      </c>
      <c r="M630" s="289">
        <f t="shared" si="77"/>
        <v>0</v>
      </c>
    </row>
    <row r="631" spans="1:13" x14ac:dyDescent="0.2">
      <c r="A631" s="150">
        <v>1920</v>
      </c>
      <c r="B631" s="276" t="s">
        <v>131</v>
      </c>
      <c r="C631" s="277">
        <v>8485766.9402000047</v>
      </c>
      <c r="D631" s="278"/>
      <c r="E631" s="278">
        <v>4427773.2850000001</v>
      </c>
      <c r="F631" s="279">
        <v>0</v>
      </c>
      <c r="G631" s="280">
        <f t="shared" si="76"/>
        <v>10699653.582700005</v>
      </c>
      <c r="H631" s="290">
        <v>3.1525545771658048</v>
      </c>
      <c r="I631" s="288">
        <f t="shared" si="78"/>
        <v>0.31720307310239032</v>
      </c>
      <c r="J631" s="283">
        <f t="shared" si="75"/>
        <v>3393962.9975634422</v>
      </c>
      <c r="K631" s="311">
        <v>3629992.8491666671</v>
      </c>
      <c r="L631" s="291">
        <f t="shared" si="79"/>
        <v>236029.85160322487</v>
      </c>
      <c r="M631" s="289">
        <f t="shared" si="77"/>
        <v>6.5022125775649933E-2</v>
      </c>
    </row>
    <row r="632" spans="1:13" x14ac:dyDescent="0.2">
      <c r="A632" s="150">
        <v>1920</v>
      </c>
      <c r="B632" s="276" t="s">
        <v>132</v>
      </c>
      <c r="C632" s="277">
        <v>0</v>
      </c>
      <c r="D632" s="278"/>
      <c r="E632" s="278">
        <v>0</v>
      </c>
      <c r="F632" s="279">
        <v>0</v>
      </c>
      <c r="G632" s="280">
        <f t="shared" si="76"/>
        <v>0</v>
      </c>
      <c r="H632" s="290"/>
      <c r="I632" s="288">
        <f t="shared" si="78"/>
        <v>0</v>
      </c>
      <c r="J632" s="283">
        <f t="shared" si="75"/>
        <v>0</v>
      </c>
      <c r="K632" s="311">
        <v>0</v>
      </c>
      <c r="L632" s="291">
        <f t="shared" si="79"/>
        <v>0</v>
      </c>
      <c r="M632" s="292">
        <f t="shared" si="77"/>
        <v>0</v>
      </c>
    </row>
    <row r="633" spans="1:13" x14ac:dyDescent="0.2">
      <c r="A633" s="150">
        <v>1920</v>
      </c>
      <c r="B633" s="276" t="s">
        <v>133</v>
      </c>
      <c r="C633" s="277">
        <v>0</v>
      </c>
      <c r="D633" s="278"/>
      <c r="E633" s="278">
        <v>0</v>
      </c>
      <c r="F633" s="279">
        <v>0</v>
      </c>
      <c r="G633" s="280">
        <f t="shared" si="76"/>
        <v>0</v>
      </c>
      <c r="H633" s="290"/>
      <c r="I633" s="288">
        <f t="shared" si="78"/>
        <v>0</v>
      </c>
      <c r="J633" s="283">
        <f t="shared" si="75"/>
        <v>0</v>
      </c>
      <c r="K633" s="311">
        <v>0</v>
      </c>
      <c r="L633" s="291">
        <f t="shared" si="79"/>
        <v>0</v>
      </c>
      <c r="M633" s="292">
        <f t="shared" si="77"/>
        <v>0</v>
      </c>
    </row>
    <row r="634" spans="1:13" x14ac:dyDescent="0.2">
      <c r="A634" s="150">
        <v>1930</v>
      </c>
      <c r="B634" s="276" t="s">
        <v>134</v>
      </c>
      <c r="C634" s="277">
        <v>16287970.650189228</v>
      </c>
      <c r="D634" s="278"/>
      <c r="E634" s="278">
        <v>2909303.5</v>
      </c>
      <c r="F634" s="279">
        <v>0</v>
      </c>
      <c r="G634" s="280">
        <f t="shared" si="76"/>
        <v>17742622.400189228</v>
      </c>
      <c r="H634" s="290">
        <v>7.1176756386618631</v>
      </c>
      <c r="I634" s="288">
        <f t="shared" si="78"/>
        <v>0.14049530363089177</v>
      </c>
      <c r="J634" s="283">
        <f t="shared" si="75"/>
        <v>2492755.1213228474</v>
      </c>
      <c r="K634" s="311">
        <v>2492660.1503554336</v>
      </c>
      <c r="L634" s="291">
        <f t="shared" si="79"/>
        <v>-94.970967413857579</v>
      </c>
      <c r="M634" s="289">
        <f t="shared" si="77"/>
        <v>-3.810024699930132E-5</v>
      </c>
    </row>
    <row r="635" spans="1:13" x14ac:dyDescent="0.2">
      <c r="A635" s="150">
        <v>1935</v>
      </c>
      <c r="B635" s="276" t="s">
        <v>135</v>
      </c>
      <c r="C635" s="277">
        <v>0</v>
      </c>
      <c r="D635" s="278"/>
      <c r="E635" s="278">
        <v>0</v>
      </c>
      <c r="F635" s="279">
        <v>0</v>
      </c>
      <c r="G635" s="280">
        <f t="shared" si="76"/>
        <v>0</v>
      </c>
      <c r="H635" s="290">
        <v>0</v>
      </c>
      <c r="I635" s="288">
        <f t="shared" si="78"/>
        <v>0</v>
      </c>
      <c r="J635" s="283">
        <f t="shared" si="75"/>
        <v>0</v>
      </c>
      <c r="K635" s="311">
        <v>0</v>
      </c>
      <c r="L635" s="291">
        <f t="shared" si="79"/>
        <v>0</v>
      </c>
      <c r="M635" s="289">
        <f t="shared" si="77"/>
        <v>0</v>
      </c>
    </row>
    <row r="636" spans="1:13" x14ac:dyDescent="0.2">
      <c r="A636" s="150">
        <v>1940</v>
      </c>
      <c r="B636" s="276" t="s">
        <v>136</v>
      </c>
      <c r="C636" s="277">
        <v>4260157.3234430756</v>
      </c>
      <c r="D636" s="278"/>
      <c r="E636" s="278">
        <v>834193.67999999993</v>
      </c>
      <c r="F636" s="279">
        <v>0</v>
      </c>
      <c r="G636" s="280">
        <f t="shared" si="76"/>
        <v>4677254.1634430755</v>
      </c>
      <c r="H636" s="290">
        <v>6.711431461592932</v>
      </c>
      <c r="I636" s="288">
        <f t="shared" si="78"/>
        <v>0.14899951012278592</v>
      </c>
      <c r="J636" s="283">
        <f t="shared" si="75"/>
        <v>696908.57907277916</v>
      </c>
      <c r="K636" s="311">
        <v>691008.92656628776</v>
      </c>
      <c r="L636" s="291">
        <f t="shared" si="79"/>
        <v>-5899.6525064914022</v>
      </c>
      <c r="M636" s="292">
        <f t="shared" si="77"/>
        <v>-8.5377370388072041E-3</v>
      </c>
    </row>
    <row r="637" spans="1:13" x14ac:dyDescent="0.2">
      <c r="A637" s="150">
        <v>1945</v>
      </c>
      <c r="B637" s="276" t="s">
        <v>137</v>
      </c>
      <c r="C637" s="277">
        <v>3427.2491357602121</v>
      </c>
      <c r="D637" s="278"/>
      <c r="E637" s="278">
        <v>0</v>
      </c>
      <c r="F637" s="279">
        <v>0</v>
      </c>
      <c r="G637" s="280">
        <f t="shared" si="76"/>
        <v>3427.2491357602121</v>
      </c>
      <c r="H637" s="290">
        <v>2.2549113993807302</v>
      </c>
      <c r="I637" s="288">
        <f t="shared" si="78"/>
        <v>0.4434764045605657</v>
      </c>
      <c r="J637" s="283">
        <f t="shared" si="75"/>
        <v>1519.904124260245</v>
      </c>
      <c r="K637" s="311">
        <v>1519.9041242602691</v>
      </c>
      <c r="L637" s="291">
        <f t="shared" si="79"/>
        <v>2.4101609596982598E-11</v>
      </c>
      <c r="M637" s="289">
        <f t="shared" si="77"/>
        <v>1.5857322322033141E-14</v>
      </c>
    </row>
    <row r="638" spans="1:13" x14ac:dyDescent="0.2">
      <c r="A638" s="150">
        <v>1950</v>
      </c>
      <c r="B638" s="276" t="s">
        <v>138</v>
      </c>
      <c r="C638" s="277">
        <v>0</v>
      </c>
      <c r="D638" s="278"/>
      <c r="E638" s="278">
        <v>0</v>
      </c>
      <c r="F638" s="279">
        <v>0</v>
      </c>
      <c r="G638" s="280">
        <f t="shared" si="76"/>
        <v>0</v>
      </c>
      <c r="H638" s="290"/>
      <c r="I638" s="288">
        <f t="shared" si="78"/>
        <v>0</v>
      </c>
      <c r="J638" s="283">
        <f t="shared" si="75"/>
        <v>0</v>
      </c>
      <c r="K638" s="311">
        <v>0</v>
      </c>
      <c r="L638" s="291">
        <f t="shared" si="79"/>
        <v>0</v>
      </c>
      <c r="M638" s="292">
        <f t="shared" si="77"/>
        <v>0</v>
      </c>
    </row>
    <row r="639" spans="1:13" x14ac:dyDescent="0.2">
      <c r="A639" s="150">
        <v>1955</v>
      </c>
      <c r="B639" s="276" t="s">
        <v>139</v>
      </c>
      <c r="C639" s="277">
        <v>50804.850331232417</v>
      </c>
      <c r="D639" s="278"/>
      <c r="E639" s="278">
        <v>0</v>
      </c>
      <c r="F639" s="279">
        <v>0</v>
      </c>
      <c r="G639" s="280">
        <f t="shared" si="76"/>
        <v>50804.850331232417</v>
      </c>
      <c r="H639" s="290">
        <v>1.4986301369863013</v>
      </c>
      <c r="I639" s="288">
        <f t="shared" si="78"/>
        <v>0.6672760511882998</v>
      </c>
      <c r="J639" s="283">
        <f t="shared" si="75"/>
        <v>33900.859910237356</v>
      </c>
      <c r="K639" s="311">
        <v>33900.860099999998</v>
      </c>
      <c r="L639" s="291">
        <f t="shared" si="79"/>
        <v>1.897626425488852E-4</v>
      </c>
      <c r="M639" s="292">
        <f t="shared" si="77"/>
        <v>5.5975760493724234E-9</v>
      </c>
    </row>
    <row r="640" spans="1:13" x14ac:dyDescent="0.2">
      <c r="A640" s="150">
        <v>1955</v>
      </c>
      <c r="B640" s="276" t="s">
        <v>140</v>
      </c>
      <c r="C640" s="277">
        <v>0</v>
      </c>
      <c r="D640" s="278"/>
      <c r="E640" s="278">
        <v>0</v>
      </c>
      <c r="F640" s="279">
        <v>0</v>
      </c>
      <c r="G640" s="280">
        <f t="shared" si="76"/>
        <v>0</v>
      </c>
      <c r="H640" s="290"/>
      <c r="I640" s="288">
        <f t="shared" si="78"/>
        <v>0</v>
      </c>
      <c r="J640" s="283">
        <f t="shared" si="75"/>
        <v>0</v>
      </c>
      <c r="K640" s="311">
        <v>0</v>
      </c>
      <c r="L640" s="291">
        <f t="shared" si="79"/>
        <v>0</v>
      </c>
      <c r="M640" s="289">
        <f t="shared" si="77"/>
        <v>0</v>
      </c>
    </row>
    <row r="641" spans="1:13" x14ac:dyDescent="0.2">
      <c r="A641" s="150">
        <v>1960</v>
      </c>
      <c r="B641" s="276" t="s">
        <v>141</v>
      </c>
      <c r="C641" s="277">
        <v>5875.5960594520438</v>
      </c>
      <c r="D641" s="278"/>
      <c r="E641" s="278">
        <v>0</v>
      </c>
      <c r="F641" s="279">
        <v>0</v>
      </c>
      <c r="G641" s="280">
        <f t="shared" si="76"/>
        <v>5875.5960594520438</v>
      </c>
      <c r="H641" s="290">
        <v>1.4910567369004932</v>
      </c>
      <c r="I641" s="288">
        <f t="shared" si="78"/>
        <v>0.67066529076467718</v>
      </c>
      <c r="J641" s="283">
        <f t="shared" si="75"/>
        <v>3940.5583396281963</v>
      </c>
      <c r="K641" s="311">
        <v>3940.5584419178076</v>
      </c>
      <c r="L641" s="291">
        <f t="shared" si="79"/>
        <v>1.0228961127722869E-4</v>
      </c>
      <c r="M641" s="292">
        <f t="shared" si="77"/>
        <v>2.5958151055220981E-8</v>
      </c>
    </row>
    <row r="642" spans="1:13" x14ac:dyDescent="0.2">
      <c r="A642" s="150">
        <v>1970</v>
      </c>
      <c r="B642" s="293" t="s">
        <v>142</v>
      </c>
      <c r="C642" s="277">
        <v>0</v>
      </c>
      <c r="D642" s="278"/>
      <c r="E642" s="278">
        <v>0</v>
      </c>
      <c r="F642" s="279">
        <v>0</v>
      </c>
      <c r="G642" s="280">
        <f t="shared" si="76"/>
        <v>0</v>
      </c>
      <c r="H642" s="290"/>
      <c r="I642" s="288">
        <f t="shared" si="78"/>
        <v>0</v>
      </c>
      <c r="J642" s="283">
        <f t="shared" si="75"/>
        <v>0</v>
      </c>
      <c r="K642" s="311">
        <v>0</v>
      </c>
      <c r="L642" s="291">
        <f t="shared" si="79"/>
        <v>0</v>
      </c>
      <c r="M642" s="292">
        <f t="shared" si="77"/>
        <v>0</v>
      </c>
    </row>
    <row r="643" spans="1:13" x14ac:dyDescent="0.2">
      <c r="A643" s="150">
        <v>1975</v>
      </c>
      <c r="B643" s="276" t="s">
        <v>143</v>
      </c>
      <c r="C643" s="277">
        <v>0</v>
      </c>
      <c r="D643" s="278"/>
      <c r="E643" s="278">
        <v>0</v>
      </c>
      <c r="F643" s="279">
        <v>0</v>
      </c>
      <c r="G643" s="280">
        <f t="shared" si="76"/>
        <v>0</v>
      </c>
      <c r="H643" s="290"/>
      <c r="I643" s="288">
        <f t="shared" si="78"/>
        <v>0</v>
      </c>
      <c r="J643" s="283">
        <f t="shared" si="75"/>
        <v>0</v>
      </c>
      <c r="K643" s="311">
        <v>0</v>
      </c>
      <c r="L643" s="291">
        <f t="shared" si="79"/>
        <v>0</v>
      </c>
      <c r="M643" s="289">
        <f t="shared" si="77"/>
        <v>0</v>
      </c>
    </row>
    <row r="644" spans="1:13" x14ac:dyDescent="0.2">
      <c r="A644" s="150">
        <v>1980</v>
      </c>
      <c r="B644" s="276" t="s">
        <v>144</v>
      </c>
      <c r="C644" s="277">
        <v>6844731.4610913917</v>
      </c>
      <c r="D644" s="278"/>
      <c r="E644" s="278">
        <v>1315806.9328000001</v>
      </c>
      <c r="F644" s="279">
        <v>2740.2818947945198</v>
      </c>
      <c r="G644" s="280">
        <f t="shared" si="76"/>
        <v>7499894.6455965973</v>
      </c>
      <c r="H644" s="290">
        <v>9.0768653580232836</v>
      </c>
      <c r="I644" s="288">
        <f t="shared" si="78"/>
        <v>0.11017019208245425</v>
      </c>
      <c r="J644" s="283">
        <f t="shared" si="75"/>
        <v>826264.83370354725</v>
      </c>
      <c r="K644" s="311">
        <v>826385.23592446104</v>
      </c>
      <c r="L644" s="291">
        <f t="shared" si="79"/>
        <v>120.4022209137911</v>
      </c>
      <c r="M644" s="289">
        <f t="shared" si="77"/>
        <v>1.4569744917949736E-4</v>
      </c>
    </row>
    <row r="645" spans="1:13" x14ac:dyDescent="0.2">
      <c r="A645" s="150">
        <v>1985</v>
      </c>
      <c r="B645" s="276" t="s">
        <v>145</v>
      </c>
      <c r="C645" s="277">
        <v>0</v>
      </c>
      <c r="D645" s="278"/>
      <c r="E645" s="278">
        <v>0</v>
      </c>
      <c r="F645" s="279">
        <v>0</v>
      </c>
      <c r="G645" s="280">
        <f t="shared" si="76"/>
        <v>0</v>
      </c>
      <c r="H645" s="290"/>
      <c r="I645" s="288">
        <f t="shared" si="78"/>
        <v>0</v>
      </c>
      <c r="J645" s="283">
        <f t="shared" si="75"/>
        <v>0</v>
      </c>
      <c r="K645" s="311">
        <v>0</v>
      </c>
      <c r="L645" s="291">
        <f t="shared" si="79"/>
        <v>0</v>
      </c>
      <c r="M645" s="292">
        <f t="shared" si="77"/>
        <v>0</v>
      </c>
    </row>
    <row r="646" spans="1:13" x14ac:dyDescent="0.2">
      <c r="A646" s="150">
        <v>1990</v>
      </c>
      <c r="B646" s="235" t="s">
        <v>146</v>
      </c>
      <c r="C646" s="277">
        <v>0</v>
      </c>
      <c r="D646" s="278"/>
      <c r="E646" s="278">
        <v>0</v>
      </c>
      <c r="F646" s="279">
        <v>0</v>
      </c>
      <c r="G646" s="280">
        <f t="shared" si="76"/>
        <v>0</v>
      </c>
      <c r="H646" s="290"/>
      <c r="I646" s="288">
        <f t="shared" si="78"/>
        <v>0</v>
      </c>
      <c r="J646" s="283">
        <f t="shared" si="75"/>
        <v>0</v>
      </c>
      <c r="K646" s="311">
        <v>0</v>
      </c>
      <c r="L646" s="291">
        <f t="shared" si="79"/>
        <v>0</v>
      </c>
      <c r="M646" s="289">
        <f t="shared" si="77"/>
        <v>0</v>
      </c>
    </row>
    <row r="647" spans="1:13" x14ac:dyDescent="0.2">
      <c r="A647" s="150">
        <v>1995</v>
      </c>
      <c r="B647" s="276" t="s">
        <v>147</v>
      </c>
      <c r="C647" s="277">
        <v>0</v>
      </c>
      <c r="D647" s="278"/>
      <c r="E647" s="278">
        <v>0</v>
      </c>
      <c r="F647" s="279">
        <v>0</v>
      </c>
      <c r="G647" s="280">
        <f t="shared" si="76"/>
        <v>0</v>
      </c>
      <c r="H647" s="290"/>
      <c r="I647" s="294">
        <f t="shared" si="78"/>
        <v>0</v>
      </c>
      <c r="J647" s="295">
        <f t="shared" si="75"/>
        <v>0</v>
      </c>
      <c r="K647" s="311">
        <v>0</v>
      </c>
      <c r="L647" s="291">
        <f t="shared" si="79"/>
        <v>0</v>
      </c>
      <c r="M647" s="289">
        <f t="shared" si="77"/>
        <v>0</v>
      </c>
    </row>
    <row r="648" spans="1:13" x14ac:dyDescent="0.2">
      <c r="A648" s="150">
        <v>2075</v>
      </c>
      <c r="B648" s="276" t="s">
        <v>148</v>
      </c>
      <c r="C648" s="277">
        <v>349226.07689616375</v>
      </c>
      <c r="D648" s="278"/>
      <c r="E648" s="278">
        <v>0</v>
      </c>
      <c r="F648" s="279">
        <v>0</v>
      </c>
      <c r="G648" s="280">
        <f t="shared" si="76"/>
        <v>349226.07689616375</v>
      </c>
      <c r="H648" s="290">
        <v>5.0028780849760857</v>
      </c>
      <c r="I648" s="294">
        <f t="shared" si="78"/>
        <v>0.19988494282981914</v>
      </c>
      <c r="J648" s="295">
        <f t="shared" si="75"/>
        <v>69805.034415071714</v>
      </c>
      <c r="K648" s="311">
        <v>52509.521900000007</v>
      </c>
      <c r="L648" s="291">
        <f t="shared" si="79"/>
        <v>-17295.512515071707</v>
      </c>
      <c r="M648" s="289">
        <f t="shared" si="77"/>
        <v>-0.32937859438159739</v>
      </c>
    </row>
    <row r="649" spans="1:13" x14ac:dyDescent="0.2">
      <c r="A649" s="150">
        <v>2440</v>
      </c>
      <c r="B649" s="151" t="s">
        <v>166</v>
      </c>
      <c r="C649" s="277">
        <v>-309664849.48827535</v>
      </c>
      <c r="D649" s="278"/>
      <c r="E649" s="278">
        <v>-39835121.549999997</v>
      </c>
      <c r="F649" s="279">
        <v>-77605.957876287663</v>
      </c>
      <c r="G649" s="280">
        <f t="shared" si="76"/>
        <v>-329504804.30539906</v>
      </c>
      <c r="H649" s="290">
        <v>36.191248561723206</v>
      </c>
      <c r="I649" s="294">
        <f t="shared" si="78"/>
        <v>2.7630989251297224E-2</v>
      </c>
      <c r="J649" s="295">
        <f t="shared" si="75"/>
        <v>-9104543.7060132772</v>
      </c>
      <c r="K649" s="311">
        <v>-9105348.9306705203</v>
      </c>
      <c r="L649" s="291">
        <f t="shared" si="79"/>
        <v>-805.22465724311769</v>
      </c>
      <c r="M649" s="289">
        <f t="shared" si="77"/>
        <v>8.8434244900905816E-5</v>
      </c>
    </row>
    <row r="650" spans="1:13" ht="13.5" thickBot="1" x14ac:dyDescent="0.25">
      <c r="A650" s="150">
        <v>2005</v>
      </c>
      <c r="B650" s="276" t="s">
        <v>329</v>
      </c>
      <c r="C650" s="277">
        <v>0</v>
      </c>
      <c r="D650" s="278"/>
      <c r="E650" s="278">
        <v>0</v>
      </c>
      <c r="F650" s="279">
        <v>0</v>
      </c>
      <c r="G650" s="280">
        <f t="shared" si="76"/>
        <v>0</v>
      </c>
      <c r="H650" s="297"/>
      <c r="I650" s="298">
        <f t="shared" si="78"/>
        <v>0</v>
      </c>
      <c r="J650" s="299">
        <f t="shared" si="75"/>
        <v>0</v>
      </c>
      <c r="K650" s="312">
        <v>0</v>
      </c>
      <c r="L650" s="300">
        <f t="shared" si="79"/>
        <v>0</v>
      </c>
      <c r="M650" s="301">
        <f t="shared" si="77"/>
        <v>0</v>
      </c>
    </row>
    <row r="651" spans="1:13" ht="13.5" thickBot="1" x14ac:dyDescent="0.25">
      <c r="A651" s="309"/>
      <c r="B651" s="310" t="s">
        <v>43</v>
      </c>
      <c r="C651" s="304">
        <f t="shared" ref="C651:G651" si="80">SUM(C606:C650)</f>
        <v>880715590.38844657</v>
      </c>
      <c r="D651" s="304">
        <f t="shared" si="80"/>
        <v>0</v>
      </c>
      <c r="E651" s="304">
        <f t="shared" si="80"/>
        <v>254384924.09798324</v>
      </c>
      <c r="F651" s="304">
        <f t="shared" si="80"/>
        <v>2433694.5618983433</v>
      </c>
      <c r="G651" s="304">
        <f t="shared" si="80"/>
        <v>1005474357.8755397</v>
      </c>
      <c r="H651" s="304"/>
      <c r="I651" s="305"/>
      <c r="J651" s="304">
        <f>SUM(J606:J650)</f>
        <v>43041782.398051433</v>
      </c>
      <c r="K651" s="304">
        <f t="shared" ref="K651:L651" si="81">SUM(K606:K650)</f>
        <v>43384087.522554547</v>
      </c>
      <c r="L651" s="306">
        <f t="shared" si="81"/>
        <v>342305.12450311531</v>
      </c>
      <c r="M651" s="307">
        <f t="shared" si="77"/>
        <v>7.8901077342045638E-3</v>
      </c>
    </row>
    <row r="652" spans="1:13" x14ac:dyDescent="0.2">
      <c r="C652" s="172"/>
      <c r="E652" s="172"/>
      <c r="F652" s="172"/>
      <c r="K652" s="172"/>
    </row>
  </sheetData>
  <mergeCells count="55">
    <mergeCell ref="C77:F77"/>
    <mergeCell ref="G77:H77"/>
    <mergeCell ref="A9:K9"/>
    <mergeCell ref="A10:K10"/>
    <mergeCell ref="B14:K14"/>
    <mergeCell ref="B15:K15"/>
    <mergeCell ref="B18:K18"/>
    <mergeCell ref="B19:K19"/>
    <mergeCell ref="B21:K21"/>
    <mergeCell ref="C25:F25"/>
    <mergeCell ref="G25:H25"/>
    <mergeCell ref="A26:A27"/>
    <mergeCell ref="B26:B27"/>
    <mergeCell ref="A78:A79"/>
    <mergeCell ref="B78:B79"/>
    <mergeCell ref="C130:F130"/>
    <mergeCell ref="G130:H130"/>
    <mergeCell ref="A131:A132"/>
    <mergeCell ref="B131:B132"/>
    <mergeCell ref="C183:F183"/>
    <mergeCell ref="G183:H183"/>
    <mergeCell ref="A184:A185"/>
    <mergeCell ref="B184:B185"/>
    <mergeCell ref="C235:F235"/>
    <mergeCell ref="G235:H235"/>
    <mergeCell ref="A236:A237"/>
    <mergeCell ref="B236:B237"/>
    <mergeCell ref="C287:F287"/>
    <mergeCell ref="G287:H287"/>
    <mergeCell ref="A288:A289"/>
    <mergeCell ref="B288:B289"/>
    <mergeCell ref="C339:F339"/>
    <mergeCell ref="G339:H339"/>
    <mergeCell ref="A340:A341"/>
    <mergeCell ref="B340:B341"/>
    <mergeCell ref="C391:F391"/>
    <mergeCell ref="G391:H391"/>
    <mergeCell ref="A392:A393"/>
    <mergeCell ref="B392:B393"/>
    <mergeCell ref="C444:F444"/>
    <mergeCell ref="G444:H444"/>
    <mergeCell ref="A445:A446"/>
    <mergeCell ref="B445:B446"/>
    <mergeCell ref="C497:F497"/>
    <mergeCell ref="G497:H497"/>
    <mergeCell ref="A498:A499"/>
    <mergeCell ref="B498:B499"/>
    <mergeCell ref="C550:F550"/>
    <mergeCell ref="G550:H550"/>
    <mergeCell ref="A551:A552"/>
    <mergeCell ref="B551:B552"/>
    <mergeCell ref="C603:F603"/>
    <mergeCell ref="G603:H603"/>
    <mergeCell ref="A604:A605"/>
    <mergeCell ref="B604:B605"/>
  </mergeCells>
  <dataValidations disablePrompts="1" count="1">
    <dataValidation allowBlank="1" showInputMessage="1" showErrorMessage="1" promptTitle="Date Format" prompt="E.g:  &quot;August 1, 2011&quot;" sqref="J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xr:uid="{E9BEE389-374C-4F13-A341-B5645268BE19}"/>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7</xdr:col>
                    <xdr:colOff>476250</xdr:colOff>
                    <xdr:row>0</xdr:row>
                    <xdr:rowOff>0</xdr:rowOff>
                  </from>
                  <to>
                    <xdr:col>7</xdr:col>
                    <xdr:colOff>533400</xdr:colOff>
                    <xdr:row>0</xdr:row>
                    <xdr:rowOff>38100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7</xdr:col>
                    <xdr:colOff>2352675</xdr:colOff>
                    <xdr:row>0</xdr:row>
                    <xdr:rowOff>0</xdr:rowOff>
                  </from>
                  <to>
                    <xdr:col>8</xdr:col>
                    <xdr:colOff>19050</xdr:colOff>
                    <xdr:row>0</xdr:row>
                    <xdr:rowOff>152400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476250</xdr:colOff>
                    <xdr:row>0</xdr:row>
                    <xdr:rowOff>0</xdr:rowOff>
                  </from>
                  <to>
                    <xdr:col>7</xdr:col>
                    <xdr:colOff>533400</xdr:colOff>
                    <xdr:row>0</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476250</xdr:colOff>
                    <xdr:row>233</xdr:row>
                    <xdr:rowOff>0</xdr:rowOff>
                  </from>
                  <to>
                    <xdr:col>1</xdr:col>
                    <xdr:colOff>533400</xdr:colOff>
                    <xdr:row>233</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476250</xdr:colOff>
                    <xdr:row>233</xdr:row>
                    <xdr:rowOff>0</xdr:rowOff>
                  </from>
                  <to>
                    <xdr:col>1</xdr:col>
                    <xdr:colOff>533400</xdr:colOff>
                    <xdr:row>233</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476250</xdr:colOff>
                    <xdr:row>285</xdr:row>
                    <xdr:rowOff>0</xdr:rowOff>
                  </from>
                  <to>
                    <xdr:col>1</xdr:col>
                    <xdr:colOff>533400</xdr:colOff>
                    <xdr:row>285</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476250</xdr:colOff>
                    <xdr:row>285</xdr:row>
                    <xdr:rowOff>0</xdr:rowOff>
                  </from>
                  <to>
                    <xdr:col>1</xdr:col>
                    <xdr:colOff>533400</xdr:colOff>
                    <xdr:row>285</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476250</xdr:colOff>
                    <xdr:row>337</xdr:row>
                    <xdr:rowOff>0</xdr:rowOff>
                  </from>
                  <to>
                    <xdr:col>1</xdr:col>
                    <xdr:colOff>533400</xdr:colOff>
                    <xdr:row>337</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476250</xdr:colOff>
                    <xdr:row>337</xdr:row>
                    <xdr:rowOff>0</xdr:rowOff>
                  </from>
                  <to>
                    <xdr:col>1</xdr:col>
                    <xdr:colOff>533400</xdr:colOff>
                    <xdr:row>337</xdr:row>
                    <xdr:rowOff>38100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476250</xdr:colOff>
                    <xdr:row>389</xdr:row>
                    <xdr:rowOff>0</xdr:rowOff>
                  </from>
                  <to>
                    <xdr:col>1</xdr:col>
                    <xdr:colOff>533400</xdr:colOff>
                    <xdr:row>389</xdr:row>
                    <xdr:rowOff>38100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476250</xdr:colOff>
                    <xdr:row>389</xdr:row>
                    <xdr:rowOff>0</xdr:rowOff>
                  </from>
                  <to>
                    <xdr:col>1</xdr:col>
                    <xdr:colOff>533400</xdr:colOff>
                    <xdr:row>389</xdr:row>
                    <xdr:rowOff>38100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476250</xdr:colOff>
                    <xdr:row>442</xdr:row>
                    <xdr:rowOff>0</xdr:rowOff>
                  </from>
                  <to>
                    <xdr:col>1</xdr:col>
                    <xdr:colOff>533400</xdr:colOff>
                    <xdr:row>442</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xdr:col>
                    <xdr:colOff>476250</xdr:colOff>
                    <xdr:row>442</xdr:row>
                    <xdr:rowOff>0</xdr:rowOff>
                  </from>
                  <to>
                    <xdr:col>1</xdr:col>
                    <xdr:colOff>533400</xdr:colOff>
                    <xdr:row>442</xdr:row>
                    <xdr:rowOff>38100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xdr:col>
                    <xdr:colOff>476250</xdr:colOff>
                    <xdr:row>495</xdr:row>
                    <xdr:rowOff>0</xdr:rowOff>
                  </from>
                  <to>
                    <xdr:col>1</xdr:col>
                    <xdr:colOff>533400</xdr:colOff>
                    <xdr:row>495</xdr:row>
                    <xdr:rowOff>38100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xdr:col>
                    <xdr:colOff>476250</xdr:colOff>
                    <xdr:row>495</xdr:row>
                    <xdr:rowOff>0</xdr:rowOff>
                  </from>
                  <to>
                    <xdr:col>1</xdr:col>
                    <xdr:colOff>533400</xdr:colOff>
                    <xdr:row>495</xdr:row>
                    <xdr:rowOff>38100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476250</xdr:colOff>
                    <xdr:row>548</xdr:row>
                    <xdr:rowOff>0</xdr:rowOff>
                  </from>
                  <to>
                    <xdr:col>1</xdr:col>
                    <xdr:colOff>533400</xdr:colOff>
                    <xdr:row>548</xdr:row>
                    <xdr:rowOff>38100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xdr:col>
                    <xdr:colOff>476250</xdr:colOff>
                    <xdr:row>548</xdr:row>
                    <xdr:rowOff>0</xdr:rowOff>
                  </from>
                  <to>
                    <xdr:col>1</xdr:col>
                    <xdr:colOff>533400</xdr:colOff>
                    <xdr:row>548</xdr:row>
                    <xdr:rowOff>38100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xdr:col>
                    <xdr:colOff>476250</xdr:colOff>
                    <xdr:row>601</xdr:row>
                    <xdr:rowOff>0</xdr:rowOff>
                  </from>
                  <to>
                    <xdr:col>1</xdr:col>
                    <xdr:colOff>533400</xdr:colOff>
                    <xdr:row>601</xdr:row>
                    <xdr:rowOff>38100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xdr:col>
                    <xdr:colOff>476250</xdr:colOff>
                    <xdr:row>601</xdr:row>
                    <xdr:rowOff>0</xdr:rowOff>
                  </from>
                  <to>
                    <xdr:col>1</xdr:col>
                    <xdr:colOff>533400</xdr:colOff>
                    <xdr:row>601</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xdr:col>
                    <xdr:colOff>476250</xdr:colOff>
                    <xdr:row>652</xdr:row>
                    <xdr:rowOff>0</xdr:rowOff>
                  </from>
                  <to>
                    <xdr:col>1</xdr:col>
                    <xdr:colOff>533400</xdr:colOff>
                    <xdr:row>652</xdr:row>
                    <xdr:rowOff>38100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xdr:col>
                    <xdr:colOff>476250</xdr:colOff>
                    <xdr:row>181</xdr:row>
                    <xdr:rowOff>0</xdr:rowOff>
                  </from>
                  <to>
                    <xdr:col>1</xdr:col>
                    <xdr:colOff>533400</xdr:colOff>
                    <xdr:row>181</xdr:row>
                    <xdr:rowOff>38100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xdr:col>
                    <xdr:colOff>476250</xdr:colOff>
                    <xdr:row>181</xdr:row>
                    <xdr:rowOff>0</xdr:rowOff>
                  </from>
                  <to>
                    <xdr:col>1</xdr:col>
                    <xdr:colOff>533400</xdr:colOff>
                    <xdr:row>181</xdr:row>
                    <xdr:rowOff>38100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xdr:col>
                    <xdr:colOff>476250</xdr:colOff>
                    <xdr:row>75</xdr:row>
                    <xdr:rowOff>0</xdr:rowOff>
                  </from>
                  <to>
                    <xdr:col>1</xdr:col>
                    <xdr:colOff>533400</xdr:colOff>
                    <xdr:row>76</xdr:row>
                    <xdr:rowOff>9525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1</xdr:col>
                    <xdr:colOff>476250</xdr:colOff>
                    <xdr:row>75</xdr:row>
                    <xdr:rowOff>0</xdr:rowOff>
                  </from>
                  <to>
                    <xdr:col>1</xdr:col>
                    <xdr:colOff>533400</xdr:colOff>
                    <xdr:row>76</xdr:row>
                    <xdr:rowOff>9525</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xdr:col>
                    <xdr:colOff>476250</xdr:colOff>
                    <xdr:row>128</xdr:row>
                    <xdr:rowOff>0</xdr:rowOff>
                  </from>
                  <to>
                    <xdr:col>1</xdr:col>
                    <xdr:colOff>533400</xdr:colOff>
                    <xdr:row>128</xdr:row>
                    <xdr:rowOff>38100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xdr:col>
                    <xdr:colOff>476250</xdr:colOff>
                    <xdr:row>128</xdr:row>
                    <xdr:rowOff>0</xdr:rowOff>
                  </from>
                  <to>
                    <xdr:col>1</xdr:col>
                    <xdr:colOff>533400</xdr:colOff>
                    <xdr:row>128</xdr:row>
                    <xdr:rowOff>38100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1</xdr:col>
                    <xdr:colOff>476250</xdr:colOff>
                    <xdr:row>23</xdr:row>
                    <xdr:rowOff>0</xdr:rowOff>
                  </from>
                  <to>
                    <xdr:col>1</xdr:col>
                    <xdr:colOff>533400</xdr:colOff>
                    <xdr:row>24</xdr:row>
                    <xdr:rowOff>9525</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1</xdr:col>
                    <xdr:colOff>476250</xdr:colOff>
                    <xdr:row>23</xdr:row>
                    <xdr:rowOff>0</xdr:rowOff>
                  </from>
                  <to>
                    <xdr:col>1</xdr:col>
                    <xdr:colOff>533400</xdr:colOff>
                    <xdr:row>24</xdr:row>
                    <xdr:rowOff>9525</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1</xdr:col>
                    <xdr:colOff>476250</xdr:colOff>
                    <xdr:row>22</xdr:row>
                    <xdr:rowOff>0</xdr:rowOff>
                  </from>
                  <to>
                    <xdr:col>1</xdr:col>
                    <xdr:colOff>533400</xdr:colOff>
                    <xdr:row>23</xdr:row>
                    <xdr:rowOff>9525</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1</xdr:col>
                    <xdr:colOff>476250</xdr:colOff>
                    <xdr:row>22</xdr:row>
                    <xdr:rowOff>0</xdr:rowOff>
                  </from>
                  <to>
                    <xdr:col>1</xdr:col>
                    <xdr:colOff>533400</xdr:colOff>
                    <xdr:row>23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adPen xmlns="1ebb5cdf-5803-4e55-8f90-2858ffc370dd">
      <UserInfo>
        <DisplayName/>
        <AccountId xsi:nil="true"/>
        <AccountType/>
      </UserInfo>
    </LeadPen>
    <lcf76f155ced4ddcb4097134ff3c332f xmlns="1ebb5cdf-5803-4e55-8f90-2858ffc370dd">
      <Terms xmlns="http://schemas.microsoft.com/office/infopath/2007/PartnerControls"/>
    </lcf76f155ced4ddcb4097134ff3c332f>
    <Strategic xmlns="1ebb5cdf-5803-4e55-8f90-2858ffc370dd">false</Strategic>
    <DRP_x0028_Elexicon_x0029_ xmlns="1ebb5cdf-5803-4e55-8f90-2858ffc370dd">
      <UserInfo>
        <DisplayName/>
        <AccountId xsi:nil="true"/>
        <AccountType/>
      </UserInfo>
    </DRP_x0028_Elexicon_x0029_>
    <Status xmlns="1ebb5cdf-5803-4e55-8f90-2858ffc370dd">Ready to be Filed</Status>
    <Witness xmlns="1ebb5cdf-5803-4e55-8f90-2858ffc370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802FD7-C966-4119-A08E-827DCBB81B92}">
  <ds:schemaRefs>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1ebb5cdf-5803-4e55-8f90-2858ffc370dd"/>
    <ds:schemaRef ds:uri="http://purl.org/dc/elements/1.1/"/>
  </ds:schemaRefs>
</ds:datastoreItem>
</file>

<file path=customXml/itemProps2.xml><?xml version="1.0" encoding="utf-8"?>
<ds:datastoreItem xmlns:ds="http://schemas.openxmlformats.org/officeDocument/2006/customXml" ds:itemID="{5F725889-54FF-49BF-877D-8FE1899CF463}">
  <ds:schemaRefs>
    <ds:schemaRef ds:uri="http://schemas.microsoft.com/sharepoint/v3/contenttype/forms"/>
  </ds:schemaRefs>
</ds:datastoreItem>
</file>

<file path=customXml/itemProps3.xml><?xml version="1.0" encoding="utf-8"?>
<ds:datastoreItem xmlns:ds="http://schemas.openxmlformats.org/officeDocument/2006/customXml" ds:itemID="{D4633C25-FDC1-4759-A84B-FDDFC94BE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b5cdf-5803-4e55-8f90-2858ffc3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App2.-AA_Capital Projects</vt:lpstr>
      <vt:lpstr>App2.AB_Capital Expenditures</vt:lpstr>
      <vt:lpstr>App2-BA_Fixed Asset Cont</vt:lpstr>
      <vt:lpstr>App2-BA_Fixed Asset Cont(ICM)</vt:lpstr>
      <vt:lpstr>App2.BB_Service Life</vt:lpstr>
      <vt:lpstr>App2.C_DepExp</vt:lpstr>
    </vt:vector>
  </TitlesOfParts>
  <Company>Elexicon Energy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Kim</dc:creator>
  <cp:lastModifiedBy>Susan Kim</cp:lastModifiedBy>
  <dcterms:created xsi:type="dcterms:W3CDTF">2025-12-11T00:30:06Z</dcterms:created>
  <dcterms:modified xsi:type="dcterms:W3CDTF">2025-12-15T03:15:59Z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