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always"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Shared Documents/Exhibits (Working Drafts)/Exhibit 4 (OM&amp;A)/"/>
    </mc:Choice>
  </mc:AlternateContent>
  <xr:revisionPtr revIDLastSave="336" documentId="13_ncr:1_{52A1B344-04AE-4E74-AF68-D2E49910FDC1}" xr6:coauthVersionLast="47" xr6:coauthVersionMax="47" xr10:uidLastSave="{001A2D9D-5976-492D-9678-9D9DE3E33C46}"/>
  <bookViews>
    <workbookView xWindow="-120" yWindow="-120" windowWidth="29040" windowHeight="15720" xr2:uid="{DF978D85-C938-4B37-B792-5A95C7E48303}"/>
  </bookViews>
  <sheets>
    <sheet name="App.2-JA OM&amp;A Summary Analys" sheetId="1" r:id="rId1"/>
    <sheet name="App.2-JB OM&amp;A Cost Drivers" sheetId="2" r:id="rId2"/>
    <sheet name="App2.-JC OM&amp;A Program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2" l="1"/>
  <c r="A49" i="2"/>
  <c r="F44" i="2" l="1"/>
  <c r="G44" i="2"/>
  <c r="H44" i="2"/>
  <c r="I44" i="2"/>
  <c r="J44" i="2"/>
  <c r="K44" i="2"/>
  <c r="E44" i="2"/>
  <c r="O48" i="3"/>
  <c r="E43" i="2"/>
  <c r="G43" i="2"/>
  <c r="I43" i="2"/>
  <c r="K49" i="3"/>
  <c r="L43" i="2"/>
  <c r="F43" i="2" l="1"/>
  <c r="L44" i="2"/>
  <c r="E49" i="3"/>
  <c r="D49" i="3"/>
  <c r="O47" i="3"/>
  <c r="C49" i="3"/>
  <c r="B43" i="2"/>
  <c r="C44" i="2"/>
  <c r="D43" i="2"/>
  <c r="C43" i="2"/>
  <c r="B44" i="2"/>
  <c r="L49" i="3"/>
  <c r="D44" i="2"/>
  <c r="B49" i="3"/>
  <c r="J49" i="3"/>
  <c r="J43" i="2"/>
  <c r="I49" i="3"/>
  <c r="N48" i="3"/>
  <c r="H49" i="3"/>
  <c r="H43" i="2"/>
  <c r="N47" i="3"/>
  <c r="G49" i="3"/>
  <c r="K43" i="2"/>
  <c r="F49" i="3"/>
  <c r="M49" i="3"/>
  <c r="O49" i="3" l="1"/>
  <c r="N49" i="3"/>
  <c r="O13" i="3" l="1"/>
  <c r="K41" i="2" l="1"/>
  <c r="L41" i="2"/>
  <c r="C41" i="2"/>
  <c r="D41" i="2"/>
  <c r="E41" i="2"/>
  <c r="F41" i="2" l="1"/>
  <c r="O44" i="3"/>
  <c r="I41" i="2"/>
  <c r="J41" i="2"/>
  <c r="B41" i="2"/>
  <c r="G41" i="2"/>
  <c r="H41" i="2"/>
  <c r="N44" i="3"/>
  <c r="H45" i="3"/>
  <c r="G45" i="3"/>
  <c r="E45" i="3"/>
  <c r="D45" i="3"/>
  <c r="C45" i="3"/>
  <c r="N13" i="3"/>
  <c r="L13" i="2"/>
  <c r="K13" i="2"/>
  <c r="J13" i="2"/>
  <c r="I13" i="2"/>
  <c r="H13" i="2"/>
  <c r="F12" i="2"/>
  <c r="E12" i="2" s="1"/>
  <c r="D12" i="2" s="1"/>
  <c r="C12" i="2" s="1"/>
  <c r="B12" i="2" s="1"/>
  <c r="V29" i="1"/>
  <c r="V38" i="1" s="1"/>
  <c r="U29" i="1"/>
  <c r="U38" i="1" s="1"/>
  <c r="T29" i="1"/>
  <c r="T38" i="1" s="1"/>
  <c r="S29" i="1"/>
  <c r="S38" i="1" s="1"/>
  <c r="R29" i="1"/>
  <c r="R38" i="1" s="1"/>
  <c r="Q29" i="1"/>
  <c r="Q38" i="1" s="1"/>
  <c r="AN12" i="1"/>
  <c r="AM12" i="1"/>
  <c r="AL12" i="1"/>
  <c r="AK12" i="1"/>
  <c r="AJ12" i="1"/>
  <c r="P29" i="1"/>
  <c r="P38" i="1" s="1"/>
  <c r="AG11" i="1"/>
  <c r="AE11" i="1"/>
  <c r="AF12" i="1" s="1"/>
  <c r="AD11" i="1"/>
  <c r="AA11" i="1"/>
  <c r="Z11" i="1"/>
  <c r="J45" i="3" l="1"/>
  <c r="M45" i="3"/>
  <c r="K45" i="3"/>
  <c r="L45" i="3"/>
  <c r="F45" i="3"/>
  <c r="B45" i="3"/>
  <c r="J30" i="3"/>
  <c r="O16" i="3"/>
  <c r="M30" i="3"/>
  <c r="I45" i="3"/>
  <c r="K30" i="3"/>
  <c r="L30" i="3"/>
  <c r="O21" i="3"/>
  <c r="D27" i="2"/>
  <c r="B30" i="3"/>
  <c r="C30" i="3"/>
  <c r="D30" i="3"/>
  <c r="E30" i="3"/>
  <c r="F30" i="3"/>
  <c r="G30" i="3"/>
  <c r="H30" i="3"/>
  <c r="I30" i="3"/>
  <c r="O42" i="3"/>
  <c r="O25" i="3"/>
  <c r="E39" i="2"/>
  <c r="F27" i="2"/>
  <c r="C36" i="2"/>
  <c r="O29" i="3"/>
  <c r="O41" i="3"/>
  <c r="O24" i="3"/>
  <c r="O40" i="3"/>
  <c r="L39" i="2"/>
  <c r="O35" i="3"/>
  <c r="O43" i="3"/>
  <c r="O26" i="3"/>
  <c r="G27" i="2"/>
  <c r="D36" i="2"/>
  <c r="O32" i="3"/>
  <c r="O28" i="3"/>
  <c r="O20" i="3"/>
  <c r="I20" i="2"/>
  <c r="O38" i="3"/>
  <c r="O39" i="3"/>
  <c r="C21" i="2"/>
  <c r="O27" i="3"/>
  <c r="O33" i="3"/>
  <c r="O34" i="3"/>
  <c r="O17" i="3"/>
  <c r="F36" i="2"/>
  <c r="N38" i="3"/>
  <c r="G36" i="2"/>
  <c r="N39" i="3"/>
  <c r="H36" i="2"/>
  <c r="I36" i="2"/>
  <c r="K36" i="2"/>
  <c r="K20" i="2"/>
  <c r="E18" i="3"/>
  <c r="N41" i="3"/>
  <c r="G18" i="3"/>
  <c r="B36" i="2"/>
  <c r="E36" i="2"/>
  <c r="J36" i="2"/>
  <c r="N42" i="3"/>
  <c r="L36" i="2"/>
  <c r="AE12" i="1"/>
  <c r="B25" i="2"/>
  <c r="C25" i="2"/>
  <c r="B40" i="2"/>
  <c r="D25" i="2"/>
  <c r="C40" i="2"/>
  <c r="D40" i="2"/>
  <c r="G35" i="2"/>
  <c r="L37" i="2"/>
  <c r="L35" i="2"/>
  <c r="C27" i="2"/>
  <c r="F35" i="2"/>
  <c r="B21" i="2"/>
  <c r="L18" i="2"/>
  <c r="D30" i="2"/>
  <c r="F18" i="3"/>
  <c r="K37" i="2"/>
  <c r="I30" i="2"/>
  <c r="H17" i="2"/>
  <c r="M18" i="3"/>
  <c r="L18" i="3"/>
  <c r="L30" i="2"/>
  <c r="E27" i="2"/>
  <c r="E28" i="2"/>
  <c r="C24" i="2"/>
  <c r="F28" i="2"/>
  <c r="D32" i="2"/>
  <c r="E32" i="2"/>
  <c r="B38" i="2"/>
  <c r="F38" i="2"/>
  <c r="C38" i="2"/>
  <c r="I17" i="2"/>
  <c r="D17" i="2"/>
  <c r="D38" i="2"/>
  <c r="J17" i="2"/>
  <c r="E17" i="2"/>
  <c r="E38" i="2"/>
  <c r="H30" i="2"/>
  <c r="L21" i="2"/>
  <c r="G38" i="2"/>
  <c r="E25" i="2"/>
  <c r="F25" i="2"/>
  <c r="E22" i="3"/>
  <c r="G25" i="2"/>
  <c r="F22" i="3"/>
  <c r="C28" i="2"/>
  <c r="H35" i="2"/>
  <c r="B39" i="2"/>
  <c r="G32" i="2"/>
  <c r="G28" i="2"/>
  <c r="B30" i="2"/>
  <c r="F39" i="2"/>
  <c r="C30" i="2"/>
  <c r="G24" i="2"/>
  <c r="C33" i="2"/>
  <c r="H20" i="2"/>
  <c r="D35" i="2"/>
  <c r="E18" i="2"/>
  <c r="D24" i="2"/>
  <c r="F18" i="2"/>
  <c r="E24" i="2"/>
  <c r="N28" i="3"/>
  <c r="F24" i="2"/>
  <c r="M22" i="3"/>
  <c r="I26" i="2"/>
  <c r="H32" i="2"/>
  <c r="H38" i="2"/>
  <c r="B31" i="2"/>
  <c r="I38" i="2"/>
  <c r="E40" i="2"/>
  <c r="N34" i="3"/>
  <c r="D33" i="2"/>
  <c r="B28" i="2"/>
  <c r="L40" i="2"/>
  <c r="J31" i="2"/>
  <c r="D20" i="2"/>
  <c r="C39" i="2"/>
  <c r="B18" i="2"/>
  <c r="E20" i="2"/>
  <c r="H33" i="2"/>
  <c r="C18" i="2"/>
  <c r="I33" i="2"/>
  <c r="D18" i="2"/>
  <c r="J18" i="3"/>
  <c r="E35" i="2"/>
  <c r="D28" i="2"/>
  <c r="L33" i="2"/>
  <c r="F32" i="2"/>
  <c r="B24" i="2"/>
  <c r="N29" i="3"/>
  <c r="D22" i="3"/>
  <c r="J26" i="2"/>
  <c r="F21" i="2"/>
  <c r="K26" i="2"/>
  <c r="L26" i="2"/>
  <c r="H25" i="2"/>
  <c r="B33" i="2"/>
  <c r="I36" i="3"/>
  <c r="B27" i="2"/>
  <c r="K17" i="2"/>
  <c r="J18" i="2"/>
  <c r="G39" i="2"/>
  <c r="D21" i="2"/>
  <c r="D39" i="2"/>
  <c r="J33" i="2"/>
  <c r="C18" i="3"/>
  <c r="H22" i="3"/>
  <c r="I40" i="2"/>
  <c r="L25" i="2"/>
  <c r="K31" i="2"/>
  <c r="I32" i="2"/>
  <c r="N26" i="3"/>
  <c r="B26" i="2"/>
  <c r="K38" i="2"/>
  <c r="G40" i="2"/>
  <c r="L28" i="2"/>
  <c r="H24" i="2"/>
  <c r="N20" i="3"/>
  <c r="F26" i="2"/>
  <c r="E33" i="2"/>
  <c r="L17" i="2"/>
  <c r="D18" i="3"/>
  <c r="I25" i="2"/>
  <c r="B22" i="3"/>
  <c r="F17" i="2"/>
  <c r="K35" i="2"/>
  <c r="K30" i="2"/>
  <c r="G17" i="2"/>
  <c r="B36" i="3"/>
  <c r="M34" i="1"/>
  <c r="AK17" i="1"/>
  <c r="AE14" i="1"/>
  <c r="Z15" i="1"/>
  <c r="M32" i="1"/>
  <c r="AA14" i="1"/>
  <c r="AC16" i="1"/>
  <c r="AA15" i="1"/>
  <c r="AA16" i="1"/>
  <c r="M33" i="1"/>
  <c r="AB16" i="1"/>
  <c r="K32" i="2"/>
  <c r="D31" i="2"/>
  <c r="L12" i="1"/>
  <c r="L29" i="1" s="1"/>
  <c r="L38" i="1" s="1"/>
  <c r="B17" i="2"/>
  <c r="I12" i="1"/>
  <c r="H12" i="1"/>
  <c r="K12" i="1"/>
  <c r="K29" i="1" s="1"/>
  <c r="K38" i="1" s="1"/>
  <c r="E12" i="1"/>
  <c r="AD12" i="1"/>
  <c r="B37" i="2"/>
  <c r="N21" i="3"/>
  <c r="I21" i="2"/>
  <c r="B12" i="1"/>
  <c r="D37" i="2"/>
  <c r="J32" i="2"/>
  <c r="K36" i="3"/>
  <c r="B20" i="2"/>
  <c r="C20" i="2"/>
  <c r="C22" i="3"/>
  <c r="J21" i="2"/>
  <c r="C12" i="1"/>
  <c r="E37" i="2"/>
  <c r="J40" i="2"/>
  <c r="K21" i="2"/>
  <c r="F37" i="2"/>
  <c r="C31" i="2"/>
  <c r="L32" i="2"/>
  <c r="G37" i="2"/>
  <c r="AM13" i="1"/>
  <c r="H37" i="2"/>
  <c r="N33" i="3"/>
  <c r="F36" i="3"/>
  <c r="E31" i="2"/>
  <c r="AN13" i="1"/>
  <c r="I37" i="2"/>
  <c r="J37" i="2"/>
  <c r="B35" i="2"/>
  <c r="C35" i="2"/>
  <c r="F31" i="2"/>
  <c r="G36" i="3"/>
  <c r="AK13" i="1"/>
  <c r="G31" i="2"/>
  <c r="H31" i="2"/>
  <c r="G21" i="2"/>
  <c r="H21" i="2"/>
  <c r="N40" i="3"/>
  <c r="H39" i="2"/>
  <c r="O12" i="1"/>
  <c r="O29" i="1" s="1"/>
  <c r="O38" i="1" s="1"/>
  <c r="L38" i="2"/>
  <c r="Z12" i="1"/>
  <c r="AA12" i="1"/>
  <c r="I22" i="3"/>
  <c r="H18" i="3"/>
  <c r="G18" i="2"/>
  <c r="N17" i="3"/>
  <c r="H18" i="2"/>
  <c r="I18" i="3"/>
  <c r="G12" i="1"/>
  <c r="N25" i="3"/>
  <c r="N27" i="3"/>
  <c r="H26" i="2"/>
  <c r="L22" i="3"/>
  <c r="L20" i="2"/>
  <c r="I39" i="2"/>
  <c r="K27" i="2"/>
  <c r="I24" i="2"/>
  <c r="C26" i="2"/>
  <c r="L27" i="2"/>
  <c r="G20" i="2"/>
  <c r="G22" i="3"/>
  <c r="F20" i="2"/>
  <c r="J24" i="2"/>
  <c r="D26" i="2"/>
  <c r="F12" i="1"/>
  <c r="AH12" i="1"/>
  <c r="AG12" i="1"/>
  <c r="B32" i="2"/>
  <c r="C32" i="2"/>
  <c r="K24" i="2"/>
  <c r="E26" i="2"/>
  <c r="G30" i="2"/>
  <c r="H36" i="3"/>
  <c r="L24" i="2"/>
  <c r="AK15" i="1"/>
  <c r="G26" i="2"/>
  <c r="K22" i="3"/>
  <c r="J20" i="2"/>
  <c r="AL15" i="1"/>
  <c r="J12" i="1"/>
  <c r="D12" i="1"/>
  <c r="J38" i="2"/>
  <c r="F40" i="2"/>
  <c r="C37" i="2"/>
  <c r="N43" i="3"/>
  <c r="H40" i="2"/>
  <c r="N24" i="3"/>
  <c r="AK16" i="1"/>
  <c r="K39" i="2"/>
  <c r="J39" i="2"/>
  <c r="I35" i="2"/>
  <c r="C36" i="3"/>
  <c r="D36" i="3"/>
  <c r="L31" i="2"/>
  <c r="F33" i="2"/>
  <c r="E36" i="3"/>
  <c r="G33" i="2"/>
  <c r="H28" i="2"/>
  <c r="AI13" i="1"/>
  <c r="F30" i="2"/>
  <c r="E30" i="2"/>
  <c r="N35" i="3"/>
  <c r="I28" i="2"/>
  <c r="H27" i="2"/>
  <c r="E21" i="2"/>
  <c r="J35" i="2"/>
  <c r="AB11" i="1"/>
  <c r="AB12" i="1" s="1"/>
  <c r="M12" i="1"/>
  <c r="M29" i="1" s="1"/>
  <c r="M38" i="1" s="1"/>
  <c r="J36" i="3"/>
  <c r="I31" i="2"/>
  <c r="AC11" i="1"/>
  <c r="N12" i="1"/>
  <c r="N29" i="1" s="1"/>
  <c r="N38" i="1" s="1"/>
  <c r="N16" i="3"/>
  <c r="K33" i="2"/>
  <c r="J25" i="2"/>
  <c r="K25" i="2"/>
  <c r="K18" i="3"/>
  <c r="AI15" i="1"/>
  <c r="M36" i="3"/>
  <c r="J28" i="2"/>
  <c r="I27" i="2"/>
  <c r="K28" i="2"/>
  <c r="J27" i="2"/>
  <c r="C17" i="2"/>
  <c r="K40" i="2"/>
  <c r="B18" i="3"/>
  <c r="I18" i="2"/>
  <c r="N32" i="3"/>
  <c r="K18" i="2"/>
  <c r="J30" i="2"/>
  <c r="J22" i="3"/>
  <c r="L36" i="3"/>
  <c r="L33" i="1" l="1"/>
  <c r="J50" i="3" a="1"/>
  <c r="J50" i="3" s="1"/>
  <c r="S40" i="1" s="1"/>
  <c r="L50" i="3" a="1"/>
  <c r="L50" i="3" s="1"/>
  <c r="U40" i="1" s="1"/>
  <c r="U32" i="1"/>
  <c r="AM15" i="1"/>
  <c r="T31" i="1"/>
  <c r="AL14" i="1"/>
  <c r="V33" i="1"/>
  <c r="AN16" i="1"/>
  <c r="T30" i="1"/>
  <c r="AL13" i="1"/>
  <c r="V32" i="1"/>
  <c r="AN15" i="1"/>
  <c r="T34" i="1"/>
  <c r="AL17" i="1"/>
  <c r="T33" i="1"/>
  <c r="AL16" i="1"/>
  <c r="R34" i="1"/>
  <c r="AI17" i="1"/>
  <c r="S31" i="1"/>
  <c r="AK14" i="1"/>
  <c r="U34" i="1"/>
  <c r="AM17" i="1"/>
  <c r="R33" i="1"/>
  <c r="AI16" i="1"/>
  <c r="R31" i="1"/>
  <c r="AI14" i="1"/>
  <c r="V31" i="1"/>
  <c r="AN14" i="1"/>
  <c r="V34" i="1"/>
  <c r="AN17" i="1"/>
  <c r="U33" i="1"/>
  <c r="AM16" i="1"/>
  <c r="U31" i="1"/>
  <c r="AM14" i="1"/>
  <c r="K32" i="1"/>
  <c r="E50" i="3" a="1"/>
  <c r="E50" i="3" s="1"/>
  <c r="N40" i="1" s="1"/>
  <c r="D50" i="3" a="1"/>
  <c r="D50" i="3" s="1"/>
  <c r="G50" i="3" a="1"/>
  <c r="G50" i="3" s="1"/>
  <c r="P40" i="1" s="1"/>
  <c r="M50" i="3" a="1"/>
  <c r="M50" i="3" s="1"/>
  <c r="V40" i="1" s="1"/>
  <c r="B50" i="3" a="1"/>
  <c r="B50" i="3" s="1"/>
  <c r="B15" i="2" s="1"/>
  <c r="B49" i="2" s="1"/>
  <c r="K50" i="3" a="1"/>
  <c r="K50" i="3" s="1"/>
  <c r="T40" i="1" s="1"/>
  <c r="F50" i="3" a="1"/>
  <c r="F50" i="3" s="1"/>
  <c r="O40" i="1" s="1"/>
  <c r="C50" i="3" a="1"/>
  <c r="C50" i="3" s="1"/>
  <c r="L40" i="1" s="1"/>
  <c r="I50" i="3" a="1"/>
  <c r="I50" i="3" s="1"/>
  <c r="R40" i="1" s="1"/>
  <c r="H50" i="3" a="1"/>
  <c r="H50" i="3" s="1"/>
  <c r="Q40" i="1" s="1"/>
  <c r="L31" i="1"/>
  <c r="N45" i="3"/>
  <c r="N30" i="3"/>
  <c r="O22" i="3"/>
  <c r="O36" i="3"/>
  <c r="O45" i="3"/>
  <c r="O18" i="3"/>
  <c r="AB17" i="1"/>
  <c r="M22" i="1"/>
  <c r="AB15" i="1"/>
  <c r="T16" i="1"/>
  <c r="T18" i="1" s="1"/>
  <c r="P31" i="1"/>
  <c r="N33" i="1"/>
  <c r="V22" i="1"/>
  <c r="V24" i="1" s="1"/>
  <c r="AD16" i="1"/>
  <c r="O33" i="1"/>
  <c r="L32" i="1"/>
  <c r="U22" i="1"/>
  <c r="S16" i="1"/>
  <c r="S30" i="1"/>
  <c r="H29" i="1"/>
  <c r="H38" i="1" s="1"/>
  <c r="I29" i="1"/>
  <c r="I38" i="1" s="1"/>
  <c r="U30" i="1"/>
  <c r="U16" i="1"/>
  <c r="Q31" i="1"/>
  <c r="AG14" i="1"/>
  <c r="AH14" i="1" s="1"/>
  <c r="AG17" i="1"/>
  <c r="Q34" i="1"/>
  <c r="AA17" i="1"/>
  <c r="L34" i="1"/>
  <c r="Z17" i="1"/>
  <c r="K34" i="1"/>
  <c r="Z16" i="1"/>
  <c r="K33" i="1"/>
  <c r="K22" i="1"/>
  <c r="F29" i="1"/>
  <c r="F38" i="1" s="1"/>
  <c r="S34" i="1"/>
  <c r="E29" i="1"/>
  <c r="E38" i="1" s="1"/>
  <c r="N36" i="3"/>
  <c r="R30" i="1"/>
  <c r="R16" i="1"/>
  <c r="AE17" i="1"/>
  <c r="P34" i="1"/>
  <c r="V16" i="1"/>
  <c r="V30" i="1"/>
  <c r="AG16" i="1"/>
  <c r="Q33" i="1"/>
  <c r="N16" i="1"/>
  <c r="N30" i="1"/>
  <c r="AC13" i="1"/>
  <c r="AA13" i="1"/>
  <c r="L30" i="1"/>
  <c r="L16" i="1"/>
  <c r="P22" i="1"/>
  <c r="P32" i="1"/>
  <c r="AE15" i="1"/>
  <c r="Q32" i="1"/>
  <c r="AG15" i="1"/>
  <c r="Q22" i="1"/>
  <c r="D29" i="1"/>
  <c r="D38" i="1" s="1"/>
  <c r="O22" i="1"/>
  <c r="O32" i="1"/>
  <c r="AD15" i="1"/>
  <c r="J29" i="1"/>
  <c r="J38" i="1" s="1"/>
  <c r="Q30" i="1"/>
  <c r="AG13" i="1"/>
  <c r="Q16" i="1"/>
  <c r="AB14" i="1"/>
  <c r="M31" i="1"/>
  <c r="AE16" i="1"/>
  <c r="P33" i="1"/>
  <c r="N34" i="1"/>
  <c r="AC17" i="1"/>
  <c r="S33" i="1"/>
  <c r="T32" i="1"/>
  <c r="T22" i="1"/>
  <c r="B29" i="1"/>
  <c r="B38" i="1" s="1"/>
  <c r="Z13" i="1"/>
  <c r="K30" i="1"/>
  <c r="K16" i="1"/>
  <c r="M16" i="1"/>
  <c r="M30" i="1"/>
  <c r="AB13" i="1"/>
  <c r="AC12" i="1"/>
  <c r="G29" i="1"/>
  <c r="G38" i="1" s="1"/>
  <c r="P30" i="1"/>
  <c r="P16" i="1"/>
  <c r="AE13" i="1"/>
  <c r="N18" i="3"/>
  <c r="Z14" i="1"/>
  <c r="K31" i="1"/>
  <c r="N32" i="1"/>
  <c r="AC15" i="1"/>
  <c r="N22" i="1"/>
  <c r="O30" i="1"/>
  <c r="O16" i="1"/>
  <c r="AD13" i="1"/>
  <c r="C29" i="1"/>
  <c r="C38" i="1" s="1"/>
  <c r="R32" i="1"/>
  <c r="R22" i="1"/>
  <c r="S32" i="1"/>
  <c r="S22" i="1"/>
  <c r="N31" i="1"/>
  <c r="AC14" i="1"/>
  <c r="N22" i="3"/>
  <c r="AD17" i="1"/>
  <c r="O34" i="1"/>
  <c r="L22" i="1"/>
  <c r="O31" i="1"/>
  <c r="AD14" i="1"/>
  <c r="AF14" i="1" s="1"/>
  <c r="AH13" i="1" l="1"/>
  <c r="AF13" i="1"/>
  <c r="T35" i="1"/>
  <c r="U35" i="1"/>
  <c r="V35" i="1"/>
  <c r="N50" i="3" a="1"/>
  <c r="N50" i="3" s="1"/>
  <c r="K40" i="1"/>
  <c r="T17" i="1"/>
  <c r="C15" i="2"/>
  <c r="C49" i="2" s="1"/>
  <c r="L39" i="1"/>
  <c r="AJ14" i="1"/>
  <c r="AF16" i="1"/>
  <c r="V23" i="1"/>
  <c r="AH17" i="1"/>
  <c r="K35" i="1"/>
  <c r="N35" i="1"/>
  <c r="AJ16" i="1"/>
  <c r="U24" i="1"/>
  <c r="U25" i="1"/>
  <c r="AM18" i="1" s="1"/>
  <c r="AM20" i="1" s="1"/>
  <c r="AF17" i="1"/>
  <c r="M17" i="1"/>
  <c r="AH15" i="1"/>
  <c r="O17" i="1"/>
  <c r="L35" i="1"/>
  <c r="E33" i="1"/>
  <c r="J22" i="1"/>
  <c r="K23" i="1" s="1"/>
  <c r="J32" i="1"/>
  <c r="J34" i="1"/>
  <c r="E34" i="1"/>
  <c r="L25" i="1"/>
  <c r="L23" i="1"/>
  <c r="E22" i="1"/>
  <c r="E32" i="1"/>
  <c r="C31" i="1"/>
  <c r="AH16" i="1"/>
  <c r="E30" i="1"/>
  <c r="E35" i="1" s="1"/>
  <c r="E16" i="1"/>
  <c r="U18" i="1"/>
  <c r="U17" i="1"/>
  <c r="C34" i="1"/>
  <c r="AJ17" i="1"/>
  <c r="U36" i="1"/>
  <c r="C22" i="1"/>
  <c r="C32" i="1"/>
  <c r="J33" i="1"/>
  <c r="G31" i="1"/>
  <c r="T23" i="1"/>
  <c r="T25" i="1"/>
  <c r="AL18" i="1" s="1"/>
  <c r="AL20" i="1" s="1"/>
  <c r="T24" i="1"/>
  <c r="J31" i="1"/>
  <c r="N17" i="1"/>
  <c r="I30" i="1"/>
  <c r="I35" i="1" s="1"/>
  <c r="I16" i="1"/>
  <c r="R25" i="1"/>
  <c r="AI18" i="1" s="1"/>
  <c r="R24" i="1"/>
  <c r="R23" i="1"/>
  <c r="E31" i="1"/>
  <c r="G30" i="1"/>
  <c r="G35" i="1" s="1"/>
  <c r="G16" i="1"/>
  <c r="C30" i="1"/>
  <c r="C35" i="1" s="1"/>
  <c r="C16" i="1"/>
  <c r="G22" i="1"/>
  <c r="G32" i="1"/>
  <c r="C33" i="1"/>
  <c r="O25" i="1"/>
  <c r="O23" i="1"/>
  <c r="V18" i="1"/>
  <c r="V17" i="1"/>
  <c r="D22" i="1"/>
  <c r="D32" i="1"/>
  <c r="I32" i="1"/>
  <c r="I22" i="1"/>
  <c r="D33" i="1"/>
  <c r="I33" i="1"/>
  <c r="J16" i="1"/>
  <c r="J30" i="1"/>
  <c r="J35" i="1" s="1"/>
  <c r="F33" i="1"/>
  <c r="O35" i="1"/>
  <c r="M35" i="1"/>
  <c r="D31" i="1"/>
  <c r="U23" i="1"/>
  <c r="I31" i="1"/>
  <c r="I34" i="1"/>
  <c r="F22" i="1"/>
  <c r="F32" i="1"/>
  <c r="H32" i="1"/>
  <c r="H22" i="1"/>
  <c r="H31" i="1"/>
  <c r="H34" i="1"/>
  <c r="D34" i="1"/>
  <c r="Q17" i="1"/>
  <c r="F31" i="1"/>
  <c r="Q23" i="1"/>
  <c r="Q25" i="1"/>
  <c r="H30" i="1"/>
  <c r="H35" i="1" s="1"/>
  <c r="H16" i="1"/>
  <c r="F34" i="1"/>
  <c r="D30" i="1"/>
  <c r="D35" i="1" s="1"/>
  <c r="D16" i="1"/>
  <c r="H33" i="1"/>
  <c r="G34" i="1"/>
  <c r="N25" i="1"/>
  <c r="N23" i="1"/>
  <c r="B34" i="1"/>
  <c r="M25" i="1"/>
  <c r="B33" i="1"/>
  <c r="P23" i="1"/>
  <c r="P25" i="1"/>
  <c r="R17" i="1"/>
  <c r="R18" i="1"/>
  <c r="S35" i="1"/>
  <c r="B30" i="1"/>
  <c r="B35" i="1" s="1"/>
  <c r="B36" i="1" s="1"/>
  <c r="B16" i="1"/>
  <c r="B17" i="1" s="1"/>
  <c r="L17" i="1"/>
  <c r="R35" i="1"/>
  <c r="S18" i="1"/>
  <c r="S17" i="1"/>
  <c r="F30" i="1"/>
  <c r="F35" i="1" s="1"/>
  <c r="F16" i="1"/>
  <c r="B22" i="1"/>
  <c r="B32" i="1"/>
  <c r="Q35" i="1"/>
  <c r="V25" i="1"/>
  <c r="AN18" i="1" s="1"/>
  <c r="AN20" i="1" s="1"/>
  <c r="K25" i="1"/>
  <c r="B31" i="1"/>
  <c r="AF15" i="1"/>
  <c r="M23" i="1"/>
  <c r="S25" i="1"/>
  <c r="AK18" i="1" s="1"/>
  <c r="AK20" i="1" s="1"/>
  <c r="S24" i="1"/>
  <c r="S23" i="1"/>
  <c r="P17" i="1"/>
  <c r="AJ15" i="1"/>
  <c r="P35" i="1"/>
  <c r="G33" i="1"/>
  <c r="AJ13" i="1"/>
  <c r="V36" i="1" l="1"/>
  <c r="AL21" i="1"/>
  <c r="AN21" i="1"/>
  <c r="AN22" i="1" s="1"/>
  <c r="AM21" i="1"/>
  <c r="AM22" i="1" s="1"/>
  <c r="H17" i="1"/>
  <c r="E17" i="1"/>
  <c r="F36" i="1"/>
  <c r="C36" i="1"/>
  <c r="L36" i="1"/>
  <c r="K36" i="1"/>
  <c r="D15" i="2"/>
  <c r="D49" i="2" s="1"/>
  <c r="M39" i="1"/>
  <c r="E36" i="1"/>
  <c r="H36" i="1"/>
  <c r="V26" i="1"/>
  <c r="Q36" i="1"/>
  <c r="O36" i="1"/>
  <c r="R26" i="1"/>
  <c r="P36" i="1"/>
  <c r="S36" i="1"/>
  <c r="M36" i="1"/>
  <c r="I36" i="1"/>
  <c r="T26" i="1"/>
  <c r="S26" i="1"/>
  <c r="F23" i="1"/>
  <c r="F25" i="1"/>
  <c r="I17" i="1"/>
  <c r="AG18" i="1"/>
  <c r="AG20" i="1" s="1"/>
  <c r="Q26" i="1"/>
  <c r="B25" i="1"/>
  <c r="B23" i="1"/>
  <c r="N26" i="1"/>
  <c r="AC18" i="1"/>
  <c r="AC20" i="1" s="1"/>
  <c r="AC21" i="1" s="1"/>
  <c r="G23" i="1"/>
  <c r="G25" i="1"/>
  <c r="E23" i="1"/>
  <c r="E25" i="1"/>
  <c r="I25" i="1"/>
  <c r="I23" i="1"/>
  <c r="P26" i="1"/>
  <c r="AE18" i="1"/>
  <c r="AE20" i="1" s="1"/>
  <c r="AE21" i="1" s="1"/>
  <c r="D25" i="1"/>
  <c r="D23" i="1"/>
  <c r="Z18" i="1"/>
  <c r="Z20" i="1" s="1"/>
  <c r="M26" i="1"/>
  <c r="AB18" i="1"/>
  <c r="AB20" i="1" s="1"/>
  <c r="AD18" i="1"/>
  <c r="AD20" i="1" s="1"/>
  <c r="O26" i="1"/>
  <c r="F17" i="1"/>
  <c r="J36" i="1"/>
  <c r="C17" i="1"/>
  <c r="N36" i="1"/>
  <c r="L26" i="1"/>
  <c r="AA18" i="1"/>
  <c r="AA20" i="1" s="1"/>
  <c r="J17" i="1"/>
  <c r="D17" i="1"/>
  <c r="G17" i="1"/>
  <c r="R36" i="1"/>
  <c r="D36" i="1"/>
  <c r="H23" i="1"/>
  <c r="H25" i="1"/>
  <c r="U26" i="1"/>
  <c r="G36" i="1"/>
  <c r="C23" i="1"/>
  <c r="C25" i="1"/>
  <c r="K17" i="1"/>
  <c r="J25" i="1"/>
  <c r="J23" i="1"/>
  <c r="T36" i="1"/>
  <c r="AA21" i="1" l="1"/>
  <c r="AD21" i="1"/>
  <c r="AB21" i="1"/>
  <c r="K26" i="1"/>
  <c r="AC22" i="1"/>
  <c r="AA22" i="1"/>
  <c r="E15" i="2"/>
  <c r="E49" i="2" s="1"/>
  <c r="N39" i="1"/>
  <c r="C26" i="1"/>
  <c r="D26" i="1"/>
  <c r="AF18" i="1"/>
  <c r="AF20" i="1" s="1"/>
  <c r="AE22" i="1"/>
  <c r="H26" i="1"/>
  <c r="I26" i="1"/>
  <c r="E26" i="1"/>
  <c r="G26" i="1"/>
  <c r="B26" i="1"/>
  <c r="AH18" i="1"/>
  <c r="AD22" i="1"/>
  <c r="F26" i="1"/>
  <c r="AB22" i="1"/>
  <c r="J26" i="1"/>
  <c r="AK21" i="1"/>
  <c r="AK22" i="1" s="1"/>
  <c r="AJ18" i="1"/>
  <c r="AL22" i="1" s="1"/>
  <c r="AI23" i="1" l="1"/>
  <c r="AJ25" i="1"/>
  <c r="F15" i="2"/>
  <c r="F49" i="2" s="1"/>
  <c r="O39" i="1"/>
  <c r="AI22" i="1"/>
  <c r="AG22" i="1"/>
  <c r="AI24" i="1" l="1"/>
  <c r="AG24" i="1"/>
  <c r="G15" i="2"/>
  <c r="G49" i="2" s="1"/>
  <c r="P39" i="1"/>
  <c r="H15" i="2" l="1"/>
  <c r="H49" i="2" s="1"/>
  <c r="Q39" i="1"/>
  <c r="I15" i="2" l="1"/>
  <c r="I49" i="2" s="1"/>
  <c r="R39" i="1"/>
  <c r="J15" i="2" l="1"/>
  <c r="J49" i="2" s="1"/>
  <c r="S39" i="1"/>
  <c r="K15" i="2" l="1"/>
  <c r="K49" i="2" s="1"/>
  <c r="T39" i="1"/>
  <c r="L15" i="2" l="1"/>
  <c r="L49" i="2" s="1"/>
  <c r="V39" i="1" s="1"/>
  <c r="U39" i="1"/>
  <c r="M40" i="1" l="1"/>
  <c r="O30" i="3"/>
  <c r="O50" i="3" s="1" a="1"/>
  <c r="O5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<sst xmlns="http://schemas.openxmlformats.org/spreadsheetml/2006/main" count="241" uniqueCount="136">
  <si>
    <t>File Number:</t>
  </si>
  <si>
    <t>Last Rebasing Year</t>
  </si>
  <si>
    <t>Column</t>
  </si>
  <si>
    <t>Exhibit:</t>
  </si>
  <si>
    <t>B</t>
  </si>
  <si>
    <t>Tab:</t>
  </si>
  <si>
    <t>D</t>
  </si>
  <si>
    <t>Schedule:</t>
  </si>
  <si>
    <t>G</t>
  </si>
  <si>
    <t>Show RRR data</t>
  </si>
  <si>
    <t>Page:</t>
  </si>
  <si>
    <t>J</t>
  </si>
  <si>
    <t>Yes</t>
  </si>
  <si>
    <t>M</t>
  </si>
  <si>
    <t>Date:</t>
  </si>
  <si>
    <t>P</t>
  </si>
  <si>
    <t>S</t>
  </si>
  <si>
    <t>Appendix 2-JA</t>
  </si>
  <si>
    <t>V</t>
  </si>
  <si>
    <r>
      <t xml:space="preserve">Summary of </t>
    </r>
    <r>
      <rPr>
        <b/>
        <u/>
        <sz val="14"/>
        <color indexed="10"/>
        <rFont val="Arial"/>
        <family val="2"/>
      </rPr>
      <t>Recoverable</t>
    </r>
    <r>
      <rPr>
        <b/>
        <sz val="14"/>
        <rFont val="Arial"/>
        <family val="2"/>
      </rPr>
      <t xml:space="preserve"> OM&amp;A Expenses</t>
    </r>
    <r>
      <rPr>
        <b/>
        <vertAlign val="superscript"/>
        <sz val="14"/>
        <rFont val="Arial"/>
        <family val="2"/>
      </rPr>
      <t>6</t>
    </r>
  </si>
  <si>
    <t>2026 Bridge Year</t>
  </si>
  <si>
    <t>2027 Test Year</t>
  </si>
  <si>
    <t>2028 Forecast</t>
  </si>
  <si>
    <t>2029 Forecast</t>
  </si>
  <si>
    <t>2030 Forecast</t>
  </si>
  <si>
    <t>2031 Forecast</t>
  </si>
  <si>
    <t>Reporting Basis</t>
  </si>
  <si>
    <t>MIFRS</t>
  </si>
  <si>
    <t>Operations</t>
  </si>
  <si>
    <t xml:space="preserve">Maintenance </t>
  </si>
  <si>
    <t>Maintenance</t>
  </si>
  <si>
    <t xml:space="preserve">Billing and Collecting </t>
  </si>
  <si>
    <t>SubTotal</t>
  </si>
  <si>
    <t xml:space="preserve">Community Relations </t>
  </si>
  <si>
    <t>%Change (year over year)</t>
  </si>
  <si>
    <t xml:space="preserve">Administrative and General </t>
  </si>
  <si>
    <t>%Change (Test Year vs 
Last Rebasing Year - Actual)</t>
  </si>
  <si>
    <t xml:space="preserve">Total OM&amp;A Expenses </t>
  </si>
  <si>
    <t>Billing and Collecting</t>
  </si>
  <si>
    <r>
      <t>Adjustments for Total non-recoverable items</t>
    </r>
    <r>
      <rPr>
        <b/>
        <vertAlign val="superscript"/>
        <sz val="9"/>
        <color theme="1"/>
        <rFont val="Arial"/>
        <family val="2"/>
      </rPr>
      <t>6</t>
    </r>
  </si>
  <si>
    <t>Community Relations</t>
  </si>
  <si>
    <t xml:space="preserve">Total Recoverable OM&amp;A Expenses </t>
  </si>
  <si>
    <t>Administrative and General</t>
  </si>
  <si>
    <t xml:space="preserve">Variance from previous year </t>
  </si>
  <si>
    <t xml:space="preserve">Percent change (year over year) </t>
  </si>
  <si>
    <t xml:space="preserve">Percent Change:
Test year vs. Most Current Actual </t>
  </si>
  <si>
    <t>Simple average of % variance for all years</t>
  </si>
  <si>
    <t>Total</t>
  </si>
  <si>
    <t>Compound Annual Growth Rate for all years</t>
  </si>
  <si>
    <r>
      <t>Operations</t>
    </r>
    <r>
      <rPr>
        <vertAlign val="superscript"/>
        <sz val="9"/>
        <rFont val="Arial"/>
        <family val="2"/>
      </rPr>
      <t>1</t>
    </r>
  </si>
  <si>
    <r>
      <t>Maintenance</t>
    </r>
    <r>
      <rPr>
        <vertAlign val="superscript"/>
        <sz val="9"/>
        <rFont val="Arial"/>
        <family val="2"/>
      </rPr>
      <t>2</t>
    </r>
  </si>
  <si>
    <r>
      <t>Billing and Collecting</t>
    </r>
    <r>
      <rPr>
        <vertAlign val="superscript"/>
        <sz val="9"/>
        <rFont val="Arial"/>
        <family val="2"/>
      </rPr>
      <t>3</t>
    </r>
  </si>
  <si>
    <r>
      <t>Community Relations</t>
    </r>
    <r>
      <rPr>
        <vertAlign val="superscript"/>
        <sz val="9"/>
        <rFont val="Arial"/>
        <family val="2"/>
      </rPr>
      <t>4</t>
    </r>
  </si>
  <si>
    <r>
      <t>Administrative and General</t>
    </r>
    <r>
      <rPr>
        <vertAlign val="superscript"/>
        <sz val="9"/>
        <rFont val="Arial"/>
        <family val="2"/>
      </rPr>
      <t>5</t>
    </r>
  </si>
  <si>
    <t>Integrity Check - 2-JB: Total OM&amp;A</t>
  </si>
  <si>
    <t>N/A</t>
  </si>
  <si>
    <t>Integrity Check - 2-JC: Total OM&amp;A (if applicable)</t>
  </si>
  <si>
    <t>Notes:</t>
  </si>
  <si>
    <t>1     USoA included in Operations: 5005, 5010, 5012, 5014, 5015, 5016, 5017, 5020, 5025, 5030, 5035, 5040, 5045, 5050, 5055, 5060, 5065, 5070, 5075, 5085, 5090, 5095, 5096</t>
  </si>
  <si>
    <t>2     USoA included in Maintenance: 5105, 5110, 5112, 5114, 5120, 5125, 5130, 5135, 5145, 5150, 5155, 5160, 5165, 5170, 5172, 5175, 5178, 5195</t>
  </si>
  <si>
    <t>3     USoA included in Billing and Collecting: 5305, 5310, 5315, 5320, 5325, 5330, 5335, 5340</t>
  </si>
  <si>
    <t>4     USoA included in Community Relations: 5405, 5410, 5415, 5420, 5425</t>
  </si>
  <si>
    <t>5     USoA included in Administrative and General: 5505, 5510, 5515, 5520, 5605, 5610, 5615, 5620, 5625, 5630, 5635, 5640, 5645, 5646, 5647,
 5650, 5655, 5660, 5665, 5670, 5672, 5675, 5680, 5681, 5685, 5695 &amp; 6205 (sub-account LEAP funding)</t>
  </si>
  <si>
    <t>6       Non recoverable items have been removed from OM&amp;A.</t>
  </si>
  <si>
    <t>Appendix 2-JB</t>
  </si>
  <si>
    <t>OM&amp;A</t>
  </si>
  <si>
    <t>Opening Balance</t>
  </si>
  <si>
    <t>System Planning and Design</t>
  </si>
  <si>
    <t xml:space="preserve">   Asset Planning &amp; System Engineering</t>
  </si>
  <si>
    <t xml:space="preserve">   Design Services &amp; Connections</t>
  </si>
  <si>
    <t>System Operations</t>
  </si>
  <si>
    <t xml:space="preserve">   Control Centre</t>
  </si>
  <si>
    <t xml:space="preserve">   Operations</t>
  </si>
  <si>
    <t>Sustainment</t>
  </si>
  <si>
    <t xml:space="preserve">   Maintenance</t>
  </si>
  <si>
    <t xml:space="preserve">      Maintenance - Distribution System</t>
  </si>
  <si>
    <t xml:space="preserve">      Maintenance - Substations</t>
  </si>
  <si>
    <t xml:space="preserve">   Restoration (storms, trouble calls)</t>
  </si>
  <si>
    <t xml:space="preserve">   Vegetation Management</t>
  </si>
  <si>
    <t xml:space="preserve">   Locates</t>
  </si>
  <si>
    <t>Customer Care</t>
  </si>
  <si>
    <t xml:space="preserve">   Billing</t>
  </si>
  <si>
    <t xml:space="preserve">   Customer Experience/Contact Centre</t>
  </si>
  <si>
    <t xml:space="preserve">   Payments &amp; Collections</t>
  </si>
  <si>
    <t xml:space="preserve">   Metering &amp; Wholesale Settlements</t>
  </si>
  <si>
    <t>Common Corporate</t>
  </si>
  <si>
    <t xml:space="preserve">   Technology</t>
  </si>
  <si>
    <t xml:space="preserve">   People &amp; Culture</t>
  </si>
  <si>
    <t xml:space="preserve">   Finance</t>
  </si>
  <si>
    <t xml:space="preserve">   Procurement &amp; Facilities</t>
  </si>
  <si>
    <t xml:space="preserve">   Regulatory Affairs</t>
  </si>
  <si>
    <t xml:space="preserve">   Stakeholder Relations</t>
  </si>
  <si>
    <t xml:space="preserve">   Legal and Corporate Secretariat</t>
  </si>
  <si>
    <r>
      <t>DVA Adjustments</t>
    </r>
    <r>
      <rPr>
        <b/>
        <vertAlign val="superscript"/>
        <sz val="10"/>
        <rFont val="Arial"/>
        <family val="2"/>
      </rPr>
      <t>2</t>
    </r>
  </si>
  <si>
    <t xml:space="preserve">   Sustainment/Locates</t>
  </si>
  <si>
    <t xml:space="preserve">   Common Corporate/Regulatory</t>
  </si>
  <si>
    <t xml:space="preserve">To align with MIFRS, Elexicon has included both total costs and net costs. Net costs are the segment costs less the operational amounts of that segment which were tracked in a deferral or variance account (DVA). </t>
  </si>
  <si>
    <t>Utilities with less than 30,000 customers have a choice to complete 2-JC or 2-JD.</t>
  </si>
  <si>
    <t>Appendix 2-JC</t>
  </si>
  <si>
    <t>OM&amp;A Programs Table</t>
  </si>
  <si>
    <t>Programs</t>
  </si>
  <si>
    <t>2020 Actuals</t>
  </si>
  <si>
    <t>2021 Actuals</t>
  </si>
  <si>
    <t>2022 Actuals</t>
  </si>
  <si>
    <t>2023 Actuals</t>
  </si>
  <si>
    <t>2024 Actuals</t>
  </si>
  <si>
    <t>2025 Bridge Year</t>
  </si>
  <si>
    <t>Sub-Total</t>
  </si>
  <si>
    <r>
      <t>DVA Adjustments</t>
    </r>
    <r>
      <rPr>
        <b/>
        <vertAlign val="superscript"/>
        <sz val="10"/>
        <rFont val="Arial"/>
        <family val="2"/>
      </rPr>
      <t>1</t>
    </r>
  </si>
  <si>
    <t xml:space="preserve">1   To align with MIFRS, Elexicon has included both total costs and net costs. Net costs are the segment costs less the operational amounts of that segment which were tracked in a deferral or variance account (DVA). </t>
  </si>
  <si>
    <t>Mapping to USoA</t>
  </si>
  <si>
    <t>5005, 5105, 5605, 5610, 5615, 5620, 5630, 5655, 5665, 5680</t>
  </si>
  <si>
    <t>5005, 5085, 5605, 5615, 5620, 5630, 5655, 5665, 5680</t>
  </si>
  <si>
    <t>5005, 5010, 5085, 5105, 5605, 5615, 5620, 5665</t>
  </si>
  <si>
    <t>5005, 5010, 5014, 5015, 5017, 5055, 5070, 5085, 5095, 5605, 5615, 5620, 5665</t>
  </si>
  <si>
    <t>5005, 5020, 5040, 5055, 5085, 5105, 5120, 5125, 5130, 5145, 5150, 5155, 5160, 5315, 5610, 5615, 5665</t>
  </si>
  <si>
    <t>5020, 5025, 5030, 5035, 5040, 5045, 5050, 5055, 5120, 5615</t>
  </si>
  <si>
    <t>5135, 5610, 5615</t>
  </si>
  <si>
    <t>5005, 5040</t>
  </si>
  <si>
    <t>5005, 5012, 5016, 5110, 5112, 5114, 5125, 5610, 5615, 5665</t>
  </si>
  <si>
    <t>5315, 5615</t>
  </si>
  <si>
    <t>5085, 5305, 5315, 5340, 5405, 5410, 5425, 5605, 5610, 5615, 5620, 5630, 5665</t>
  </si>
  <si>
    <t>5315, 5320, 5330, 5335, 5615</t>
  </si>
  <si>
    <t>5014, 5065, 5175, 5310, 5315, 5615</t>
  </si>
  <si>
    <t>5010, 5085, 5605, 5610, 5615, 5620, 5675</t>
  </si>
  <si>
    <t>5005, 5010, 5065, 5085, 5305, 5315, 5320, 5340, 5405, 5410, 5420, 5605, 5610, 5615, 5620, 5630, 5655, 5665, 5675</t>
  </si>
  <si>
    <t>5605, 5610, 5615, 5620, 5630, 5685, 6215</t>
  </si>
  <si>
    <t>5085, 5315, 5610, 5615, 5620, 5675</t>
  </si>
  <si>
    <t>5315, 5605, 5615, 5620, 5655, 6205</t>
  </si>
  <si>
    <t>5410, 5610, 5615, 5625, 5660, 5665</t>
  </si>
  <si>
    <t>5410, 5605, 5610, 5615, 5620, 5630, 5635, 5640, 5665</t>
  </si>
  <si>
    <t>5040</t>
  </si>
  <si>
    <t>5315, 5655, 6205</t>
  </si>
  <si>
    <t/>
  </si>
  <si>
    <t>EB-2025-0312</t>
  </si>
  <si>
    <t>Detailed explanation for each program cost driver and associated amount is provided in Exhibit 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</si>
</sst>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&quot;$&quot;* #,##0_-;\-&quot;$&quot;* #,##0_-;_-&quot;$&quot;* &quot;-&quot;??_-;_-@_-"/>
    <numFmt numFmtId="166" formatCode="0.0%"/>
    <numFmt numFmtId="167" formatCode="_-* #,##0_-;\-* #,##0_-;_-* &quot;-&quot;??_-;_-@_-"/>
    <numFmt numFmtId="168" formatCode="_-&quot;$&quot;* #,##0.0_-;\-&quot;$&quot;* #,##0.0_-;_-&quot;$&quot;* &quot;-&quot;??_-;_-@_-"/>
    <numFmt numFmtId="169" formatCode="_(&quot;$&quot;* #,##0_);_(&quot;$&quot;* \(\ #,##0\);_(&quot;$&quot;* &quot;-&quot;_);_(@_)"/>
    <numFmt numFmtId="170" formatCode="[$-F800]dddd\,\ mmmm\ dd\,\ yyyy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u/>
      <sz val="14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i/>
      <sz val="9"/>
      <color rgb="FFFF0000"/>
      <name val="Arial"/>
      <family val="2"/>
    </font>
    <font>
      <b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name val="Arial"/>
      <family val="2"/>
    </font>
    <font>
      <b/>
      <sz val="10"/>
      <color rgb="FFFF0000"/>
      <name val="Arial"/>
      <family val="2"/>
    </font>
    <font>
      <sz val="10"/>
      <color theme="2"/>
      <name val="Arial"/>
      <family val="2"/>
    </font>
    <font>
      <b/>
      <i/>
      <sz val="10"/>
      <name val="Arial"/>
      <family val="2"/>
    </font>
    <font>
      <b/>
      <sz val="12"/>
      <name val="Aharoni"/>
      <charset val="177"/>
    </font>
    <font>
      <sz val="10"/>
      <color theme="1"/>
      <name val="Arial"/>
      <family val="2"/>
    </font>
    <font>
      <b/>
      <vertAlign val="superscript"/>
      <sz val="10"/>
      <name val="Arial"/>
      <family val="2"/>
    </font>
    <font>
      <b/>
      <vertAlign val="superscript"/>
      <sz val="14"/>
      <name val="Arial"/>
      <family val="2"/>
    </font>
    <font>
      <sz val="7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EBF1D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23" fillId="0" borderId="0"/>
  </cellStyleXfs>
  <cellXfs count="18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 vertical="top"/>
    </xf>
    <xf numFmtId="0" fontId="7" fillId="0" borderId="0" xfId="4" applyFont="1"/>
    <xf numFmtId="0" fontId="8" fillId="0" borderId="0" xfId="0" applyFont="1"/>
    <xf numFmtId="165" fontId="0" fillId="0" borderId="0" xfId="0" applyNumberFormat="1"/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2" fillId="0" borderId="4" xfId="4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4" fillId="0" borderId="7" xfId="5" applyFont="1" applyBorder="1" applyAlignment="1">
      <alignment horizontal="center" vertical="center" wrapText="1"/>
    </xf>
    <xf numFmtId="0" fontId="14" fillId="0" borderId="8" xfId="5" applyFont="1" applyBorder="1" applyAlignment="1">
      <alignment horizontal="center" vertical="center" wrapText="1"/>
    </xf>
    <xf numFmtId="0" fontId="14" fillId="0" borderId="9" xfId="5" applyFont="1" applyBorder="1" applyAlignment="1">
      <alignment horizontal="center" vertical="center" wrapText="1"/>
    </xf>
    <xf numFmtId="0" fontId="15" fillId="0" borderId="7" xfId="4" applyFont="1" applyBorder="1" applyAlignment="1">
      <alignment vertical="center" wrapText="1"/>
    </xf>
    <xf numFmtId="0" fontId="16" fillId="0" borderId="11" xfId="5" applyFont="1" applyBorder="1" applyAlignment="1">
      <alignment vertical="center" wrapText="1"/>
    </xf>
    <xf numFmtId="165" fontId="16" fillId="0" borderId="12" xfId="5" applyNumberFormat="1" applyFont="1" applyBorder="1" applyAlignment="1">
      <alignment vertical="center" wrapText="1"/>
    </xf>
    <xf numFmtId="165" fontId="16" fillId="0" borderId="13" xfId="5" applyNumberFormat="1" applyFont="1" applyBorder="1" applyAlignment="1">
      <alignment vertical="center" wrapText="1"/>
    </xf>
    <xf numFmtId="0" fontId="12" fillId="0" borderId="14" xfId="4" applyFont="1" applyBorder="1" applyAlignment="1">
      <alignment vertical="center" wrapText="1"/>
    </xf>
    <xf numFmtId="165" fontId="12" fillId="2" borderId="2" xfId="2" applyNumberFormat="1" applyFont="1" applyFill="1" applyBorder="1" applyAlignment="1" applyProtection="1">
      <alignment vertical="center" wrapText="1"/>
      <protection locked="0"/>
    </xf>
    <xf numFmtId="165" fontId="12" fillId="3" borderId="2" xfId="2" applyNumberFormat="1" applyFont="1" applyFill="1" applyBorder="1" applyAlignment="1" applyProtection="1">
      <alignment vertical="center" wrapText="1"/>
    </xf>
    <xf numFmtId="3" fontId="12" fillId="0" borderId="0" xfId="4" applyNumberFormat="1" applyFont="1" applyAlignment="1">
      <alignment vertical="center" wrapText="1"/>
    </xf>
    <xf numFmtId="0" fontId="16" fillId="0" borderId="16" xfId="5" applyFont="1" applyBorder="1" applyAlignment="1">
      <alignment vertical="center" wrapText="1"/>
    </xf>
    <xf numFmtId="165" fontId="16" fillId="0" borderId="17" xfId="5" applyNumberFormat="1" applyFont="1" applyBorder="1" applyAlignment="1">
      <alignment vertical="center" wrapText="1"/>
    </xf>
    <xf numFmtId="0" fontId="12" fillId="0" borderId="16" xfId="4" applyFont="1" applyBorder="1" applyAlignment="1">
      <alignment vertical="center" wrapText="1"/>
    </xf>
    <xf numFmtId="0" fontId="13" fillId="0" borderId="16" xfId="4" applyFont="1" applyBorder="1" applyAlignment="1">
      <alignment vertical="center" wrapText="1"/>
    </xf>
    <xf numFmtId="165" fontId="13" fillId="0" borderId="2" xfId="2" applyNumberFormat="1" applyFont="1" applyBorder="1" applyAlignment="1" applyProtection="1">
      <alignment vertical="center" wrapText="1"/>
    </xf>
    <xf numFmtId="165" fontId="13" fillId="0" borderId="15" xfId="2" applyNumberFormat="1" applyFont="1" applyBorder="1" applyAlignment="1" applyProtection="1">
      <alignment vertical="center" wrapText="1"/>
    </xf>
    <xf numFmtId="3" fontId="13" fillId="0" borderId="0" xfId="1" applyNumberFormat="1" applyFont="1" applyFill="1" applyBorder="1" applyAlignment="1" applyProtection="1">
      <alignment vertical="center" wrapText="1"/>
    </xf>
    <xf numFmtId="166" fontId="12" fillId="0" borderId="2" xfId="3" applyNumberFormat="1" applyFont="1" applyBorder="1" applyAlignment="1" applyProtection="1">
      <alignment vertical="center" wrapText="1"/>
    </xf>
    <xf numFmtId="166" fontId="12" fillId="0" borderId="18" xfId="3" applyNumberFormat="1" applyFont="1" applyBorder="1" applyAlignment="1" applyProtection="1">
      <alignment vertical="center" wrapText="1"/>
    </xf>
    <xf numFmtId="3" fontId="12" fillId="0" borderId="19" xfId="3" applyNumberFormat="1" applyFont="1" applyFill="1" applyBorder="1" applyAlignment="1" applyProtection="1">
      <alignment vertical="center" wrapText="1"/>
    </xf>
    <xf numFmtId="3" fontId="12" fillId="0" borderId="0" xfId="3" applyNumberFormat="1" applyFont="1" applyFill="1" applyBorder="1" applyAlignment="1" applyProtection="1">
      <alignment vertical="center" wrapText="1"/>
    </xf>
    <xf numFmtId="0" fontId="12" fillId="0" borderId="20" xfId="4" applyFont="1" applyBorder="1" applyAlignment="1">
      <alignment vertical="center" wrapText="1"/>
    </xf>
    <xf numFmtId="166" fontId="12" fillId="0" borderId="0" xfId="3" applyNumberFormat="1" applyFont="1" applyBorder="1" applyAlignment="1" applyProtection="1">
      <alignment vertical="center" wrapText="1"/>
    </xf>
    <xf numFmtId="166" fontId="12" fillId="0" borderId="21" xfId="3" applyNumberFormat="1" applyFont="1" applyBorder="1" applyAlignment="1" applyProtection="1">
      <alignment vertical="center" wrapText="1"/>
    </xf>
    <xf numFmtId="3" fontId="12" fillId="0" borderId="19" xfId="4" applyNumberFormat="1" applyFont="1" applyBorder="1" applyAlignment="1">
      <alignment vertical="center" wrapText="1"/>
    </xf>
    <xf numFmtId="0" fontId="16" fillId="0" borderId="17" xfId="5" applyFont="1" applyBorder="1" applyAlignment="1">
      <alignment vertical="center" wrapText="1"/>
    </xf>
    <xf numFmtId="0" fontId="16" fillId="0" borderId="23" xfId="5" applyFont="1" applyBorder="1" applyAlignment="1">
      <alignment vertical="center" wrapText="1"/>
    </xf>
    <xf numFmtId="0" fontId="12" fillId="4" borderId="16" xfId="4" applyFont="1" applyFill="1" applyBorder="1" applyAlignment="1">
      <alignment vertical="center" wrapText="1"/>
    </xf>
    <xf numFmtId="0" fontId="16" fillId="4" borderId="16" xfId="5" applyFont="1" applyFill="1" applyBorder="1" applyAlignment="1">
      <alignment vertical="center" wrapText="1"/>
    </xf>
    <xf numFmtId="165" fontId="14" fillId="4" borderId="2" xfId="2" applyNumberFormat="1" applyFont="1" applyFill="1" applyBorder="1" applyAlignment="1" applyProtection="1">
      <alignment vertical="center" wrapText="1"/>
    </xf>
    <xf numFmtId="0" fontId="16" fillId="4" borderId="15" xfId="5" applyFont="1" applyFill="1" applyBorder="1" applyAlignment="1">
      <alignment vertical="center" wrapText="1"/>
    </xf>
    <xf numFmtId="0" fontId="0" fillId="4" borderId="0" xfId="0" applyFill="1"/>
    <xf numFmtId="0" fontId="13" fillId="4" borderId="16" xfId="4" applyFont="1" applyFill="1" applyBorder="1" applyAlignment="1">
      <alignment vertical="center" wrapText="1"/>
    </xf>
    <xf numFmtId="165" fontId="13" fillId="4" borderId="2" xfId="2" applyNumberFormat="1" applyFont="1" applyFill="1" applyBorder="1" applyAlignment="1" applyProtection="1">
      <alignment vertical="center" wrapText="1"/>
    </xf>
    <xf numFmtId="165" fontId="13" fillId="4" borderId="15" xfId="2" applyNumberFormat="1" applyFont="1" applyFill="1" applyBorder="1" applyAlignment="1" applyProtection="1">
      <alignment vertical="center" wrapText="1"/>
    </xf>
    <xf numFmtId="9" fontId="14" fillId="4" borderId="24" xfId="3" applyFont="1" applyFill="1" applyBorder="1" applyAlignment="1" applyProtection="1">
      <alignment vertical="center" wrapText="1"/>
    </xf>
    <xf numFmtId="0" fontId="16" fillId="0" borderId="2" xfId="5" applyFont="1" applyBorder="1" applyAlignment="1">
      <alignment vertical="center" wrapText="1"/>
    </xf>
    <xf numFmtId="10" fontId="14" fillId="0" borderId="2" xfId="5" applyNumberFormat="1" applyFont="1" applyBorder="1" applyAlignment="1">
      <alignment vertical="center" wrapText="1"/>
    </xf>
    <xf numFmtId="0" fontId="16" fillId="0" borderId="15" xfId="5" applyFont="1" applyBorder="1" applyAlignment="1">
      <alignment vertical="center" wrapText="1"/>
    </xf>
    <xf numFmtId="166" fontId="12" fillId="0" borderId="22" xfId="3" applyNumberFormat="1" applyFont="1" applyBorder="1" applyAlignment="1" applyProtection="1">
      <alignment vertical="center" wrapText="1"/>
    </xf>
    <xf numFmtId="0" fontId="16" fillId="0" borderId="25" xfId="5" applyFont="1" applyBorder="1" applyAlignment="1">
      <alignment vertical="center" wrapText="1"/>
    </xf>
    <xf numFmtId="0" fontId="12" fillId="0" borderId="26" xfId="4" applyFont="1" applyBorder="1" applyAlignment="1">
      <alignment vertical="center" wrapText="1"/>
    </xf>
    <xf numFmtId="166" fontId="12" fillId="0" borderId="28" xfId="3" applyNumberFormat="1" applyFont="1" applyBorder="1" applyAlignment="1" applyProtection="1">
      <alignment vertical="center" wrapText="1"/>
    </xf>
    <xf numFmtId="166" fontId="12" fillId="0" borderId="29" xfId="3" applyNumberFormat="1" applyFont="1" applyBorder="1" applyAlignment="1" applyProtection="1">
      <alignment vertical="center" wrapText="1"/>
    </xf>
    <xf numFmtId="0" fontId="16" fillId="0" borderId="26" xfId="5" applyFont="1" applyBorder="1" applyAlignment="1">
      <alignment vertical="center" wrapText="1"/>
    </xf>
    <xf numFmtId="0" fontId="6" fillId="0" borderId="0" xfId="4" applyAlignment="1">
      <alignment vertical="center" wrapText="1"/>
    </xf>
    <xf numFmtId="167" fontId="6" fillId="0" borderId="0" xfId="1" applyNumberFormat="1" applyFont="1" applyAlignment="1" applyProtection="1">
      <alignment vertical="center" wrapText="1"/>
    </xf>
    <xf numFmtId="167" fontId="5" fillId="0" borderId="0" xfId="1" applyNumberFormat="1" applyFont="1" applyAlignment="1" applyProtection="1">
      <alignment vertical="center" wrapText="1"/>
    </xf>
    <xf numFmtId="0" fontId="0" fillId="0" borderId="0" xfId="0" applyAlignment="1">
      <alignment vertical="center" wrapText="1"/>
    </xf>
    <xf numFmtId="165" fontId="12" fillId="0" borderId="2" xfId="2" applyNumberFormat="1" applyFont="1" applyBorder="1" applyAlignment="1" applyProtection="1">
      <alignment vertical="center" wrapText="1"/>
    </xf>
    <xf numFmtId="165" fontId="12" fillId="0" borderId="15" xfId="2" applyNumberFormat="1" applyFont="1" applyBorder="1" applyAlignment="1" applyProtection="1">
      <alignment vertical="center" wrapText="1"/>
    </xf>
    <xf numFmtId="164" fontId="0" fillId="0" borderId="0" xfId="0" applyNumberFormat="1" applyAlignment="1">
      <alignment vertical="center" wrapText="1"/>
    </xf>
    <xf numFmtId="166" fontId="12" fillId="0" borderId="27" xfId="3" applyNumberFormat="1" applyFont="1" applyBorder="1" applyAlignment="1" applyProtection="1">
      <alignment vertical="center" wrapText="1"/>
    </xf>
    <xf numFmtId="166" fontId="12" fillId="0" borderId="30" xfId="3" applyNumberFormat="1" applyFont="1" applyBorder="1" applyAlignment="1" applyProtection="1">
      <alignment vertical="center" wrapText="1"/>
    </xf>
    <xf numFmtId="166" fontId="12" fillId="0" borderId="31" xfId="3" applyNumberFormat="1" applyFont="1" applyBorder="1" applyAlignment="1" applyProtection="1">
      <alignment vertical="center" wrapText="1"/>
    </xf>
    <xf numFmtId="165" fontId="0" fillId="0" borderId="0" xfId="0" applyNumberFormat="1" applyAlignment="1">
      <alignment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 wrapText="1"/>
    </xf>
    <xf numFmtId="3" fontId="0" fillId="0" borderId="2" xfId="0" applyNumberFormat="1" applyBorder="1" applyAlignment="1">
      <alignment vertical="center" wrapText="1"/>
    </xf>
    <xf numFmtId="0" fontId="6" fillId="0" borderId="0" xfId="0" applyFont="1" applyAlignment="1">
      <alignment vertical="center"/>
    </xf>
    <xf numFmtId="3" fontId="0" fillId="0" borderId="0" xfId="0" applyNumberForma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4" fillId="0" borderId="14" xfId="0" applyFont="1" applyBorder="1" applyAlignment="1" applyProtection="1">
      <alignment vertical="center"/>
      <protection locked="0"/>
    </xf>
    <xf numFmtId="0" fontId="15" fillId="0" borderId="7" xfId="4" applyFont="1" applyBorder="1" applyAlignment="1" applyProtection="1">
      <alignment vertical="center" wrapText="1"/>
      <protection locked="0"/>
    </xf>
    <xf numFmtId="0" fontId="15" fillId="0" borderId="0" xfId="4" applyFont="1" applyAlignment="1" applyProtection="1">
      <alignment vertical="center" wrapText="1"/>
      <protection locked="0"/>
    </xf>
    <xf numFmtId="0" fontId="4" fillId="0" borderId="20" xfId="0" applyFont="1" applyBorder="1"/>
    <xf numFmtId="165" fontId="0" fillId="3" borderId="17" xfId="2" applyNumberFormat="1" applyFont="1" applyFill="1" applyBorder="1" applyProtection="1"/>
    <xf numFmtId="165" fontId="0" fillId="3" borderId="23" xfId="2" applyNumberFormat="1" applyFont="1" applyFill="1" applyBorder="1" applyProtection="1"/>
    <xf numFmtId="0" fontId="4" fillId="0" borderId="36" xfId="0" applyFont="1" applyBorder="1"/>
    <xf numFmtId="165" fontId="0" fillId="0" borderId="38" xfId="2" applyNumberFormat="1" applyFont="1" applyBorder="1" applyProtection="1"/>
    <xf numFmtId="165" fontId="0" fillId="0" borderId="39" xfId="2" applyNumberFormat="1" applyFont="1" applyBorder="1" applyProtection="1"/>
    <xf numFmtId="0" fontId="0" fillId="0" borderId="0" xfId="0" applyAlignment="1" applyProtection="1">
      <alignment horizontal="right"/>
      <protection locked="0"/>
    </xf>
    <xf numFmtId="0" fontId="4" fillId="0" borderId="0" xfId="0" applyFont="1" applyAlignment="1" applyProtection="1">
      <alignment horizontal="right"/>
      <protection locked="0"/>
    </xf>
    <xf numFmtId="0" fontId="19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20" fillId="0" borderId="0" xfId="0" applyFont="1" applyAlignment="1" applyProtection="1">
      <alignment horizontal="left" wrapText="1"/>
      <protection locked="0"/>
    </xf>
    <xf numFmtId="0" fontId="20" fillId="0" borderId="0" xfId="0" applyFont="1" applyAlignment="1" applyProtection="1">
      <alignment horizontal="center" wrapText="1"/>
      <protection locked="0"/>
    </xf>
    <xf numFmtId="0" fontId="20" fillId="0" borderId="0" xfId="0" applyFont="1" applyProtection="1">
      <protection locked="0"/>
    </xf>
    <xf numFmtId="3" fontId="4" fillId="0" borderId="40" xfId="0" applyNumberFormat="1" applyFont="1" applyBorder="1" applyProtection="1">
      <protection locked="0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0" fillId="0" borderId="0" xfId="0" applyNumberFormat="1" applyProtection="1">
      <protection locked="0"/>
    </xf>
    <xf numFmtId="3" fontId="15" fillId="0" borderId="7" xfId="4" applyNumberFormat="1" applyFont="1" applyBorder="1" applyAlignment="1" applyProtection="1">
      <alignment vertical="center" wrapText="1"/>
      <protection locked="0"/>
    </xf>
    <xf numFmtId="3" fontId="0" fillId="0" borderId="2" xfId="2" applyNumberFormat="1" applyFont="1" applyFill="1" applyBorder="1" applyProtection="1"/>
    <xf numFmtId="3" fontId="0" fillId="0" borderId="2" xfId="2" applyNumberFormat="1" applyFont="1" applyFill="1" applyBorder="1" applyProtection="1">
      <protection locked="0"/>
    </xf>
    <xf numFmtId="3" fontId="0" fillId="0" borderId="2" xfId="0" applyNumberFormat="1" applyBorder="1" applyProtection="1">
      <protection locked="0"/>
    </xf>
    <xf numFmtId="3" fontId="6" fillId="5" borderId="17" xfId="0" applyNumberFormat="1" applyFont="1" applyFill="1" applyBorder="1" applyProtection="1">
      <protection locked="0"/>
    </xf>
    <xf numFmtId="3" fontId="4" fillId="0" borderId="17" xfId="0" applyNumberFormat="1" applyFont="1" applyBorder="1" applyProtection="1">
      <protection locked="0"/>
    </xf>
    <xf numFmtId="3" fontId="4" fillId="0" borderId="37" xfId="0" applyNumberFormat="1" applyFont="1" applyBorder="1" applyProtection="1">
      <protection locked="0"/>
    </xf>
    <xf numFmtId="3" fontId="21" fillId="0" borderId="0" xfId="0" applyNumberFormat="1" applyFont="1" applyAlignment="1" applyProtection="1">
      <alignment horizontal="left" vertical="top"/>
      <protection locked="0"/>
    </xf>
    <xf numFmtId="3" fontId="22" fillId="0" borderId="0" xfId="0" applyNumberFormat="1" applyFont="1" applyAlignment="1" applyProtection="1">
      <alignment horizontal="left" wrapText="1"/>
      <protection locked="0"/>
    </xf>
    <xf numFmtId="3" fontId="4" fillId="0" borderId="0" xfId="0" applyNumberFormat="1" applyFont="1" applyAlignment="1" applyProtection="1">
      <alignment horizontal="left" wrapText="1"/>
      <protection locked="0"/>
    </xf>
    <xf numFmtId="3" fontId="4" fillId="0" borderId="0" xfId="0" applyNumberFormat="1" applyFont="1" applyProtection="1">
      <protection locked="0"/>
    </xf>
    <xf numFmtId="167" fontId="0" fillId="0" borderId="2" xfId="1" applyNumberFormat="1" applyFont="1" applyBorder="1" applyAlignment="1">
      <alignment vertical="center" wrapText="1"/>
    </xf>
    <xf numFmtId="0" fontId="2" fillId="2" borderId="16" xfId="0" applyFont="1" applyFill="1" applyBorder="1" applyProtection="1">
      <protection locked="0"/>
    </xf>
    <xf numFmtId="165" fontId="0" fillId="2" borderId="2" xfId="2" applyNumberFormat="1" applyFont="1" applyFill="1" applyBorder="1" applyProtection="1">
      <protection locked="0"/>
    </xf>
    <xf numFmtId="165" fontId="0" fillId="2" borderId="15" xfId="2" applyNumberFormat="1" applyFont="1" applyFill="1" applyBorder="1" applyProtection="1">
      <protection locked="0"/>
    </xf>
    <xf numFmtId="168" fontId="0" fillId="2" borderId="2" xfId="2" applyNumberFormat="1" applyFont="1" applyFill="1" applyBorder="1" applyProtection="1">
      <protection locked="0"/>
    </xf>
    <xf numFmtId="0" fontId="6" fillId="2" borderId="16" xfId="0" applyFont="1" applyFill="1" applyBorder="1" applyProtection="1">
      <protection locked="0"/>
    </xf>
    <xf numFmtId="0" fontId="4" fillId="2" borderId="16" xfId="0" applyFont="1" applyFill="1" applyBorder="1" applyProtection="1">
      <protection locked="0"/>
    </xf>
    <xf numFmtId="0" fontId="0" fillId="2" borderId="33" xfId="0" applyFill="1" applyBorder="1" applyProtection="1">
      <protection locked="0"/>
    </xf>
    <xf numFmtId="165" fontId="0" fillId="2" borderId="24" xfId="2" applyNumberFormat="1" applyFont="1" applyFill="1" applyBorder="1" applyProtection="1">
      <protection locked="0"/>
    </xf>
    <xf numFmtId="165" fontId="0" fillId="2" borderId="34" xfId="2" applyNumberFormat="1" applyFont="1" applyFill="1" applyBorder="1" applyProtection="1">
      <protection locked="0"/>
    </xf>
    <xf numFmtId="165" fontId="0" fillId="2" borderId="35" xfId="2" applyNumberFormat="1" applyFont="1" applyFill="1" applyBorder="1" applyProtection="1">
      <protection locked="0"/>
    </xf>
    <xf numFmtId="0" fontId="5" fillId="2" borderId="1" xfId="0" applyFont="1" applyFill="1" applyBorder="1" applyAlignment="1" applyProtection="1">
      <alignment horizontal="right" vertical="top"/>
      <protection locked="0"/>
    </xf>
    <xf numFmtId="0" fontId="5" fillId="2" borderId="0" xfId="0" applyFont="1" applyFill="1" applyAlignment="1" applyProtection="1">
      <alignment horizontal="right" vertical="top"/>
      <protection locked="0"/>
    </xf>
    <xf numFmtId="3" fontId="4" fillId="2" borderId="17" xfId="0" applyNumberFormat="1" applyFont="1" applyFill="1" applyBorder="1" applyProtection="1">
      <protection locked="0"/>
    </xf>
    <xf numFmtId="3" fontId="6" fillId="2" borderId="17" xfId="0" applyNumberFormat="1" applyFont="1" applyFill="1" applyBorder="1" applyProtection="1">
      <protection locked="0"/>
    </xf>
    <xf numFmtId="3" fontId="4" fillId="2" borderId="17" xfId="0" applyNumberFormat="1" applyFont="1" applyFill="1" applyBorder="1" applyAlignment="1" applyProtection="1">
      <alignment wrapText="1"/>
      <protection locked="0"/>
    </xf>
    <xf numFmtId="165" fontId="12" fillId="2" borderId="18" xfId="2" applyNumberFormat="1" applyFont="1" applyFill="1" applyBorder="1" applyAlignment="1" applyProtection="1">
      <alignment vertical="center" wrapText="1"/>
      <protection locked="0"/>
    </xf>
    <xf numFmtId="165" fontId="12" fillId="2" borderId="15" xfId="2" applyNumberFormat="1" applyFont="1" applyFill="1" applyBorder="1" applyAlignment="1" applyProtection="1">
      <alignment vertical="center" wrapText="1"/>
      <protection locked="0"/>
    </xf>
    <xf numFmtId="3" fontId="4" fillId="6" borderId="5" xfId="0" applyNumberFormat="1" applyFont="1" applyFill="1" applyBorder="1" applyAlignment="1" applyProtection="1">
      <alignment horizontal="center" vertical="top" wrapText="1"/>
      <protection locked="0"/>
    </xf>
    <xf numFmtId="3" fontId="4" fillId="6" borderId="6" xfId="0" applyNumberFormat="1" applyFont="1" applyFill="1" applyBorder="1" applyAlignment="1" applyProtection="1">
      <alignment horizontal="center" vertical="top" wrapText="1"/>
      <protection locked="0"/>
    </xf>
    <xf numFmtId="0" fontId="9" fillId="6" borderId="2" xfId="0" applyFont="1" applyFill="1" applyBorder="1" applyProtection="1">
      <protection locked="0"/>
    </xf>
    <xf numFmtId="0" fontId="4" fillId="6" borderId="10" xfId="0" applyFont="1" applyFill="1" applyBorder="1" applyAlignment="1" applyProtection="1">
      <alignment horizontal="center" vertical="top" wrapText="1"/>
      <protection locked="0"/>
    </xf>
    <xf numFmtId="0" fontId="4" fillId="6" borderId="5" xfId="0" applyFont="1" applyFill="1" applyBorder="1" applyAlignment="1" applyProtection="1">
      <alignment horizontal="center" vertical="top" wrapText="1"/>
      <protection locked="0"/>
    </xf>
    <xf numFmtId="0" fontId="4" fillId="6" borderId="6" xfId="0" applyFont="1" applyFill="1" applyBorder="1" applyAlignment="1" applyProtection="1">
      <alignment horizontal="center" vertical="top" wrapText="1"/>
      <protection locked="0"/>
    </xf>
    <xf numFmtId="3" fontId="10" fillId="0" borderId="0" xfId="0" applyNumberFormat="1" applyFont="1" applyProtection="1">
      <protection locked="0"/>
    </xf>
    <xf numFmtId="169" fontId="0" fillId="2" borderId="2" xfId="2" applyNumberFormat="1" applyFont="1" applyFill="1" applyBorder="1" applyProtection="1">
      <protection locked="0"/>
    </xf>
    <xf numFmtId="169" fontId="0" fillId="2" borderId="15" xfId="2" applyNumberFormat="1" applyFont="1" applyFill="1" applyBorder="1" applyProtection="1">
      <protection locked="0"/>
    </xf>
    <xf numFmtId="9" fontId="0" fillId="0" borderId="0" xfId="3" applyFont="1" applyProtection="1">
      <protection locked="0"/>
    </xf>
    <xf numFmtId="0" fontId="4" fillId="7" borderId="0" xfId="0" applyFont="1" applyFill="1" applyAlignment="1" applyProtection="1">
      <alignment horizontal="right"/>
      <protection locked="0"/>
    </xf>
    <xf numFmtId="0" fontId="0" fillId="7" borderId="0" xfId="0" applyFill="1" applyProtection="1">
      <protection locked="0"/>
    </xf>
    <xf numFmtId="0" fontId="23" fillId="7" borderId="0" xfId="0" applyFont="1" applyFill="1" applyProtection="1">
      <protection locked="0"/>
    </xf>
    <xf numFmtId="3" fontId="6" fillId="7" borderId="0" xfId="0" applyNumberFormat="1" applyFont="1" applyFill="1" applyAlignment="1" applyProtection="1">
      <alignment horizontal="left" vertical="top" wrapText="1"/>
      <protection locked="0"/>
    </xf>
    <xf numFmtId="3" fontId="0" fillId="7" borderId="0" xfId="0" applyNumberFormat="1" applyFill="1" applyProtection="1">
      <protection locked="0"/>
    </xf>
    <xf numFmtId="165" fontId="0" fillId="4" borderId="2" xfId="2" applyNumberFormat="1" applyFont="1" applyFill="1" applyBorder="1" applyProtection="1"/>
    <xf numFmtId="165" fontId="4" fillId="0" borderId="37" xfId="2" applyNumberFormat="1" applyFont="1" applyBorder="1"/>
    <xf numFmtId="165" fontId="0" fillId="0" borderId="32" xfId="2" applyNumberFormat="1" applyFont="1" applyFill="1" applyBorder="1" applyProtection="1">
      <protection locked="0"/>
    </xf>
    <xf numFmtId="165" fontId="0" fillId="0" borderId="2" xfId="2" applyNumberFormat="1" applyFont="1" applyBorder="1"/>
    <xf numFmtId="165" fontId="0" fillId="5" borderId="24" xfId="2" applyNumberFormat="1" applyFont="1" applyFill="1" applyBorder="1" applyProtection="1">
      <protection locked="0"/>
    </xf>
    <xf numFmtId="165" fontId="0" fillId="4" borderId="2" xfId="2" applyNumberFormat="1" applyFont="1" applyFill="1" applyBorder="1"/>
    <xf numFmtId="165" fontId="0" fillId="0" borderId="2" xfId="2" applyNumberFormat="1" applyFont="1" applyFill="1" applyBorder="1" applyProtection="1">
      <protection locked="0"/>
    </xf>
    <xf numFmtId="165" fontId="14" fillId="4" borderId="15" xfId="2" applyNumberFormat="1" applyFont="1" applyFill="1" applyBorder="1" applyAlignment="1" applyProtection="1">
      <alignment vertical="center" wrapText="1"/>
    </xf>
    <xf numFmtId="9" fontId="14" fillId="4" borderId="41" xfId="3" applyFont="1" applyFill="1" applyBorder="1" applyAlignment="1" applyProtection="1">
      <alignment vertical="center" wrapText="1"/>
    </xf>
    <xf numFmtId="0" fontId="16" fillId="0" borderId="27" xfId="5" applyFont="1" applyBorder="1" applyAlignment="1">
      <alignment vertical="center" wrapText="1"/>
    </xf>
    <xf numFmtId="166" fontId="14" fillId="0" borderId="29" xfId="3" applyNumberFormat="1" applyFont="1" applyFill="1" applyBorder="1" applyAlignment="1" applyProtection="1">
      <alignment vertical="center" wrapText="1"/>
    </xf>
    <xf numFmtId="167" fontId="0" fillId="0" borderId="2" xfId="1" applyNumberFormat="1" applyFont="1" applyBorder="1" applyAlignment="1">
      <alignment horizontal="center" vertical="center" wrapText="1"/>
    </xf>
    <xf numFmtId="0" fontId="6" fillId="0" borderId="0" xfId="0" applyFont="1" applyAlignment="1" applyProtection="1">
      <alignment vertical="top" wrapText="1"/>
      <protection locked="0"/>
    </xf>
    <xf numFmtId="0" fontId="6" fillId="7" borderId="0" xfId="0" applyFont="1" applyFill="1" applyAlignment="1" applyProtection="1">
      <alignment vertical="top" wrapText="1"/>
      <protection locked="0"/>
    </xf>
    <xf numFmtId="3" fontId="4" fillId="0" borderId="42" xfId="0" applyNumberFormat="1" applyFont="1" applyBorder="1" applyAlignment="1">
      <alignment horizontal="center" vertical="center" wrapText="1"/>
    </xf>
    <xf numFmtId="0" fontId="0" fillId="0" borderId="2" xfId="0" applyBorder="1"/>
    <xf numFmtId="0" fontId="26" fillId="0" borderId="0" xfId="0" applyFont="1" applyAlignment="1">
      <alignment vertical="center"/>
    </xf>
    <xf numFmtId="0" fontId="26" fillId="0" borderId="0" xfId="0" applyFont="1"/>
    <xf numFmtId="0" fontId="0" fillId="0" borderId="2" xfId="0" applyBorder="1" applyAlignment="1">
      <alignment vertical="center"/>
    </xf>
    <xf numFmtId="3" fontId="0" fillId="0" borderId="2" xfId="0" quotePrefix="1" applyNumberFormat="1" applyBorder="1" applyProtection="1">
      <protection locked="0"/>
    </xf>
    <xf numFmtId="170" fontId="5" fillId="2" borderId="0" xfId="0" applyNumberFormat="1" applyFont="1" applyFill="1" applyAlignment="1" applyProtection="1">
      <alignment horizontal="right" vertical="top"/>
      <protection locked="0"/>
    </xf>
    <xf numFmtId="0" fontId="6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13" fillId="0" borderId="0" xfId="4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center" vertical="top"/>
      <protection locked="0"/>
    </xf>
  </cellXfs>
  <cellStyles count="7">
    <cellStyle name="Comma" xfId="1" builtinId="3"/>
    <cellStyle name="Currency" xfId="2" builtinId="4"/>
    <cellStyle name="Normal" xfId="0" builtinId="0"/>
    <cellStyle name="Normal 2" xfId="4" xr:uid="{4156E5D8-C05A-4DC9-9BDD-AB514DEF3C5C}"/>
    <cellStyle name="Normal 3" xfId="5" xr:uid="{410FDB3C-76AB-4456-A88D-5BFEBABD1636}"/>
    <cellStyle name="Normal 5" xfId="6" xr:uid="{ACC860AA-D7F6-4866-A681-B77C131B3826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1BC63-32E2-4CF2-9945-88C647374305}">
  <dimension ref="A1:AV116"/>
  <sheetViews>
    <sheetView tabSelected="1" workbookViewId="0">
      <selection activeCell="K24" sqref="K24"/>
    </sheetView>
  </sheetViews>
  <sheetFormatPr defaultColWidth="9.42578125" defaultRowHeight="15" x14ac:dyDescent="0.25"/>
  <cols>
    <col min="1" max="1" width="42.85546875" customWidth="1"/>
    <col min="2" max="8" width="14.5703125" hidden="1" customWidth="1"/>
    <col min="9" max="10" width="15" hidden="1" customWidth="1"/>
    <col min="11" max="14" width="15" customWidth="1"/>
    <col min="15" max="15" width="13.42578125" customWidth="1"/>
    <col min="16" max="16" width="12.5703125" customWidth="1"/>
    <col min="17" max="17" width="16.7109375" customWidth="1"/>
    <col min="18" max="22" width="12.5703125" customWidth="1"/>
    <col min="23" max="23" width="13.42578125" bestFit="1" customWidth="1"/>
    <col min="24" max="24" width="11.42578125" bestFit="1" customWidth="1"/>
    <col min="25" max="25" width="39.42578125" customWidth="1"/>
    <col min="26" max="48" width="13.42578125" customWidth="1"/>
  </cols>
  <sheetData>
    <row r="1" spans="1:40" x14ac:dyDescent="0.25">
      <c r="N1" s="1"/>
      <c r="P1" s="2" t="s">
        <v>0</v>
      </c>
      <c r="Q1" s="3" t="s">
        <v>134</v>
      </c>
      <c r="R1" s="1"/>
      <c r="S1" s="1"/>
      <c r="T1" s="1"/>
      <c r="U1" s="1"/>
      <c r="V1" s="1"/>
      <c r="W1" s="1"/>
      <c r="X1" s="1" t="s">
        <v>1</v>
      </c>
      <c r="Y1" s="1" t="s">
        <v>2</v>
      </c>
    </row>
    <row r="2" spans="1:40" x14ac:dyDescent="0.25">
      <c r="P2" s="2" t="s">
        <v>3</v>
      </c>
      <c r="Q2" s="130">
        <v>4</v>
      </c>
      <c r="R2" s="1"/>
      <c r="S2" s="1"/>
      <c r="T2" s="1"/>
      <c r="U2" s="1"/>
      <c r="V2" s="1"/>
      <c r="W2" s="1">
        <v>2026</v>
      </c>
      <c r="X2" s="1">
        <v>2010</v>
      </c>
      <c r="Y2" s="1" t="s">
        <v>4</v>
      </c>
    </row>
    <row r="3" spans="1:40" x14ac:dyDescent="0.25">
      <c r="P3" s="2" t="s">
        <v>5</v>
      </c>
      <c r="Q3" s="130">
        <v>1</v>
      </c>
      <c r="R3" s="1"/>
      <c r="S3" s="1"/>
      <c r="T3" s="1"/>
      <c r="U3" s="1"/>
      <c r="V3" s="1"/>
      <c r="W3" s="1"/>
      <c r="X3" s="1">
        <v>2011</v>
      </c>
      <c r="Y3" s="1" t="s">
        <v>6</v>
      </c>
    </row>
    <row r="4" spans="1:40" x14ac:dyDescent="0.25">
      <c r="A4" s="4"/>
      <c r="B4" s="4"/>
      <c r="C4" s="4"/>
      <c r="D4" s="4"/>
      <c r="E4" s="4"/>
      <c r="F4" s="4"/>
      <c r="G4" s="4"/>
      <c r="H4" s="4"/>
      <c r="P4" s="2" t="s">
        <v>7</v>
      </c>
      <c r="Q4" s="130">
        <v>1</v>
      </c>
      <c r="R4" s="1"/>
      <c r="S4" s="1"/>
      <c r="T4" s="1"/>
      <c r="U4" s="1"/>
      <c r="V4" s="1"/>
      <c r="W4" s="1"/>
      <c r="X4" s="1">
        <v>2012</v>
      </c>
      <c r="Y4" s="1" t="s">
        <v>8</v>
      </c>
    </row>
    <row r="5" spans="1:40" x14ac:dyDescent="0.25">
      <c r="A5" s="5" t="s">
        <v>9</v>
      </c>
      <c r="P5" s="2" t="s">
        <v>10</v>
      </c>
      <c r="Q5" s="131"/>
      <c r="R5" s="1"/>
      <c r="S5" s="1"/>
      <c r="T5" s="1"/>
      <c r="U5" s="1"/>
      <c r="V5" s="1"/>
      <c r="W5" s="1"/>
      <c r="X5" s="1">
        <v>2013</v>
      </c>
      <c r="Y5" s="1" t="s">
        <v>11</v>
      </c>
    </row>
    <row r="6" spans="1:40" x14ac:dyDescent="0.25">
      <c r="A6" s="139" t="s">
        <v>12</v>
      </c>
      <c r="P6" s="2"/>
      <c r="Q6" s="3"/>
      <c r="R6" s="1"/>
      <c r="S6" s="1"/>
      <c r="T6" s="1"/>
      <c r="U6" s="1"/>
      <c r="V6" s="1"/>
      <c r="W6" s="1"/>
      <c r="X6" s="1">
        <v>2014</v>
      </c>
      <c r="Y6" s="1" t="s">
        <v>13</v>
      </c>
    </row>
    <row r="7" spans="1:40" x14ac:dyDescent="0.25">
      <c r="P7" s="2" t="s">
        <v>14</v>
      </c>
      <c r="Q7" s="172">
        <v>46010</v>
      </c>
      <c r="R7" s="1"/>
      <c r="S7" s="1"/>
      <c r="T7" s="1"/>
      <c r="U7" s="1"/>
      <c r="V7" s="1"/>
      <c r="W7" s="1"/>
      <c r="X7" s="1">
        <v>2015</v>
      </c>
      <c r="Y7" s="1" t="s">
        <v>15</v>
      </c>
    </row>
    <row r="8" spans="1:40" x14ac:dyDescent="0.25">
      <c r="J8" s="6"/>
      <c r="K8" s="6"/>
      <c r="L8" s="6"/>
      <c r="M8" s="6"/>
      <c r="N8" s="6"/>
      <c r="O8" s="6"/>
      <c r="R8" s="1"/>
      <c r="S8" s="1"/>
      <c r="T8" s="1"/>
      <c r="U8" s="1"/>
      <c r="V8" s="1"/>
      <c r="W8" s="1"/>
      <c r="X8" s="1">
        <v>2016</v>
      </c>
      <c r="Y8" s="1" t="s">
        <v>16</v>
      </c>
    </row>
    <row r="9" spans="1:40" ht="18" x14ac:dyDescent="0.25">
      <c r="A9" s="174" t="s">
        <v>17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7"/>
      <c r="S9" s="7"/>
      <c r="T9" s="7"/>
      <c r="U9" s="7"/>
      <c r="V9" s="7"/>
      <c r="W9" s="1"/>
      <c r="X9" s="1">
        <v>2017</v>
      </c>
      <c r="Y9" s="1" t="s">
        <v>18</v>
      </c>
    </row>
    <row r="10" spans="1:40" ht="34.5" customHeight="1" thickBot="1" x14ac:dyDescent="0.3">
      <c r="A10" s="174" t="s">
        <v>19</v>
      </c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7"/>
      <c r="S10" s="7"/>
      <c r="T10" s="7"/>
      <c r="U10" s="7"/>
      <c r="V10" s="7"/>
      <c r="W10" s="1"/>
      <c r="X10" s="1"/>
      <c r="Y10" s="1"/>
    </row>
    <row r="11" spans="1:40" s="8" customFormat="1" ht="17.25" hidden="1" customHeight="1" thickBot="1" x14ac:dyDescent="0.25">
      <c r="B11" s="9">
        <v>2011</v>
      </c>
      <c r="C11" s="9">
        <v>2012</v>
      </c>
      <c r="D11" s="9">
        <v>2013</v>
      </c>
      <c r="E11" s="9">
        <v>2014</v>
      </c>
      <c r="F11" s="9">
        <v>2015</v>
      </c>
      <c r="G11" s="9">
        <v>2016</v>
      </c>
      <c r="H11" s="9">
        <v>2017</v>
      </c>
      <c r="I11" s="9">
        <v>2018</v>
      </c>
      <c r="J11" s="9">
        <v>2019</v>
      </c>
      <c r="K11" s="9">
        <v>2020</v>
      </c>
      <c r="L11" s="9">
        <v>2021</v>
      </c>
      <c r="M11" s="9">
        <v>2022</v>
      </c>
      <c r="N11" s="9">
        <v>2023</v>
      </c>
      <c r="O11" s="9">
        <v>2024</v>
      </c>
      <c r="P11" s="10">
        <v>2025</v>
      </c>
      <c r="Q11" s="10">
        <v>2026</v>
      </c>
      <c r="R11" s="10"/>
      <c r="S11" s="10"/>
      <c r="T11" s="10"/>
      <c r="U11" s="10"/>
      <c r="V11" s="10"/>
      <c r="Z11" s="8">
        <f t="shared" ref="Z11:AE11" si="0">K11</f>
        <v>2020</v>
      </c>
      <c r="AA11" s="8">
        <f t="shared" si="0"/>
        <v>2021</v>
      </c>
      <c r="AB11" s="8">
        <f t="shared" si="0"/>
        <v>2022</v>
      </c>
      <c r="AC11" s="8">
        <f t="shared" si="0"/>
        <v>2023</v>
      </c>
      <c r="AD11" s="8">
        <f t="shared" si="0"/>
        <v>2024</v>
      </c>
      <c r="AE11" s="8">
        <f t="shared" si="0"/>
        <v>2025</v>
      </c>
      <c r="AG11" s="8">
        <f>Q11</f>
        <v>2026</v>
      </c>
      <c r="AI11" s="8">
        <v>2027</v>
      </c>
      <c r="AK11" s="8">
        <v>2028</v>
      </c>
      <c r="AL11" s="8">
        <v>2029</v>
      </c>
      <c r="AM11" s="8">
        <v>2030</v>
      </c>
      <c r="AN11" s="8">
        <v>2031</v>
      </c>
    </row>
    <row r="12" spans="1:40" ht="36.75" thickBot="1" x14ac:dyDescent="0.3">
      <c r="A12" s="11"/>
      <c r="B12" s="12" t="str">
        <f t="shared" ref="B12:O12" si="1">CONCATENATE(B11," ",IF($W1=B11,"Last Rebasing Year ",""),"Actuals")</f>
        <v>2011 Actuals</v>
      </c>
      <c r="C12" s="12" t="str">
        <f t="shared" si="1"/>
        <v>2012 Actuals</v>
      </c>
      <c r="D12" s="12" t="str">
        <f t="shared" si="1"/>
        <v>2013 Actuals</v>
      </c>
      <c r="E12" s="12" t="str">
        <f t="shared" si="1"/>
        <v>2014 Actuals</v>
      </c>
      <c r="F12" s="12" t="str">
        <f t="shared" si="1"/>
        <v>2015 Actuals</v>
      </c>
      <c r="G12" s="12" t="str">
        <f t="shared" si="1"/>
        <v>2016 Actuals</v>
      </c>
      <c r="H12" s="12" t="str">
        <f t="shared" si="1"/>
        <v>2017 Actuals</v>
      </c>
      <c r="I12" s="12" t="str">
        <f t="shared" si="1"/>
        <v>2018 Actuals</v>
      </c>
      <c r="J12" s="12" t="str">
        <f t="shared" si="1"/>
        <v>2019 Actuals</v>
      </c>
      <c r="K12" s="12" t="str">
        <f t="shared" si="1"/>
        <v>2020 Actuals</v>
      </c>
      <c r="L12" s="12" t="str">
        <f t="shared" si="1"/>
        <v>2021 Actuals</v>
      </c>
      <c r="M12" s="12" t="str">
        <f t="shared" si="1"/>
        <v>2022 Actuals</v>
      </c>
      <c r="N12" s="12" t="str">
        <f t="shared" si="1"/>
        <v>2023 Actuals</v>
      </c>
      <c r="O12" s="12" t="str">
        <f t="shared" si="1"/>
        <v>2024 Actuals</v>
      </c>
      <c r="P12" s="12" t="s">
        <v>106</v>
      </c>
      <c r="Q12" s="13" t="s">
        <v>20</v>
      </c>
      <c r="R12" s="13" t="s">
        <v>21</v>
      </c>
      <c r="S12" s="13" t="s">
        <v>22</v>
      </c>
      <c r="T12" s="13" t="s">
        <v>23</v>
      </c>
      <c r="U12" s="13" t="s">
        <v>24</v>
      </c>
      <c r="V12" s="13" t="s">
        <v>25</v>
      </c>
      <c r="W12" s="175"/>
      <c r="X12" s="175"/>
      <c r="Y12" s="15"/>
      <c r="Z12" s="16" t="str">
        <f t="shared" ref="Z12:AD12" si="2">CONCATENATE(IF($W1=Z11,"Last Rebasing Year ",""),Z11," Actuals")</f>
        <v>2020 Actuals</v>
      </c>
      <c r="AA12" s="16" t="str">
        <f t="shared" si="2"/>
        <v>2021 Actuals</v>
      </c>
      <c r="AB12" s="16" t="str">
        <f t="shared" si="2"/>
        <v>2022 Actuals</v>
      </c>
      <c r="AC12" s="16" t="str">
        <f t="shared" si="2"/>
        <v>2023 Actuals</v>
      </c>
      <c r="AD12" s="16" t="str">
        <f t="shared" si="2"/>
        <v>2024 Actuals</v>
      </c>
      <c r="AE12" s="16" t="str">
        <f>CONCATENATE(AE11," Bridge Year")</f>
        <v>2025 Bridge Year</v>
      </c>
      <c r="AF12" s="16" t="str">
        <f>CONCATENATE("Variance ",AE11," Bridge vs. ",AE11-1," Actuals")</f>
        <v>Variance 2025 Bridge vs. 2024 Actuals</v>
      </c>
      <c r="AG12" s="16" t="str">
        <f>CONCATENATE(AG11," Bridge Year")</f>
        <v>2026 Bridge Year</v>
      </c>
      <c r="AH12" s="17" t="str">
        <f>CONCATENATE("Variance ",AG11," Bridge vs. ",AG11-1," Bridge")</f>
        <v>Variance 2026 Bridge vs. 2025 Bridge</v>
      </c>
      <c r="AI12" s="16" t="s">
        <v>21</v>
      </c>
      <c r="AJ12" s="17" t="str">
        <f>CONCATENATE("Variance ",AI11," Bridge vs. ",AI11-1," Bridge")</f>
        <v>Variance 2027 Bridge vs. 2026 Bridge</v>
      </c>
      <c r="AK12" s="16">
        <f>AK11</f>
        <v>2028</v>
      </c>
      <c r="AL12" s="16">
        <f>AL11</f>
        <v>2029</v>
      </c>
      <c r="AM12" s="16">
        <f>AM11</f>
        <v>2030</v>
      </c>
      <c r="AN12" s="17">
        <f>AN11</f>
        <v>2031</v>
      </c>
    </row>
    <row r="13" spans="1:40" ht="15.75" thickBot="1" x14ac:dyDescent="0.3">
      <c r="A13" s="18" t="s">
        <v>26</v>
      </c>
      <c r="B13" s="140"/>
      <c r="C13" s="140"/>
      <c r="D13" s="140"/>
      <c r="E13" s="140"/>
      <c r="F13" s="140"/>
      <c r="G13" s="140"/>
      <c r="H13" s="140"/>
      <c r="I13" s="141"/>
      <c r="J13" s="141"/>
      <c r="K13" s="141" t="s">
        <v>27</v>
      </c>
      <c r="L13" s="141" t="s">
        <v>27</v>
      </c>
      <c r="M13" s="141" t="s">
        <v>27</v>
      </c>
      <c r="N13" s="141" t="s">
        <v>27</v>
      </c>
      <c r="O13" s="141" t="s">
        <v>27</v>
      </c>
      <c r="P13" s="141" t="s">
        <v>27</v>
      </c>
      <c r="Q13" s="142" t="s">
        <v>27</v>
      </c>
      <c r="R13" s="142" t="s">
        <v>27</v>
      </c>
      <c r="S13" s="142" t="s">
        <v>27</v>
      </c>
      <c r="T13" s="142" t="s">
        <v>27</v>
      </c>
      <c r="U13" s="142" t="s">
        <v>27</v>
      </c>
      <c r="V13" s="142" t="s">
        <v>27</v>
      </c>
      <c r="W13" s="14"/>
      <c r="X13" s="14"/>
      <c r="Y13" s="19" t="s">
        <v>28</v>
      </c>
      <c r="Z13" s="20">
        <f t="shared" ref="Z13:AE14" si="3">K14</f>
        <v>9748687.0300000031</v>
      </c>
      <c r="AA13" s="20">
        <f t="shared" si="3"/>
        <v>10180786.590000002</v>
      </c>
      <c r="AB13" s="20">
        <f t="shared" si="3"/>
        <v>11638182.449999999</v>
      </c>
      <c r="AC13" s="20">
        <f t="shared" si="3"/>
        <v>11348932.559999999</v>
      </c>
      <c r="AD13" s="20">
        <f t="shared" si="3"/>
        <v>12992985.529999999</v>
      </c>
      <c r="AE13" s="20">
        <f t="shared" si="3"/>
        <v>13503040.713243639</v>
      </c>
      <c r="AF13" s="20">
        <f>AE13-AD13</f>
        <v>510055.18324363977</v>
      </c>
      <c r="AG13" s="20">
        <f>Q14</f>
        <v>14739579.552592028</v>
      </c>
      <c r="AH13" s="21">
        <f>AG13-AE13</f>
        <v>1236538.8393483888</v>
      </c>
      <c r="AI13" s="20">
        <f>R14</f>
        <v>17998787.636417918</v>
      </c>
      <c r="AJ13" s="21">
        <f t="shared" ref="AJ13:AJ18" si="4">AI13-AG13</f>
        <v>3259208.08382589</v>
      </c>
      <c r="AK13" s="20">
        <f t="shared" ref="AK13:AN14" si="5">S14</f>
        <v>19108986.726745728</v>
      </c>
      <c r="AL13" s="20">
        <f t="shared" si="5"/>
        <v>19677588.817364149</v>
      </c>
      <c r="AM13" s="20">
        <f t="shared" si="5"/>
        <v>20230533.711721502</v>
      </c>
      <c r="AN13" s="21">
        <f t="shared" si="5"/>
        <v>20675422.517583605</v>
      </c>
    </row>
    <row r="14" spans="1:40" ht="24.75" customHeight="1" x14ac:dyDescent="0.25">
      <c r="A14" s="22" t="s">
        <v>28</v>
      </c>
      <c r="B14" s="24" t="e">
        <v>#N/A</v>
      </c>
      <c r="C14" s="24" t="e">
        <v>#N/A</v>
      </c>
      <c r="D14" s="24" t="e">
        <v>#N/A</v>
      </c>
      <c r="E14" s="24" t="e">
        <v>#N/A</v>
      </c>
      <c r="F14" s="24" t="e">
        <v>#N/A</v>
      </c>
      <c r="G14" s="24" t="e">
        <v>#N/A</v>
      </c>
      <c r="H14" s="24" t="e">
        <v>#N/A</v>
      </c>
      <c r="I14" s="24" t="e">
        <v>#N/A</v>
      </c>
      <c r="J14" s="24" t="e">
        <v>#N/A</v>
      </c>
      <c r="K14" s="24">
        <v>9748687.0300000031</v>
      </c>
      <c r="L14" s="24">
        <v>10180786.590000002</v>
      </c>
      <c r="M14" s="24">
        <v>11638182.449999999</v>
      </c>
      <c r="N14" s="24">
        <v>11348932.559999999</v>
      </c>
      <c r="O14" s="24">
        <v>12992985.529999999</v>
      </c>
      <c r="P14" s="23">
        <v>13503040.713243639</v>
      </c>
      <c r="Q14" s="23">
        <v>14739579.552592028</v>
      </c>
      <c r="R14" s="23">
        <v>17998787.636417918</v>
      </c>
      <c r="S14" s="23">
        <v>19108986.726745728</v>
      </c>
      <c r="T14" s="23">
        <v>19677588.817364149</v>
      </c>
      <c r="U14" s="23">
        <v>20230533.711721502</v>
      </c>
      <c r="V14" s="23">
        <v>20675422.517583605</v>
      </c>
      <c r="W14" s="25"/>
      <c r="X14" s="25"/>
      <c r="Y14" s="26" t="s">
        <v>29</v>
      </c>
      <c r="Z14" s="27">
        <f t="shared" si="3"/>
        <v>4229032.21</v>
      </c>
      <c r="AA14" s="27">
        <f t="shared" si="3"/>
        <v>4744305.6500000004</v>
      </c>
      <c r="AB14" s="27">
        <f t="shared" si="3"/>
        <v>4068368.5100000007</v>
      </c>
      <c r="AC14" s="27">
        <f t="shared" si="3"/>
        <v>4203636.55</v>
      </c>
      <c r="AD14" s="27">
        <f t="shared" si="3"/>
        <v>7443163.7000000002</v>
      </c>
      <c r="AE14" s="27">
        <f t="shared" si="3"/>
        <v>6586570.885679611</v>
      </c>
      <c r="AF14" s="20">
        <f t="shared" ref="AF14:AF18" si="6">AE14-AD14</f>
        <v>-856592.81432038918</v>
      </c>
      <c r="AG14" s="27">
        <f>Q15</f>
        <v>6525246.8013525307</v>
      </c>
      <c r="AH14" s="21">
        <f t="shared" ref="AH14:AH18" si="7">AG14-AE14</f>
        <v>-61324.084327080287</v>
      </c>
      <c r="AI14" s="27">
        <f>R15</f>
        <v>7161584.0695743887</v>
      </c>
      <c r="AJ14" s="21">
        <f t="shared" si="4"/>
        <v>636337.26822185796</v>
      </c>
      <c r="AK14" s="20">
        <f t="shared" si="5"/>
        <v>8553011.8901650701</v>
      </c>
      <c r="AL14" s="20">
        <f t="shared" si="5"/>
        <v>8639723.8763395306</v>
      </c>
      <c r="AM14" s="20">
        <f t="shared" si="5"/>
        <v>8869918.2008947302</v>
      </c>
      <c r="AN14" s="21">
        <f t="shared" si="5"/>
        <v>9209183.6424233187</v>
      </c>
    </row>
    <row r="15" spans="1:40" ht="24.75" customHeight="1" x14ac:dyDescent="0.25">
      <c r="A15" s="28" t="s">
        <v>30</v>
      </c>
      <c r="B15" s="24" t="e">
        <v>#N/A</v>
      </c>
      <c r="C15" s="24" t="e">
        <v>#N/A</v>
      </c>
      <c r="D15" s="24" t="e">
        <v>#N/A</v>
      </c>
      <c r="E15" s="24" t="e">
        <v>#N/A</v>
      </c>
      <c r="F15" s="24" t="e">
        <v>#N/A</v>
      </c>
      <c r="G15" s="24" t="e">
        <v>#N/A</v>
      </c>
      <c r="H15" s="24" t="e">
        <v>#N/A</v>
      </c>
      <c r="I15" s="24" t="e">
        <v>#N/A</v>
      </c>
      <c r="J15" s="24" t="e">
        <v>#N/A</v>
      </c>
      <c r="K15" s="24">
        <v>4229032.21</v>
      </c>
      <c r="L15" s="24">
        <v>4744305.6500000004</v>
      </c>
      <c r="M15" s="24">
        <v>4068368.5100000007</v>
      </c>
      <c r="N15" s="24">
        <v>4203636.55</v>
      </c>
      <c r="O15" s="24">
        <v>7443163.7000000002</v>
      </c>
      <c r="P15" s="23">
        <v>6586570.885679611</v>
      </c>
      <c r="Q15" s="23">
        <v>6525246.8013525307</v>
      </c>
      <c r="R15" s="23">
        <v>7161584.0695743887</v>
      </c>
      <c r="S15" s="23">
        <v>8553011.8901650701</v>
      </c>
      <c r="T15" s="23">
        <v>8639723.8763395306</v>
      </c>
      <c r="U15" s="23">
        <v>8869918.2008947302</v>
      </c>
      <c r="V15" s="23">
        <v>9209183.6424233187</v>
      </c>
      <c r="W15" s="25"/>
      <c r="X15" s="25"/>
      <c r="Y15" s="26" t="s">
        <v>31</v>
      </c>
      <c r="Z15" s="27">
        <f t="shared" ref="Z15:AE17" si="8">K19</f>
        <v>11355586.779999999</v>
      </c>
      <c r="AA15" s="27">
        <f t="shared" si="8"/>
        <v>10770334.309999999</v>
      </c>
      <c r="AB15" s="27">
        <f t="shared" si="8"/>
        <v>10017118.899999999</v>
      </c>
      <c r="AC15" s="27">
        <f t="shared" si="8"/>
        <v>10583609.41</v>
      </c>
      <c r="AD15" s="27">
        <f t="shared" si="8"/>
        <v>11581087.32</v>
      </c>
      <c r="AE15" s="27">
        <f t="shared" si="8"/>
        <v>12765608.156380771</v>
      </c>
      <c r="AF15" s="20">
        <f t="shared" si="6"/>
        <v>1184520.8363807704</v>
      </c>
      <c r="AG15" s="27">
        <f>Q19</f>
        <v>13066207.046844071</v>
      </c>
      <c r="AH15" s="21">
        <f t="shared" si="7"/>
        <v>300598.89046330005</v>
      </c>
      <c r="AI15" s="27">
        <f>R19</f>
        <v>13851521.50658321</v>
      </c>
      <c r="AJ15" s="21">
        <f t="shared" si="4"/>
        <v>785314.4597391393</v>
      </c>
      <c r="AK15" s="20">
        <f t="shared" ref="AK15:AN17" si="9">S19</f>
        <v>15537808.686378179</v>
      </c>
      <c r="AL15" s="20">
        <f t="shared" si="9"/>
        <v>15127459.196973702</v>
      </c>
      <c r="AM15" s="20">
        <f t="shared" si="9"/>
        <v>15187400.08723622</v>
      </c>
      <c r="AN15" s="21">
        <f t="shared" si="9"/>
        <v>15356493.36948235</v>
      </c>
    </row>
    <row r="16" spans="1:40" ht="24.75" customHeight="1" x14ac:dyDescent="0.25">
      <c r="A16" s="29" t="s">
        <v>32</v>
      </c>
      <c r="B16" s="30" t="e">
        <f t="shared" ref="B16:H16" si="10">SUM(B14:B15)</f>
        <v>#N/A</v>
      </c>
      <c r="C16" s="30" t="e">
        <f t="shared" si="10"/>
        <v>#N/A</v>
      </c>
      <c r="D16" s="30" t="e">
        <f t="shared" si="10"/>
        <v>#N/A</v>
      </c>
      <c r="E16" s="30" t="e">
        <f t="shared" si="10"/>
        <v>#N/A</v>
      </c>
      <c r="F16" s="30" t="e">
        <f t="shared" si="10"/>
        <v>#N/A</v>
      </c>
      <c r="G16" s="30" t="e">
        <f t="shared" si="10"/>
        <v>#N/A</v>
      </c>
      <c r="H16" s="30" t="e">
        <f t="shared" si="10"/>
        <v>#N/A</v>
      </c>
      <c r="I16" s="30" t="e">
        <f t="shared" ref="I16:Q16" si="11">SUM(I14:I15)</f>
        <v>#N/A</v>
      </c>
      <c r="J16" s="30" t="e">
        <f t="shared" si="11"/>
        <v>#N/A</v>
      </c>
      <c r="K16" s="30">
        <f t="shared" si="11"/>
        <v>13977719.240000002</v>
      </c>
      <c r="L16" s="30">
        <f>SUM(L14:L15)</f>
        <v>14925092.240000002</v>
      </c>
      <c r="M16" s="30">
        <f t="shared" si="11"/>
        <v>15706550.960000001</v>
      </c>
      <c r="N16" s="30">
        <f t="shared" si="11"/>
        <v>15552569.109999999</v>
      </c>
      <c r="O16" s="30">
        <f t="shared" si="11"/>
        <v>20436149.23</v>
      </c>
      <c r="P16" s="30">
        <f t="shared" si="11"/>
        <v>20089611.598923251</v>
      </c>
      <c r="Q16" s="30">
        <f t="shared" si="11"/>
        <v>21264826.353944559</v>
      </c>
      <c r="R16" s="30">
        <f>SUM(R14:R15)</f>
        <v>25160371.705992308</v>
      </c>
      <c r="S16" s="30">
        <f>SUM(S14:S15)</f>
        <v>27661998.6169108</v>
      </c>
      <c r="T16" s="30">
        <f>SUM(T14:T15)</f>
        <v>28317312.693703681</v>
      </c>
      <c r="U16" s="30">
        <f>SUM(U14:U15)</f>
        <v>29100451.912616231</v>
      </c>
      <c r="V16" s="31">
        <f>SUM(V14:V15)</f>
        <v>29884606.160006925</v>
      </c>
      <c r="W16" s="32"/>
      <c r="X16" s="32"/>
      <c r="Y16" s="26" t="s">
        <v>33</v>
      </c>
      <c r="Z16" s="27">
        <f t="shared" si="8"/>
        <v>10083.5</v>
      </c>
      <c r="AA16" s="27">
        <f t="shared" si="8"/>
        <v>209037.49</v>
      </c>
      <c r="AB16" s="27">
        <f t="shared" si="8"/>
        <v>572372.72</v>
      </c>
      <c r="AC16" s="27">
        <f t="shared" si="8"/>
        <v>524888.58000000007</v>
      </c>
      <c r="AD16" s="27">
        <f t="shared" si="8"/>
        <v>576712.71000000008</v>
      </c>
      <c r="AE16" s="27">
        <f t="shared" si="8"/>
        <v>876793.06192951999</v>
      </c>
      <c r="AF16" s="20">
        <f t="shared" si="6"/>
        <v>300080.35192951991</v>
      </c>
      <c r="AG16" s="27">
        <f>Q20</f>
        <v>906644.52532789984</v>
      </c>
      <c r="AH16" s="21">
        <f t="shared" si="7"/>
        <v>29851.463398379856</v>
      </c>
      <c r="AI16" s="27">
        <f>R20</f>
        <v>973788.47976212983</v>
      </c>
      <c r="AJ16" s="21">
        <f t="shared" si="4"/>
        <v>67143.954434229992</v>
      </c>
      <c r="AK16" s="20">
        <f t="shared" si="9"/>
        <v>1174353.8087519598</v>
      </c>
      <c r="AL16" s="20">
        <f t="shared" si="9"/>
        <v>1196678.9446747999</v>
      </c>
      <c r="AM16" s="20">
        <f t="shared" si="9"/>
        <v>1220492.5235682901</v>
      </c>
      <c r="AN16" s="21">
        <f t="shared" si="9"/>
        <v>1241552.5190652502</v>
      </c>
    </row>
    <row r="17" spans="1:48" ht="24.75" customHeight="1" x14ac:dyDescent="0.25">
      <c r="A17" s="28" t="s">
        <v>34</v>
      </c>
      <c r="B17" s="33" t="str">
        <f>IFERROR((B16-#REF!)/#REF!,"")</f>
        <v/>
      </c>
      <c r="C17" s="33" t="str">
        <f t="shared" ref="C17:V17" si="12">IFERROR((C16-B16)/B16,"")</f>
        <v/>
      </c>
      <c r="D17" s="33" t="str">
        <f t="shared" si="12"/>
        <v/>
      </c>
      <c r="E17" s="33" t="str">
        <f t="shared" si="12"/>
        <v/>
      </c>
      <c r="F17" s="33" t="str">
        <f t="shared" si="12"/>
        <v/>
      </c>
      <c r="G17" s="33" t="str">
        <f t="shared" si="12"/>
        <v/>
      </c>
      <c r="H17" s="33" t="str">
        <f t="shared" si="12"/>
        <v/>
      </c>
      <c r="I17" s="33" t="str">
        <f t="shared" si="12"/>
        <v/>
      </c>
      <c r="J17" s="33" t="str">
        <f t="shared" si="12"/>
        <v/>
      </c>
      <c r="K17" s="33" t="str">
        <f t="shared" si="12"/>
        <v/>
      </c>
      <c r="L17" s="33">
        <f t="shared" si="12"/>
        <v>6.7777366516913948E-2</v>
      </c>
      <c r="M17" s="33">
        <f t="shared" si="12"/>
        <v>5.2358719626914595E-2</v>
      </c>
      <c r="N17" s="33">
        <f t="shared" si="12"/>
        <v>-9.8036704806897645E-3</v>
      </c>
      <c r="O17" s="33">
        <f t="shared" si="12"/>
        <v>0.31400472072874147</v>
      </c>
      <c r="P17" s="33">
        <f t="shared" si="12"/>
        <v>-1.695709045655415E-2</v>
      </c>
      <c r="Q17" s="33">
        <f t="shared" si="12"/>
        <v>5.8498629962776182E-2</v>
      </c>
      <c r="R17" s="33">
        <f t="shared" si="12"/>
        <v>0.18319196626428777</v>
      </c>
      <c r="S17" s="33">
        <f t="shared" si="12"/>
        <v>9.9427263641049229E-2</v>
      </c>
      <c r="T17" s="33">
        <f t="shared" si="12"/>
        <v>2.3690048064432454E-2</v>
      </c>
      <c r="U17" s="33">
        <f t="shared" si="12"/>
        <v>2.7655845290950908E-2</v>
      </c>
      <c r="V17" s="34">
        <f t="shared" si="12"/>
        <v>2.6946462884678852E-2</v>
      </c>
      <c r="W17" s="35"/>
      <c r="X17" s="36"/>
      <c r="Y17" s="26" t="s">
        <v>35</v>
      </c>
      <c r="Z17" s="27">
        <f t="shared" si="8"/>
        <v>16960746.09</v>
      </c>
      <c r="AA17" s="27">
        <f t="shared" si="8"/>
        <v>17011245.700000003</v>
      </c>
      <c r="AB17" s="27">
        <f t="shared" si="8"/>
        <v>18622422.630000003</v>
      </c>
      <c r="AC17" s="27">
        <f t="shared" si="8"/>
        <v>20001126.609999999</v>
      </c>
      <c r="AD17" s="27">
        <f t="shared" si="8"/>
        <v>21006426.220000003</v>
      </c>
      <c r="AE17" s="27">
        <f t="shared" si="8"/>
        <v>24436895.469447978</v>
      </c>
      <c r="AF17" s="20">
        <f t="shared" si="6"/>
        <v>3430469.2494479753</v>
      </c>
      <c r="AG17" s="27">
        <f>Q21</f>
        <v>26573366.500489473</v>
      </c>
      <c r="AH17" s="21">
        <f t="shared" si="7"/>
        <v>2136471.0310414955</v>
      </c>
      <c r="AI17" s="27">
        <f>R21</f>
        <v>37269463.749731891</v>
      </c>
      <c r="AJ17" s="21">
        <f t="shared" si="4"/>
        <v>10696097.249242418</v>
      </c>
      <c r="AK17" s="20">
        <f t="shared" si="9"/>
        <v>39678919.553948916</v>
      </c>
      <c r="AL17" s="20">
        <f t="shared" si="9"/>
        <v>41362557.017092951</v>
      </c>
      <c r="AM17" s="20">
        <f t="shared" si="9"/>
        <v>42937597.207419477</v>
      </c>
      <c r="AN17" s="21">
        <f t="shared" si="9"/>
        <v>44356409.037898757</v>
      </c>
    </row>
    <row r="18" spans="1:48" ht="24.75" customHeight="1" x14ac:dyDescent="0.25">
      <c r="A18" s="37" t="s">
        <v>36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 t="s">
        <v>133</v>
      </c>
      <c r="R18" s="38" t="str">
        <f t="shared" ref="R18:V18" si="13">IFERROR((R16-INDEX(B16:R16,1,MATCH(RebaseYear,B11:R11,0)))/INDEX(B16:R16,1,MATCH(RebaseYear,B11:R11,0)),"")</f>
        <v/>
      </c>
      <c r="S18" s="38" t="str">
        <f t="shared" si="13"/>
        <v/>
      </c>
      <c r="T18" s="38" t="str">
        <f t="shared" si="13"/>
        <v/>
      </c>
      <c r="U18" s="38" t="str">
        <f t="shared" si="13"/>
        <v/>
      </c>
      <c r="V18" s="39" t="str">
        <f t="shared" si="13"/>
        <v/>
      </c>
      <c r="W18" s="36"/>
      <c r="X18" s="36"/>
      <c r="Y18" s="26" t="s">
        <v>37</v>
      </c>
      <c r="Z18" s="27">
        <f t="shared" ref="Z18:AE18" si="14">K25</f>
        <v>42304135.609999999</v>
      </c>
      <c r="AA18" s="27">
        <f t="shared" si="14"/>
        <v>42915709.740000002</v>
      </c>
      <c r="AB18" s="27">
        <f t="shared" si="14"/>
        <v>44918465.210000001</v>
      </c>
      <c r="AC18" s="27">
        <f t="shared" si="14"/>
        <v>46662193.710000001</v>
      </c>
      <c r="AD18" s="27">
        <f t="shared" si="14"/>
        <v>53600375.480000004</v>
      </c>
      <c r="AE18" s="27">
        <f t="shared" si="14"/>
        <v>58168908.286681518</v>
      </c>
      <c r="AF18" s="20">
        <f t="shared" si="6"/>
        <v>4568532.8066815138</v>
      </c>
      <c r="AG18" s="27">
        <f>Q25</f>
        <v>61811044.426605999</v>
      </c>
      <c r="AH18" s="21">
        <f t="shared" si="7"/>
        <v>3642136.1399244815</v>
      </c>
      <c r="AI18" s="27">
        <f>R25</f>
        <v>77255145.442069545</v>
      </c>
      <c r="AJ18" s="21">
        <f t="shared" si="4"/>
        <v>15444101.015463546</v>
      </c>
      <c r="AK18" s="20">
        <f>S25</f>
        <v>84053080.665989846</v>
      </c>
      <c r="AL18" s="20">
        <f>T25</f>
        <v>86004007.852445126</v>
      </c>
      <c r="AM18" s="20">
        <f>U25</f>
        <v>88445941.730840206</v>
      </c>
      <c r="AN18" s="21">
        <f>V25</f>
        <v>90839061.086453289</v>
      </c>
    </row>
    <row r="19" spans="1:48" ht="24.75" customHeight="1" x14ac:dyDescent="0.25">
      <c r="A19" s="28" t="s">
        <v>38</v>
      </c>
      <c r="B19" s="24" t="e">
        <v>#N/A</v>
      </c>
      <c r="C19" s="24" t="e">
        <v>#N/A</v>
      </c>
      <c r="D19" s="24" t="e">
        <v>#N/A</v>
      </c>
      <c r="E19" s="24" t="e">
        <v>#N/A</v>
      </c>
      <c r="F19" s="24" t="e">
        <v>#N/A</v>
      </c>
      <c r="G19" s="24" t="e">
        <v>#N/A</v>
      </c>
      <c r="H19" s="24" t="e">
        <v>#N/A</v>
      </c>
      <c r="I19" s="24" t="e">
        <v>#N/A</v>
      </c>
      <c r="J19" s="24" t="e">
        <v>#N/A</v>
      </c>
      <c r="K19" s="24">
        <v>11355586.779999999</v>
      </c>
      <c r="L19" s="24">
        <v>10770334.309999999</v>
      </c>
      <c r="M19" s="24">
        <v>10017118.899999999</v>
      </c>
      <c r="N19" s="24">
        <v>10583609.41</v>
      </c>
      <c r="O19" s="24">
        <v>11581087.32</v>
      </c>
      <c r="P19" s="23">
        <v>12765608.156380771</v>
      </c>
      <c r="Q19" s="23">
        <v>13066207.046844071</v>
      </c>
      <c r="R19" s="23">
        <v>13851521.50658321</v>
      </c>
      <c r="S19" s="23">
        <v>15537808.686378179</v>
      </c>
      <c r="T19" s="23">
        <v>15127459.196973702</v>
      </c>
      <c r="U19" s="23">
        <v>15187400.08723622</v>
      </c>
      <c r="V19" s="135">
        <v>15356493.36948235</v>
      </c>
      <c r="W19" s="40"/>
      <c r="X19" s="25"/>
      <c r="Y19" s="26" t="s">
        <v>39</v>
      </c>
      <c r="Z19" s="23"/>
      <c r="AA19" s="23"/>
      <c r="AB19" s="23"/>
      <c r="AC19" s="23"/>
      <c r="AD19" s="23"/>
      <c r="AE19" s="23"/>
      <c r="AF19" s="41"/>
      <c r="AG19" s="23"/>
      <c r="AH19" s="42"/>
      <c r="AI19" s="23"/>
      <c r="AJ19" s="42"/>
      <c r="AK19" s="23"/>
      <c r="AL19" s="23"/>
      <c r="AM19" s="23"/>
      <c r="AN19" s="136"/>
    </row>
    <row r="20" spans="1:48" ht="24.75" customHeight="1" x14ac:dyDescent="0.25">
      <c r="A20" s="28" t="s">
        <v>40</v>
      </c>
      <c r="B20" s="24" t="e">
        <v>#N/A</v>
      </c>
      <c r="C20" s="24" t="e">
        <v>#N/A</v>
      </c>
      <c r="D20" s="24" t="e">
        <v>#N/A</v>
      </c>
      <c r="E20" s="24" t="e">
        <v>#N/A</v>
      </c>
      <c r="F20" s="24" t="e">
        <v>#N/A</v>
      </c>
      <c r="G20" s="24" t="e">
        <v>#N/A</v>
      </c>
      <c r="H20" s="24" t="e">
        <v>#N/A</v>
      </c>
      <c r="I20" s="24" t="e">
        <v>#N/A</v>
      </c>
      <c r="J20" s="24" t="e">
        <v>#N/A</v>
      </c>
      <c r="K20" s="24">
        <v>10083.5</v>
      </c>
      <c r="L20" s="24">
        <v>209037.49</v>
      </c>
      <c r="M20" s="24">
        <v>572372.72</v>
      </c>
      <c r="N20" s="24">
        <v>524888.58000000007</v>
      </c>
      <c r="O20" s="24">
        <v>576712.71000000008</v>
      </c>
      <c r="P20" s="23">
        <v>876793.06192951999</v>
      </c>
      <c r="Q20" s="23">
        <v>906644.52532789984</v>
      </c>
      <c r="R20" s="23">
        <v>973788.47976212983</v>
      </c>
      <c r="S20" s="23">
        <v>1174353.8087519598</v>
      </c>
      <c r="T20" s="23">
        <v>1196678.9446747999</v>
      </c>
      <c r="U20" s="23">
        <v>1220492.5235682901</v>
      </c>
      <c r="V20" s="136">
        <v>1241552.5190652502</v>
      </c>
      <c r="W20" s="40"/>
      <c r="X20" s="25"/>
      <c r="Y20" s="26" t="s">
        <v>41</v>
      </c>
      <c r="Z20" s="20">
        <f t="shared" ref="Z20:AG20" si="15">Z18-Z19</f>
        <v>42304135.609999999</v>
      </c>
      <c r="AA20" s="20">
        <f t="shared" si="15"/>
        <v>42915709.740000002</v>
      </c>
      <c r="AB20" s="20">
        <f t="shared" si="15"/>
        <v>44918465.210000001</v>
      </c>
      <c r="AC20" s="20">
        <f t="shared" si="15"/>
        <v>46662193.710000001</v>
      </c>
      <c r="AD20" s="20">
        <f t="shared" si="15"/>
        <v>53600375.480000004</v>
      </c>
      <c r="AE20" s="20">
        <f t="shared" si="15"/>
        <v>58168908.286681518</v>
      </c>
      <c r="AF20" s="20">
        <f t="shared" si="15"/>
        <v>4568532.8066815138</v>
      </c>
      <c r="AG20" s="20">
        <f t="shared" si="15"/>
        <v>61811044.426605999</v>
      </c>
      <c r="AH20" s="21">
        <v>3642136.1399244815</v>
      </c>
      <c r="AI20" s="20">
        <v>77255145.442069545</v>
      </c>
      <c r="AJ20" s="21">
        <v>15444101.015463546</v>
      </c>
      <c r="AK20" s="20">
        <f>AK18</f>
        <v>84053080.665989846</v>
      </c>
      <c r="AL20" s="20">
        <f t="shared" ref="AL20:AN20" si="16">AL18</f>
        <v>86004007.852445126</v>
      </c>
      <c r="AM20" s="20">
        <f t="shared" si="16"/>
        <v>88445941.730840206</v>
      </c>
      <c r="AN20" s="21">
        <f t="shared" si="16"/>
        <v>90839061.086453289</v>
      </c>
    </row>
    <row r="21" spans="1:48" s="47" customFormat="1" ht="24.75" customHeight="1" x14ac:dyDescent="0.25">
      <c r="A21" s="43" t="s">
        <v>42</v>
      </c>
      <c r="B21" s="24" t="e">
        <v>#N/A</v>
      </c>
      <c r="C21" s="24" t="e">
        <v>#N/A</v>
      </c>
      <c r="D21" s="24" t="e">
        <v>#N/A</v>
      </c>
      <c r="E21" s="24" t="e">
        <v>#N/A</v>
      </c>
      <c r="F21" s="24" t="e">
        <v>#N/A</v>
      </c>
      <c r="G21" s="24" t="e">
        <v>#N/A</v>
      </c>
      <c r="H21" s="24" t="e">
        <v>#N/A</v>
      </c>
      <c r="I21" s="24" t="e">
        <v>#N/A</v>
      </c>
      <c r="J21" s="24" t="e">
        <v>#N/A</v>
      </c>
      <c r="K21" s="24">
        <v>16960746.09</v>
      </c>
      <c r="L21" s="24">
        <v>17011245.700000003</v>
      </c>
      <c r="M21" s="24">
        <v>18622422.630000003</v>
      </c>
      <c r="N21" s="24">
        <v>20001126.609999999</v>
      </c>
      <c r="O21" s="24">
        <v>21006426.220000003</v>
      </c>
      <c r="P21" s="23">
        <v>24436895.469447978</v>
      </c>
      <c r="Q21" s="23">
        <v>26573366.500489473</v>
      </c>
      <c r="R21" s="23">
        <v>37269463.749731891</v>
      </c>
      <c r="S21" s="23">
        <v>39678919.553948916</v>
      </c>
      <c r="T21" s="23">
        <v>41362557.017092951</v>
      </c>
      <c r="U21" s="23">
        <v>42937597.207419477</v>
      </c>
      <c r="V21" s="136">
        <v>44356409.037898757</v>
      </c>
      <c r="W21" s="40"/>
      <c r="X21" s="25"/>
      <c r="Y21" s="44" t="s">
        <v>43</v>
      </c>
      <c r="Z21" s="45"/>
      <c r="AA21" s="45">
        <f>AA20-Z20</f>
        <v>611574.13000000268</v>
      </c>
      <c r="AB21" s="45">
        <f>AB20-AA20</f>
        <v>2002755.4699999988</v>
      </c>
      <c r="AC21" s="45">
        <f>AC20-AB20</f>
        <v>1743728.5</v>
      </c>
      <c r="AD21" s="45">
        <f>AD20-AC20</f>
        <v>6938181.7700000033</v>
      </c>
      <c r="AE21" s="45">
        <f>AE20-AD20</f>
        <v>4568532.8066815138</v>
      </c>
      <c r="AF21" s="45"/>
      <c r="AG21" s="45">
        <v>3642136.1399244815</v>
      </c>
      <c r="AH21" s="46"/>
      <c r="AI21" s="45">
        <v>15444101.015463546</v>
      </c>
      <c r="AJ21" s="46"/>
      <c r="AK21" s="45">
        <f>AK20-AI20</f>
        <v>6797935.2239203006</v>
      </c>
      <c r="AL21" s="45">
        <f>AL20-AK20</f>
        <v>1950927.1864552796</v>
      </c>
      <c r="AM21" s="45">
        <f t="shared" ref="AM21:AN21" si="17">AM20-AL20</f>
        <v>2441933.8783950806</v>
      </c>
      <c r="AN21" s="159">
        <f t="shared" si="17"/>
        <v>2393119.3556130826</v>
      </c>
    </row>
    <row r="22" spans="1:48" s="47" customFormat="1" ht="24.75" customHeight="1" x14ac:dyDescent="0.25">
      <c r="A22" s="48" t="s">
        <v>32</v>
      </c>
      <c r="B22" s="49" t="e">
        <f t="shared" ref="B22:H22" si="18">SUM(B19:B21)</f>
        <v>#N/A</v>
      </c>
      <c r="C22" s="49" t="e">
        <f t="shared" si="18"/>
        <v>#N/A</v>
      </c>
      <c r="D22" s="49" t="e">
        <f t="shared" si="18"/>
        <v>#N/A</v>
      </c>
      <c r="E22" s="49" t="e">
        <f t="shared" si="18"/>
        <v>#N/A</v>
      </c>
      <c r="F22" s="49" t="e">
        <f t="shared" si="18"/>
        <v>#N/A</v>
      </c>
      <c r="G22" s="49" t="e">
        <f t="shared" si="18"/>
        <v>#N/A</v>
      </c>
      <c r="H22" s="49" t="e">
        <f t="shared" si="18"/>
        <v>#N/A</v>
      </c>
      <c r="I22" s="49" t="e">
        <f t="shared" ref="I22:V22" si="19">SUM(I19:I21)</f>
        <v>#N/A</v>
      </c>
      <c r="J22" s="49" t="e">
        <f t="shared" si="19"/>
        <v>#N/A</v>
      </c>
      <c r="K22" s="49">
        <f t="shared" si="19"/>
        <v>28326416.369999997</v>
      </c>
      <c r="L22" s="49">
        <f t="shared" si="19"/>
        <v>27990617.5</v>
      </c>
      <c r="M22" s="49">
        <f t="shared" si="19"/>
        <v>29211914.25</v>
      </c>
      <c r="N22" s="49">
        <f t="shared" si="19"/>
        <v>31109624.600000001</v>
      </c>
      <c r="O22" s="49">
        <f t="shared" si="19"/>
        <v>33164226.250000004</v>
      </c>
      <c r="P22" s="49">
        <f t="shared" si="19"/>
        <v>38079296.687758267</v>
      </c>
      <c r="Q22" s="49">
        <f t="shared" si="19"/>
        <v>40546218.072661445</v>
      </c>
      <c r="R22" s="49">
        <f t="shared" si="19"/>
        <v>52094773.736077234</v>
      </c>
      <c r="S22" s="49">
        <f t="shared" si="19"/>
        <v>56391082.049079053</v>
      </c>
      <c r="T22" s="49">
        <f t="shared" si="19"/>
        <v>57686695.158741452</v>
      </c>
      <c r="U22" s="49">
        <f t="shared" si="19"/>
        <v>59345489.818223983</v>
      </c>
      <c r="V22" s="50">
        <f t="shared" si="19"/>
        <v>60954454.926446356</v>
      </c>
      <c r="W22" s="40"/>
      <c r="X22" s="25"/>
      <c r="Y22" s="44" t="s">
        <v>44</v>
      </c>
      <c r="Z22" s="51" t="s">
        <v>133</v>
      </c>
      <c r="AA22" s="51">
        <f t="shared" ref="AA22:AD22" si="20">AA21/Z20</f>
        <v>1.4456603856371826E-2</v>
      </c>
      <c r="AB22" s="51">
        <f t="shared" si="20"/>
        <v>4.666718742701606E-2</v>
      </c>
      <c r="AC22" s="51">
        <f t="shared" si="20"/>
        <v>3.8819859312820004E-2</v>
      </c>
      <c r="AD22" s="51">
        <f t="shared" si="20"/>
        <v>0.14868957540059047</v>
      </c>
      <c r="AE22" s="51">
        <f>AE21/AD20</f>
        <v>8.5233223942361713E-2</v>
      </c>
      <c r="AF22" s="51"/>
      <c r="AG22" s="51">
        <f>AG21/AE20</f>
        <v>6.2613108053781258E-2</v>
      </c>
      <c r="AH22" s="46"/>
      <c r="AI22" s="51">
        <f>AI21/AG20</f>
        <v>0.24985989411328849</v>
      </c>
      <c r="AJ22" s="46"/>
      <c r="AK22" s="51">
        <f>AK21/AI20</f>
        <v>8.7993300446476963E-2</v>
      </c>
      <c r="AL22" s="51">
        <f t="shared" ref="AL22:AN22" si="21">AL21/AJ20</f>
        <v>0.12632183540511008</v>
      </c>
      <c r="AM22" s="51">
        <f t="shared" si="21"/>
        <v>2.9052282903214911E-2</v>
      </c>
      <c r="AN22" s="160">
        <f t="shared" si="21"/>
        <v>2.7825672493297014E-2</v>
      </c>
    </row>
    <row r="23" spans="1:48" ht="24.75" customHeight="1" x14ac:dyDescent="0.25">
      <c r="A23" s="28" t="s">
        <v>34</v>
      </c>
      <c r="B23" s="34" t="str">
        <f>IFERROR((B22-#REF!)/#REF!,"")</f>
        <v/>
      </c>
      <c r="C23" s="34" t="str">
        <f t="shared" ref="C23:V23" si="22">IFERROR((C22-B22)/B22,"")</f>
        <v/>
      </c>
      <c r="D23" s="34" t="str">
        <f t="shared" si="22"/>
        <v/>
      </c>
      <c r="E23" s="34" t="str">
        <f t="shared" si="22"/>
        <v/>
      </c>
      <c r="F23" s="34" t="str">
        <f t="shared" si="22"/>
        <v/>
      </c>
      <c r="G23" s="34" t="str">
        <f t="shared" si="22"/>
        <v/>
      </c>
      <c r="H23" s="34" t="str">
        <f t="shared" si="22"/>
        <v/>
      </c>
      <c r="I23" s="34" t="str">
        <f t="shared" si="22"/>
        <v/>
      </c>
      <c r="J23" s="34" t="str">
        <f t="shared" si="22"/>
        <v/>
      </c>
      <c r="K23" s="34" t="str">
        <f t="shared" si="22"/>
        <v/>
      </c>
      <c r="L23" s="34">
        <f t="shared" si="22"/>
        <v>-1.1854618869319308E-2</v>
      </c>
      <c r="M23" s="34">
        <f t="shared" si="22"/>
        <v>4.3632361808380968E-2</v>
      </c>
      <c r="N23" s="34">
        <f t="shared" si="22"/>
        <v>6.4963573895195914E-2</v>
      </c>
      <c r="O23" s="34">
        <f t="shared" si="22"/>
        <v>6.604392294724129E-2</v>
      </c>
      <c r="P23" s="34">
        <f t="shared" si="22"/>
        <v>0.14820398343405533</v>
      </c>
      <c r="Q23" s="34">
        <f t="shared" si="22"/>
        <v>6.4783795907035313E-2</v>
      </c>
      <c r="R23" s="34">
        <f t="shared" si="22"/>
        <v>0.28482448456031167</v>
      </c>
      <c r="S23" s="34">
        <f t="shared" si="22"/>
        <v>8.2471004380742577E-2</v>
      </c>
      <c r="T23" s="34">
        <f t="shared" si="22"/>
        <v>2.297549652504953E-2</v>
      </c>
      <c r="U23" s="34">
        <f t="shared" si="22"/>
        <v>2.8755238186515677E-2</v>
      </c>
      <c r="V23" s="34">
        <f t="shared" si="22"/>
        <v>2.7111834667649624E-2</v>
      </c>
      <c r="W23" s="40"/>
      <c r="X23" s="25"/>
      <c r="Y23" s="26" t="s">
        <v>45</v>
      </c>
      <c r="Z23" s="52"/>
      <c r="AA23" s="52"/>
      <c r="AB23" s="52"/>
      <c r="AC23" s="52"/>
      <c r="AD23" s="52"/>
      <c r="AE23" s="52"/>
      <c r="AF23" s="52"/>
      <c r="AG23" s="53"/>
      <c r="AH23" s="54"/>
      <c r="AI23" s="53">
        <f>(AI20-AD20)/AD20</f>
        <v>0.44131724358714397</v>
      </c>
      <c r="AJ23" s="54"/>
      <c r="AK23" s="52"/>
      <c r="AL23" s="52"/>
      <c r="AM23" s="52"/>
      <c r="AN23" s="54"/>
    </row>
    <row r="24" spans="1:48" ht="24.75" customHeight="1" x14ac:dyDescent="0.25">
      <c r="A24" s="28" t="s">
        <v>36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 t="s">
        <v>133</v>
      </c>
      <c r="R24" s="55" t="str">
        <f t="shared" ref="R24:V24" si="23">IFERROR((R22-INDEX(B22:R22,1,MATCH(RebaseYear,B11:R11,0)))/INDEX(B22:R22,1,MATCH(RebaseYear,B11:R11,0)),"")</f>
        <v/>
      </c>
      <c r="S24" s="55" t="str">
        <f t="shared" si="23"/>
        <v/>
      </c>
      <c r="T24" s="55" t="str">
        <f t="shared" si="23"/>
        <v/>
      </c>
      <c r="U24" s="55" t="str">
        <f t="shared" si="23"/>
        <v/>
      </c>
      <c r="V24" s="39" t="str">
        <f t="shared" si="23"/>
        <v/>
      </c>
      <c r="W24" s="36"/>
      <c r="X24" s="36"/>
      <c r="Y24" s="26" t="s">
        <v>46</v>
      </c>
      <c r="Z24" s="52"/>
      <c r="AA24" s="52"/>
      <c r="AB24" s="52"/>
      <c r="AC24" s="52"/>
      <c r="AD24" s="52"/>
      <c r="AE24" s="52"/>
      <c r="AF24" s="52"/>
      <c r="AG24" s="53">
        <f>AVERAGE(Z22:AG22)</f>
        <v>6.6079926332156882E-2</v>
      </c>
      <c r="AH24" s="56"/>
      <c r="AI24" s="53">
        <f>AVERAGE(Z22:AI22)</f>
        <v>9.233420744374711E-2</v>
      </c>
      <c r="AJ24" s="56"/>
      <c r="AK24" s="52"/>
      <c r="AL24" s="52"/>
      <c r="AM24" s="52"/>
      <c r="AN24" s="56"/>
    </row>
    <row r="25" spans="1:48" ht="24.75" customHeight="1" thickBot="1" x14ac:dyDescent="0.3">
      <c r="A25" s="29" t="s">
        <v>47</v>
      </c>
      <c r="B25" s="30" t="e">
        <f t="shared" ref="B25:V25" si="24">SUM(B22,B16)</f>
        <v>#N/A</v>
      </c>
      <c r="C25" s="30" t="e">
        <f t="shared" si="24"/>
        <v>#N/A</v>
      </c>
      <c r="D25" s="30" t="e">
        <f t="shared" si="24"/>
        <v>#N/A</v>
      </c>
      <c r="E25" s="30" t="e">
        <f t="shared" si="24"/>
        <v>#N/A</v>
      </c>
      <c r="F25" s="30" t="e">
        <f t="shared" si="24"/>
        <v>#N/A</v>
      </c>
      <c r="G25" s="30" t="e">
        <f t="shared" si="24"/>
        <v>#N/A</v>
      </c>
      <c r="H25" s="30" t="e">
        <f t="shared" si="24"/>
        <v>#N/A</v>
      </c>
      <c r="I25" s="30" t="e">
        <f t="shared" si="24"/>
        <v>#N/A</v>
      </c>
      <c r="J25" s="30" t="e">
        <f t="shared" si="24"/>
        <v>#N/A</v>
      </c>
      <c r="K25" s="30">
        <f>SUM(K22,K16)</f>
        <v>42304135.609999999</v>
      </c>
      <c r="L25" s="30">
        <f>SUM(L22,L16)</f>
        <v>42915709.740000002</v>
      </c>
      <c r="M25" s="30">
        <f>SUM(M22,M16)</f>
        <v>44918465.210000001</v>
      </c>
      <c r="N25" s="30">
        <f t="shared" si="24"/>
        <v>46662193.710000001</v>
      </c>
      <c r="O25" s="30">
        <f t="shared" si="24"/>
        <v>53600375.480000004</v>
      </c>
      <c r="P25" s="30">
        <f t="shared" si="24"/>
        <v>58168908.286681518</v>
      </c>
      <c r="Q25" s="30">
        <f t="shared" si="24"/>
        <v>61811044.426605999</v>
      </c>
      <c r="R25" s="30">
        <f t="shared" si="24"/>
        <v>77255145.442069545</v>
      </c>
      <c r="S25" s="30">
        <f t="shared" si="24"/>
        <v>84053080.665989846</v>
      </c>
      <c r="T25" s="30">
        <f t="shared" si="24"/>
        <v>86004007.852445126</v>
      </c>
      <c r="U25" s="30">
        <f t="shared" si="24"/>
        <v>88445941.730840206</v>
      </c>
      <c r="V25" s="31">
        <f t="shared" si="24"/>
        <v>90839061.086453289</v>
      </c>
      <c r="W25" s="32"/>
      <c r="X25" s="32"/>
      <c r="Y25" s="60" t="s">
        <v>48</v>
      </c>
      <c r="Z25" s="161"/>
      <c r="AA25" s="161"/>
      <c r="AB25" s="161"/>
      <c r="AC25" s="161"/>
      <c r="AD25" s="161"/>
      <c r="AE25" s="161"/>
      <c r="AF25" s="161"/>
      <c r="AG25" s="161"/>
      <c r="AH25" s="162"/>
      <c r="AI25" s="161"/>
      <c r="AJ25" s="162">
        <f>((AI20/Z20)^(1/7))-1</f>
        <v>8.9841929962496625E-2</v>
      </c>
      <c r="AK25" s="161"/>
      <c r="AL25" s="161"/>
      <c r="AM25" s="161"/>
      <c r="AN25" s="162"/>
    </row>
    <row r="26" spans="1:48" ht="24.75" customHeight="1" thickBot="1" x14ac:dyDescent="0.3">
      <c r="A26" s="57" t="s">
        <v>34</v>
      </c>
      <c r="B26" s="58" t="str">
        <f>IFERROR((B25-#REF!)/#REF!,"")</f>
        <v/>
      </c>
      <c r="C26" s="58" t="str">
        <f t="shared" ref="C26:V26" si="25">IFERROR((C25-B25)/B25,"")</f>
        <v/>
      </c>
      <c r="D26" s="58" t="str">
        <f t="shared" si="25"/>
        <v/>
      </c>
      <c r="E26" s="58" t="str">
        <f t="shared" si="25"/>
        <v/>
      </c>
      <c r="F26" s="58" t="str">
        <f t="shared" si="25"/>
        <v/>
      </c>
      <c r="G26" s="58" t="str">
        <f t="shared" si="25"/>
        <v/>
      </c>
      <c r="H26" s="58" t="str">
        <f t="shared" si="25"/>
        <v/>
      </c>
      <c r="I26" s="58" t="str">
        <f t="shared" si="25"/>
        <v/>
      </c>
      <c r="J26" s="58" t="str">
        <f t="shared" si="25"/>
        <v/>
      </c>
      <c r="K26" s="58" t="str">
        <f t="shared" si="25"/>
        <v/>
      </c>
      <c r="L26" s="58">
        <f t="shared" si="25"/>
        <v>1.4456603856371826E-2</v>
      </c>
      <c r="M26" s="58">
        <f t="shared" si="25"/>
        <v>4.666718742701606E-2</v>
      </c>
      <c r="N26" s="58">
        <f t="shared" si="25"/>
        <v>3.8819859312820004E-2</v>
      </c>
      <c r="O26" s="58">
        <f t="shared" si="25"/>
        <v>0.14868957540059047</v>
      </c>
      <c r="P26" s="58">
        <f t="shared" si="25"/>
        <v>8.5233223942361713E-2</v>
      </c>
      <c r="Q26" s="58">
        <f t="shared" si="25"/>
        <v>6.2613108053781258E-2</v>
      </c>
      <c r="R26" s="58">
        <f t="shared" si="25"/>
        <v>0.24985989411328849</v>
      </c>
      <c r="S26" s="58">
        <f t="shared" si="25"/>
        <v>8.7993300446476963E-2</v>
      </c>
      <c r="T26" s="58">
        <f t="shared" si="25"/>
        <v>2.3210656539858123E-2</v>
      </c>
      <c r="U26" s="58">
        <f t="shared" si="25"/>
        <v>2.8393256772226753E-2</v>
      </c>
      <c r="V26" s="59">
        <f t="shared" si="25"/>
        <v>2.7057424103141482E-2</v>
      </c>
      <c r="W26" s="36"/>
      <c r="X26" s="36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</row>
    <row r="27" spans="1:48" x14ac:dyDescent="0.25">
      <c r="A27" s="61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3"/>
      <c r="P27" s="63"/>
      <c r="Q27" s="62"/>
      <c r="R27" s="62"/>
      <c r="S27" s="62"/>
      <c r="T27" s="62"/>
      <c r="U27" s="62"/>
      <c r="V27" s="62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</row>
    <row r="28" spans="1:48" ht="15.75" thickBot="1" x14ac:dyDescent="0.3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4"/>
      <c r="X28" s="64"/>
      <c r="AH28" s="64"/>
      <c r="AO28" s="64"/>
      <c r="AP28" s="64"/>
      <c r="AQ28" s="64"/>
      <c r="AR28" s="64"/>
      <c r="AS28" s="64"/>
      <c r="AT28" s="64"/>
      <c r="AU28" s="64"/>
      <c r="AV28" s="64"/>
    </row>
    <row r="29" spans="1:48" ht="26.25" thickBot="1" x14ac:dyDescent="0.3">
      <c r="A29" s="22"/>
      <c r="B29" s="12" t="str">
        <f t="shared" ref="B29:V29" si="26">B12</f>
        <v>2011 Actuals</v>
      </c>
      <c r="C29" s="12" t="str">
        <f t="shared" si="26"/>
        <v>2012 Actuals</v>
      </c>
      <c r="D29" s="12" t="str">
        <f t="shared" si="26"/>
        <v>2013 Actuals</v>
      </c>
      <c r="E29" s="12" t="str">
        <f t="shared" si="26"/>
        <v>2014 Actuals</v>
      </c>
      <c r="F29" s="12" t="str">
        <f t="shared" si="26"/>
        <v>2015 Actuals</v>
      </c>
      <c r="G29" s="12" t="str">
        <f t="shared" si="26"/>
        <v>2016 Actuals</v>
      </c>
      <c r="H29" s="12" t="str">
        <f t="shared" si="26"/>
        <v>2017 Actuals</v>
      </c>
      <c r="I29" s="12" t="str">
        <f t="shared" si="26"/>
        <v>2018 Actuals</v>
      </c>
      <c r="J29" s="12" t="str">
        <f t="shared" si="26"/>
        <v>2019 Actuals</v>
      </c>
      <c r="K29" s="12" t="str">
        <f t="shared" si="26"/>
        <v>2020 Actuals</v>
      </c>
      <c r="L29" s="12" t="str">
        <f t="shared" si="26"/>
        <v>2021 Actuals</v>
      </c>
      <c r="M29" s="12" t="str">
        <f t="shared" si="26"/>
        <v>2022 Actuals</v>
      </c>
      <c r="N29" s="12" t="str">
        <f t="shared" si="26"/>
        <v>2023 Actuals</v>
      </c>
      <c r="O29" s="12" t="str">
        <f t="shared" si="26"/>
        <v>2024 Actuals</v>
      </c>
      <c r="P29" s="12" t="str">
        <f t="shared" si="26"/>
        <v>2025 Bridge Year</v>
      </c>
      <c r="Q29" s="13" t="str">
        <f t="shared" si="26"/>
        <v>2026 Bridge Year</v>
      </c>
      <c r="R29" s="13" t="str">
        <f t="shared" si="26"/>
        <v>2027 Test Year</v>
      </c>
      <c r="S29" s="13" t="str">
        <f t="shared" si="26"/>
        <v>2028 Forecast</v>
      </c>
      <c r="T29" s="13" t="str">
        <f t="shared" si="26"/>
        <v>2029 Forecast</v>
      </c>
      <c r="U29" s="13" t="str">
        <f t="shared" si="26"/>
        <v>2030 Forecast</v>
      </c>
      <c r="V29" s="13" t="str">
        <f t="shared" si="26"/>
        <v>2031 Forecast</v>
      </c>
      <c r="W29" s="64"/>
      <c r="X29" s="64"/>
      <c r="AH29" s="64"/>
    </row>
    <row r="30" spans="1:48" x14ac:dyDescent="0.25">
      <c r="A30" s="28" t="s">
        <v>49</v>
      </c>
      <c r="B30" s="65" t="e">
        <f t="shared" ref="B30:V31" si="27">B14</f>
        <v>#N/A</v>
      </c>
      <c r="C30" s="65" t="e">
        <f t="shared" si="27"/>
        <v>#N/A</v>
      </c>
      <c r="D30" s="65" t="e">
        <f t="shared" si="27"/>
        <v>#N/A</v>
      </c>
      <c r="E30" s="65" t="e">
        <f>E14</f>
        <v>#N/A</v>
      </c>
      <c r="F30" s="65" t="e">
        <f>F14</f>
        <v>#N/A</v>
      </c>
      <c r="G30" s="65" t="e">
        <f t="shared" si="27"/>
        <v>#N/A</v>
      </c>
      <c r="H30" s="65" t="e">
        <f t="shared" si="27"/>
        <v>#N/A</v>
      </c>
      <c r="I30" s="65" t="e">
        <f t="shared" si="27"/>
        <v>#N/A</v>
      </c>
      <c r="J30" s="65" t="e">
        <f t="shared" si="27"/>
        <v>#N/A</v>
      </c>
      <c r="K30" s="65">
        <f t="shared" si="27"/>
        <v>9748687.0300000031</v>
      </c>
      <c r="L30" s="65">
        <f t="shared" si="27"/>
        <v>10180786.590000002</v>
      </c>
      <c r="M30" s="65">
        <f t="shared" si="27"/>
        <v>11638182.449999999</v>
      </c>
      <c r="N30" s="65">
        <f t="shared" si="27"/>
        <v>11348932.559999999</v>
      </c>
      <c r="O30" s="65">
        <f t="shared" si="27"/>
        <v>12992985.529999999</v>
      </c>
      <c r="P30" s="65">
        <f t="shared" si="27"/>
        <v>13503040.713243639</v>
      </c>
      <c r="Q30" s="65">
        <f t="shared" si="27"/>
        <v>14739579.552592028</v>
      </c>
      <c r="R30" s="65">
        <f t="shared" si="27"/>
        <v>17998787.636417918</v>
      </c>
      <c r="S30" s="65">
        <f t="shared" si="27"/>
        <v>19108986.726745728</v>
      </c>
      <c r="T30" s="65">
        <f t="shared" si="27"/>
        <v>19677588.817364149</v>
      </c>
      <c r="U30" s="65">
        <f t="shared" si="27"/>
        <v>20230533.711721502</v>
      </c>
      <c r="V30" s="66">
        <f t="shared" si="27"/>
        <v>20675422.517583605</v>
      </c>
      <c r="W30" s="64"/>
      <c r="X30" s="64"/>
      <c r="AH30" s="64"/>
    </row>
    <row r="31" spans="1:48" x14ac:dyDescent="0.25">
      <c r="A31" s="28" t="s">
        <v>50</v>
      </c>
      <c r="B31" s="65" t="e">
        <f t="shared" si="27"/>
        <v>#N/A</v>
      </c>
      <c r="C31" s="65" t="e">
        <f t="shared" si="27"/>
        <v>#N/A</v>
      </c>
      <c r="D31" s="65" t="e">
        <f t="shared" si="27"/>
        <v>#N/A</v>
      </c>
      <c r="E31" s="65" t="e">
        <f>E15</f>
        <v>#N/A</v>
      </c>
      <c r="F31" s="65" t="e">
        <f>F15</f>
        <v>#N/A</v>
      </c>
      <c r="G31" s="65" t="e">
        <f t="shared" si="27"/>
        <v>#N/A</v>
      </c>
      <c r="H31" s="65" t="e">
        <f t="shared" si="27"/>
        <v>#N/A</v>
      </c>
      <c r="I31" s="65" t="e">
        <f t="shared" si="27"/>
        <v>#N/A</v>
      </c>
      <c r="J31" s="65" t="e">
        <f t="shared" si="27"/>
        <v>#N/A</v>
      </c>
      <c r="K31" s="65">
        <f t="shared" si="27"/>
        <v>4229032.21</v>
      </c>
      <c r="L31" s="65">
        <f t="shared" si="27"/>
        <v>4744305.6500000004</v>
      </c>
      <c r="M31" s="65">
        <f t="shared" si="27"/>
        <v>4068368.5100000007</v>
      </c>
      <c r="N31" s="65">
        <f t="shared" si="27"/>
        <v>4203636.55</v>
      </c>
      <c r="O31" s="65">
        <f t="shared" si="27"/>
        <v>7443163.7000000002</v>
      </c>
      <c r="P31" s="65">
        <f t="shared" si="27"/>
        <v>6586570.885679611</v>
      </c>
      <c r="Q31" s="65">
        <f t="shared" si="27"/>
        <v>6525246.8013525307</v>
      </c>
      <c r="R31" s="65">
        <f t="shared" si="27"/>
        <v>7161584.0695743887</v>
      </c>
      <c r="S31" s="65">
        <f t="shared" si="27"/>
        <v>8553011.8901650701</v>
      </c>
      <c r="T31" s="65">
        <f t="shared" si="27"/>
        <v>8639723.8763395306</v>
      </c>
      <c r="U31" s="65">
        <f t="shared" si="27"/>
        <v>8869918.2008947302</v>
      </c>
      <c r="V31" s="66">
        <f t="shared" si="27"/>
        <v>9209183.6424233187</v>
      </c>
      <c r="W31" s="64"/>
      <c r="X31" s="64"/>
      <c r="AH31" s="64"/>
    </row>
    <row r="32" spans="1:48" x14ac:dyDescent="0.25">
      <c r="A32" s="28" t="s">
        <v>51</v>
      </c>
      <c r="B32" s="65" t="e">
        <f t="shared" ref="B32:V34" si="28">B19</f>
        <v>#N/A</v>
      </c>
      <c r="C32" s="65" t="e">
        <f t="shared" si="28"/>
        <v>#N/A</v>
      </c>
      <c r="D32" s="65" t="e">
        <f t="shared" si="28"/>
        <v>#N/A</v>
      </c>
      <c r="E32" s="65" t="e">
        <f t="shared" si="28"/>
        <v>#N/A</v>
      </c>
      <c r="F32" s="65" t="e">
        <f t="shared" si="28"/>
        <v>#N/A</v>
      </c>
      <c r="G32" s="65" t="e">
        <f t="shared" si="28"/>
        <v>#N/A</v>
      </c>
      <c r="H32" s="65" t="e">
        <f t="shared" si="28"/>
        <v>#N/A</v>
      </c>
      <c r="I32" s="65" t="e">
        <f t="shared" si="28"/>
        <v>#N/A</v>
      </c>
      <c r="J32" s="65" t="e">
        <f t="shared" si="28"/>
        <v>#N/A</v>
      </c>
      <c r="K32" s="65">
        <f t="shared" si="28"/>
        <v>11355586.779999999</v>
      </c>
      <c r="L32" s="65">
        <f t="shared" si="28"/>
        <v>10770334.309999999</v>
      </c>
      <c r="M32" s="65">
        <f t="shared" si="28"/>
        <v>10017118.899999999</v>
      </c>
      <c r="N32" s="65">
        <f t="shared" si="28"/>
        <v>10583609.41</v>
      </c>
      <c r="O32" s="65">
        <f t="shared" si="28"/>
        <v>11581087.32</v>
      </c>
      <c r="P32" s="65">
        <f t="shared" si="28"/>
        <v>12765608.156380771</v>
      </c>
      <c r="Q32" s="65">
        <f t="shared" si="28"/>
        <v>13066207.046844071</v>
      </c>
      <c r="R32" s="65">
        <f t="shared" si="28"/>
        <v>13851521.50658321</v>
      </c>
      <c r="S32" s="65">
        <f t="shared" si="28"/>
        <v>15537808.686378179</v>
      </c>
      <c r="T32" s="65">
        <f t="shared" si="28"/>
        <v>15127459.196973702</v>
      </c>
      <c r="U32" s="65">
        <f t="shared" si="28"/>
        <v>15187400.08723622</v>
      </c>
      <c r="V32" s="66">
        <f t="shared" si="28"/>
        <v>15356493.36948235</v>
      </c>
      <c r="W32" s="64"/>
      <c r="X32" s="64"/>
      <c r="AH32" s="64"/>
    </row>
    <row r="33" spans="1:48" x14ac:dyDescent="0.25">
      <c r="A33" s="28" t="s">
        <v>52</v>
      </c>
      <c r="B33" s="65" t="e">
        <f t="shared" si="28"/>
        <v>#N/A</v>
      </c>
      <c r="C33" s="65" t="e">
        <f t="shared" si="28"/>
        <v>#N/A</v>
      </c>
      <c r="D33" s="65" t="e">
        <f t="shared" si="28"/>
        <v>#N/A</v>
      </c>
      <c r="E33" s="65" t="e">
        <f t="shared" si="28"/>
        <v>#N/A</v>
      </c>
      <c r="F33" s="65" t="e">
        <f t="shared" si="28"/>
        <v>#N/A</v>
      </c>
      <c r="G33" s="65" t="e">
        <f t="shared" si="28"/>
        <v>#N/A</v>
      </c>
      <c r="H33" s="65" t="e">
        <f t="shared" si="28"/>
        <v>#N/A</v>
      </c>
      <c r="I33" s="65" t="e">
        <f t="shared" si="28"/>
        <v>#N/A</v>
      </c>
      <c r="J33" s="65" t="e">
        <f t="shared" si="28"/>
        <v>#N/A</v>
      </c>
      <c r="K33" s="65">
        <f t="shared" si="28"/>
        <v>10083.5</v>
      </c>
      <c r="L33" s="65">
        <f t="shared" si="28"/>
        <v>209037.49</v>
      </c>
      <c r="M33" s="65">
        <f t="shared" si="28"/>
        <v>572372.72</v>
      </c>
      <c r="N33" s="65">
        <f t="shared" si="28"/>
        <v>524888.58000000007</v>
      </c>
      <c r="O33" s="65">
        <f t="shared" si="28"/>
        <v>576712.71000000008</v>
      </c>
      <c r="P33" s="65">
        <f t="shared" si="28"/>
        <v>876793.06192951999</v>
      </c>
      <c r="Q33" s="65">
        <f t="shared" si="28"/>
        <v>906644.52532789984</v>
      </c>
      <c r="R33" s="65">
        <f t="shared" si="28"/>
        <v>973788.47976212983</v>
      </c>
      <c r="S33" s="65">
        <f t="shared" si="28"/>
        <v>1174353.8087519598</v>
      </c>
      <c r="T33" s="65">
        <f t="shared" si="28"/>
        <v>1196678.9446747999</v>
      </c>
      <c r="U33" s="65">
        <f t="shared" si="28"/>
        <v>1220492.5235682901</v>
      </c>
      <c r="V33" s="66">
        <f t="shared" si="28"/>
        <v>1241552.5190652502</v>
      </c>
      <c r="W33" s="64"/>
      <c r="X33" s="64"/>
      <c r="AH33" s="64"/>
    </row>
    <row r="34" spans="1:48" x14ac:dyDescent="0.25">
      <c r="A34" s="28" t="s">
        <v>53</v>
      </c>
      <c r="B34" s="65" t="e">
        <f t="shared" si="28"/>
        <v>#N/A</v>
      </c>
      <c r="C34" s="65" t="e">
        <f t="shared" si="28"/>
        <v>#N/A</v>
      </c>
      <c r="D34" s="65" t="e">
        <f t="shared" si="28"/>
        <v>#N/A</v>
      </c>
      <c r="E34" s="65" t="e">
        <f t="shared" si="28"/>
        <v>#N/A</v>
      </c>
      <c r="F34" s="65" t="e">
        <f t="shared" si="28"/>
        <v>#N/A</v>
      </c>
      <c r="G34" s="65" t="e">
        <f t="shared" si="28"/>
        <v>#N/A</v>
      </c>
      <c r="H34" s="65" t="e">
        <f t="shared" si="28"/>
        <v>#N/A</v>
      </c>
      <c r="I34" s="65" t="e">
        <f t="shared" si="28"/>
        <v>#N/A</v>
      </c>
      <c r="J34" s="65" t="e">
        <f t="shared" si="28"/>
        <v>#N/A</v>
      </c>
      <c r="K34" s="65">
        <f t="shared" si="28"/>
        <v>16960746.09</v>
      </c>
      <c r="L34" s="65">
        <f t="shared" si="28"/>
        <v>17011245.700000003</v>
      </c>
      <c r="M34" s="65">
        <f t="shared" si="28"/>
        <v>18622422.630000003</v>
      </c>
      <c r="N34" s="65">
        <f t="shared" si="28"/>
        <v>20001126.609999999</v>
      </c>
      <c r="O34" s="65">
        <f t="shared" si="28"/>
        <v>21006426.220000003</v>
      </c>
      <c r="P34" s="65">
        <f t="shared" si="28"/>
        <v>24436895.469447978</v>
      </c>
      <c r="Q34" s="65">
        <f t="shared" si="28"/>
        <v>26573366.500489473</v>
      </c>
      <c r="R34" s="65">
        <f t="shared" si="28"/>
        <v>37269463.749731891</v>
      </c>
      <c r="S34" s="65">
        <f t="shared" si="28"/>
        <v>39678919.553948916</v>
      </c>
      <c r="T34" s="65">
        <f t="shared" si="28"/>
        <v>41362557.017092951</v>
      </c>
      <c r="U34" s="65">
        <f t="shared" si="28"/>
        <v>42937597.207419477</v>
      </c>
      <c r="V34" s="66">
        <f t="shared" si="28"/>
        <v>44356409.037898757</v>
      </c>
      <c r="W34" s="64"/>
      <c r="X34" s="64"/>
      <c r="AH34" s="64"/>
    </row>
    <row r="35" spans="1:48" x14ac:dyDescent="0.25">
      <c r="A35" s="29" t="s">
        <v>47</v>
      </c>
      <c r="B35" s="30" t="e">
        <f>SUM(B30:B34)</f>
        <v>#N/A</v>
      </c>
      <c r="C35" s="30" t="e">
        <f>SUM(C30:C34)</f>
        <v>#N/A</v>
      </c>
      <c r="D35" s="30" t="e">
        <f t="shared" ref="D35:V35" si="29">SUM(D30:D34)</f>
        <v>#N/A</v>
      </c>
      <c r="E35" s="30" t="e">
        <f t="shared" si="29"/>
        <v>#N/A</v>
      </c>
      <c r="F35" s="30" t="e">
        <f t="shared" si="29"/>
        <v>#N/A</v>
      </c>
      <c r="G35" s="30" t="e">
        <f t="shared" si="29"/>
        <v>#N/A</v>
      </c>
      <c r="H35" s="30" t="e">
        <f t="shared" si="29"/>
        <v>#N/A</v>
      </c>
      <c r="I35" s="30" t="e">
        <f t="shared" si="29"/>
        <v>#N/A</v>
      </c>
      <c r="J35" s="30" t="e">
        <f t="shared" si="29"/>
        <v>#N/A</v>
      </c>
      <c r="K35" s="30">
        <f t="shared" si="29"/>
        <v>42304135.609999999</v>
      </c>
      <c r="L35" s="30">
        <f t="shared" si="29"/>
        <v>42915709.740000002</v>
      </c>
      <c r="M35" s="30">
        <f t="shared" si="29"/>
        <v>44918465.210000001</v>
      </c>
      <c r="N35" s="30">
        <f t="shared" si="29"/>
        <v>46662193.710000001</v>
      </c>
      <c r="O35" s="30">
        <f t="shared" si="29"/>
        <v>53600375.480000004</v>
      </c>
      <c r="P35" s="30">
        <f t="shared" si="29"/>
        <v>58168908.286681518</v>
      </c>
      <c r="Q35" s="30">
        <f t="shared" si="29"/>
        <v>61811044.426605999</v>
      </c>
      <c r="R35" s="30">
        <f t="shared" si="29"/>
        <v>77255145.44206953</v>
      </c>
      <c r="S35" s="30">
        <f t="shared" si="29"/>
        <v>84053080.665989861</v>
      </c>
      <c r="T35" s="30">
        <f t="shared" si="29"/>
        <v>86004007.852445126</v>
      </c>
      <c r="U35" s="30">
        <f t="shared" si="29"/>
        <v>88445941.730840206</v>
      </c>
      <c r="V35" s="31">
        <f t="shared" si="29"/>
        <v>90839061.086453289</v>
      </c>
      <c r="W35" s="67"/>
      <c r="X35" s="64"/>
      <c r="AH35" s="64"/>
    </row>
    <row r="36" spans="1:48" ht="15.75" thickBot="1" x14ac:dyDescent="0.3">
      <c r="A36" s="57" t="s">
        <v>34</v>
      </c>
      <c r="B36" s="68" t="str">
        <f>IFERROR((B35-#REF!)/#REF!,"")</f>
        <v/>
      </c>
      <c r="C36" s="69" t="str">
        <f t="shared" ref="C36:V36" si="30">IFERROR((C35-B35)/B35,"")</f>
        <v/>
      </c>
      <c r="D36" s="68" t="str">
        <f t="shared" si="30"/>
        <v/>
      </c>
      <c r="E36" s="68" t="str">
        <f t="shared" si="30"/>
        <v/>
      </c>
      <c r="F36" s="68" t="str">
        <f t="shared" si="30"/>
        <v/>
      </c>
      <c r="G36" s="68" t="str">
        <f t="shared" si="30"/>
        <v/>
      </c>
      <c r="H36" s="70" t="str">
        <f t="shared" si="30"/>
        <v/>
      </c>
      <c r="I36" s="69" t="str">
        <f t="shared" si="30"/>
        <v/>
      </c>
      <c r="J36" s="68" t="str">
        <f t="shared" si="30"/>
        <v/>
      </c>
      <c r="K36" s="70" t="str">
        <f t="shared" si="30"/>
        <v/>
      </c>
      <c r="L36" s="69">
        <f t="shared" si="30"/>
        <v>1.4456603856371826E-2</v>
      </c>
      <c r="M36" s="68">
        <f t="shared" si="30"/>
        <v>4.666718742701606E-2</v>
      </c>
      <c r="N36" s="68">
        <f t="shared" si="30"/>
        <v>3.8819859312820004E-2</v>
      </c>
      <c r="O36" s="69">
        <f t="shared" si="30"/>
        <v>0.14868957540059047</v>
      </c>
      <c r="P36" s="68">
        <f t="shared" si="30"/>
        <v>8.5233223942361713E-2</v>
      </c>
      <c r="Q36" s="68">
        <f t="shared" si="30"/>
        <v>6.2613108053781258E-2</v>
      </c>
      <c r="R36" s="68">
        <f t="shared" si="30"/>
        <v>0.24985989411328824</v>
      </c>
      <c r="S36" s="68">
        <f t="shared" si="30"/>
        <v>8.7993300446477365E-2</v>
      </c>
      <c r="T36" s="68">
        <f t="shared" si="30"/>
        <v>2.3210656539857943E-2</v>
      </c>
      <c r="U36" s="68">
        <f t="shared" si="30"/>
        <v>2.8393256772226753E-2</v>
      </c>
      <c r="V36" s="59">
        <f t="shared" si="30"/>
        <v>2.7057424103141482E-2</v>
      </c>
      <c r="W36" s="64"/>
      <c r="X36" s="71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</row>
    <row r="37" spans="1:48" x14ac:dyDescent="0.25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O37" s="64"/>
      <c r="AP37" s="64"/>
      <c r="AQ37" s="64"/>
      <c r="AR37" s="64"/>
      <c r="AS37" s="64"/>
      <c r="AT37" s="64"/>
      <c r="AU37" s="64"/>
      <c r="AV37" s="64"/>
    </row>
    <row r="38" spans="1:48" ht="25.5" x14ac:dyDescent="0.25">
      <c r="B38" s="72" t="str">
        <f>B29</f>
        <v>2011 Actuals</v>
      </c>
      <c r="C38" s="72" t="str">
        <f>C29</f>
        <v>2012 Actuals</v>
      </c>
      <c r="D38" s="72" t="str">
        <f t="shared" ref="D38:V38" si="31">D29</f>
        <v>2013 Actuals</v>
      </c>
      <c r="E38" s="72" t="str">
        <f t="shared" si="31"/>
        <v>2014 Actuals</v>
      </c>
      <c r="F38" s="72" t="str">
        <f t="shared" si="31"/>
        <v>2015 Actuals</v>
      </c>
      <c r="G38" s="72" t="str">
        <f t="shared" si="31"/>
        <v>2016 Actuals</v>
      </c>
      <c r="H38" s="72" t="str">
        <f t="shared" si="31"/>
        <v>2017 Actuals</v>
      </c>
      <c r="I38" s="72" t="str">
        <f t="shared" si="31"/>
        <v>2018 Actuals</v>
      </c>
      <c r="J38" s="72" t="str">
        <f t="shared" si="31"/>
        <v>2019 Actuals</v>
      </c>
      <c r="K38" s="72" t="str">
        <f t="shared" si="31"/>
        <v>2020 Actuals</v>
      </c>
      <c r="L38" s="72" t="str">
        <f t="shared" si="31"/>
        <v>2021 Actuals</v>
      </c>
      <c r="M38" s="72" t="str">
        <f t="shared" si="31"/>
        <v>2022 Actuals</v>
      </c>
      <c r="N38" s="72" t="str">
        <f t="shared" si="31"/>
        <v>2023 Actuals</v>
      </c>
      <c r="O38" s="72" t="str">
        <f t="shared" si="31"/>
        <v>2024 Actuals</v>
      </c>
      <c r="P38" s="72" t="str">
        <f t="shared" si="31"/>
        <v>2025 Bridge Year</v>
      </c>
      <c r="Q38" s="72" t="str">
        <f t="shared" si="31"/>
        <v>2026 Bridge Year</v>
      </c>
      <c r="R38" s="72" t="str">
        <f t="shared" si="31"/>
        <v>2027 Test Year</v>
      </c>
      <c r="S38" s="72" t="str">
        <f t="shared" si="31"/>
        <v>2028 Forecast</v>
      </c>
      <c r="T38" s="72" t="str">
        <f t="shared" si="31"/>
        <v>2029 Forecast</v>
      </c>
      <c r="U38" s="72" t="str">
        <f t="shared" si="31"/>
        <v>2030 Forecast</v>
      </c>
      <c r="V38" s="72" t="str">
        <f t="shared" si="31"/>
        <v>2031 Forecast</v>
      </c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</row>
    <row r="39" spans="1:48" x14ac:dyDescent="0.25">
      <c r="A39" s="73" t="s">
        <v>54</v>
      </c>
      <c r="B39" s="74">
        <v>0</v>
      </c>
      <c r="C39" s="74">
        <v>0</v>
      </c>
      <c r="D39" s="74">
        <v>0</v>
      </c>
      <c r="E39" s="74">
        <v>0</v>
      </c>
      <c r="F39" s="74">
        <v>0</v>
      </c>
      <c r="G39" s="74">
        <v>0</v>
      </c>
      <c r="H39" s="74">
        <v>0</v>
      </c>
      <c r="I39" s="74">
        <v>0</v>
      </c>
      <c r="J39" s="74">
        <v>0</v>
      </c>
      <c r="K39" s="163" t="s">
        <v>55</v>
      </c>
      <c r="L39" s="119">
        <f>'App.2-JB OM&amp;A Cost Drivers'!B49</f>
        <v>42915708.359999999</v>
      </c>
      <c r="M39" s="119">
        <f>'App.2-JB OM&amp;A Cost Drivers'!C49</f>
        <v>44918464.31000001</v>
      </c>
      <c r="N39" s="119">
        <f>'App.2-JB OM&amp;A Cost Drivers'!D49</f>
        <v>46662196.330000013</v>
      </c>
      <c r="O39" s="119">
        <f>'App.2-JB OM&amp;A Cost Drivers'!E49</f>
        <v>53600375.600000031</v>
      </c>
      <c r="P39" s="119">
        <f>'App.2-JB OM&amp;A Cost Drivers'!F49</f>
        <v>58168908.286637284</v>
      </c>
      <c r="Q39" s="119">
        <f>'App.2-JB OM&amp;A Cost Drivers'!G49</f>
        <v>61811044.423211321</v>
      </c>
      <c r="R39" s="119">
        <f>'App.2-JB OM&amp;A Cost Drivers'!H49</f>
        <v>77255145.437281772</v>
      </c>
      <c r="S39" s="119">
        <f>'App.2-JB OM&amp;A Cost Drivers'!I49</f>
        <v>84053080.663708195</v>
      </c>
      <c r="T39" s="119">
        <f>'App.2-JB OM&amp;A Cost Drivers'!J49</f>
        <v>86004007.853667527</v>
      </c>
      <c r="U39" s="119">
        <f>'App.2-JB OM&amp;A Cost Drivers'!K49</f>
        <v>88445941.734491259</v>
      </c>
      <c r="V39" s="119">
        <f>'App.2-JB OM&amp;A Cost Drivers'!L49</f>
        <v>90839061.086750224</v>
      </c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</row>
    <row r="40" spans="1:48" x14ac:dyDescent="0.25">
      <c r="A40" s="73" t="s">
        <v>56</v>
      </c>
      <c r="B40" s="75">
        <v>0</v>
      </c>
      <c r="C40" s="75">
        <v>0</v>
      </c>
      <c r="D40" s="75">
        <v>0</v>
      </c>
      <c r="E40" s="75">
        <v>0</v>
      </c>
      <c r="F40" s="75">
        <v>0</v>
      </c>
      <c r="G40" s="75">
        <v>0</v>
      </c>
      <c r="H40" s="75">
        <v>0</v>
      </c>
      <c r="I40" s="75">
        <v>0</v>
      </c>
      <c r="J40" s="75">
        <v>0</v>
      </c>
      <c r="K40" s="119">
        <f>'App2.-JC OM&amp;A Programs'!B50</f>
        <v>42304136.459999993</v>
      </c>
      <c r="L40" s="119">
        <f>'App2.-JC OM&amp;A Programs'!C50</f>
        <v>42915708.359999999</v>
      </c>
      <c r="M40" s="119">
        <f>'App2.-JC OM&amp;A Programs'!D50</f>
        <v>44918464.310000002</v>
      </c>
      <c r="N40" s="119">
        <f>'App2.-JC OM&amp;A Programs'!E50</f>
        <v>46662196.330000006</v>
      </c>
      <c r="O40" s="119">
        <f>'App2.-JC OM&amp;A Programs'!F50</f>
        <v>53600375.600000009</v>
      </c>
      <c r="P40" s="119">
        <f>'App2.-JC OM&amp;A Programs'!G50</f>
        <v>58168908.286637276</v>
      </c>
      <c r="Q40" s="119">
        <f>'App2.-JC OM&amp;A Programs'!H50</f>
        <v>61811044.423211314</v>
      </c>
      <c r="R40" s="119">
        <f>'App2.-JC OM&amp;A Programs'!I50</f>
        <v>77255145.437281743</v>
      </c>
      <c r="S40" s="119">
        <f>'App2.-JC OM&amp;A Programs'!J50</f>
        <v>84053080.66370815</v>
      </c>
      <c r="T40" s="119">
        <f>'App2.-JC OM&amp;A Programs'!K50</f>
        <v>86004007.853667483</v>
      </c>
      <c r="U40" s="119">
        <f>'App2.-JC OM&amp;A Programs'!L50</f>
        <v>88445941.734491229</v>
      </c>
      <c r="V40" s="119">
        <f>'App2.-JC OM&amp;A Programs'!M50</f>
        <v>90839061.08675015</v>
      </c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</row>
    <row r="41" spans="1:48" x14ac:dyDescent="0.25">
      <c r="A41" s="76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</row>
    <row r="42" spans="1:48" x14ac:dyDescent="0.25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</row>
    <row r="43" spans="1:48" x14ac:dyDescent="0.25">
      <c r="A43" s="115" t="s">
        <v>57</v>
      </c>
      <c r="B43" s="78"/>
      <c r="C43" s="78"/>
      <c r="D43" s="78"/>
      <c r="E43" s="78"/>
      <c r="F43" s="78"/>
      <c r="G43" s="78"/>
      <c r="H43" s="78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</row>
    <row r="44" spans="1:48" x14ac:dyDescent="0.25">
      <c r="A44" s="78"/>
      <c r="B44" s="78"/>
      <c r="C44" s="78"/>
      <c r="D44" s="78"/>
      <c r="E44" s="78"/>
      <c r="F44" s="78"/>
      <c r="G44" s="78"/>
      <c r="H44" s="78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64"/>
      <c r="AP44" s="64"/>
      <c r="AQ44" s="64"/>
      <c r="AR44" s="64"/>
      <c r="AS44" s="64"/>
      <c r="AT44" s="64"/>
      <c r="AU44" s="64"/>
      <c r="AV44" s="64"/>
    </row>
    <row r="45" spans="1:48" x14ac:dyDescent="0.25">
      <c r="A45" s="80" t="s">
        <v>58</v>
      </c>
      <c r="B45" s="80"/>
      <c r="C45" s="80"/>
      <c r="D45" s="80"/>
      <c r="E45" s="80"/>
      <c r="F45" s="80"/>
      <c r="G45" s="80"/>
      <c r="H45" s="80"/>
      <c r="I45" s="81"/>
      <c r="J45" s="81"/>
      <c r="K45" s="81"/>
      <c r="L45" s="81"/>
      <c r="M45" s="81"/>
      <c r="N45" s="81"/>
      <c r="O45" s="81"/>
      <c r="P45" s="81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</row>
    <row r="46" spans="1:48" x14ac:dyDescent="0.25">
      <c r="A46" s="80" t="s">
        <v>59</v>
      </c>
      <c r="B46" s="80"/>
      <c r="C46" s="80"/>
      <c r="D46" s="80"/>
      <c r="E46" s="80"/>
      <c r="F46" s="80"/>
      <c r="G46" s="80"/>
      <c r="H46" s="80"/>
      <c r="I46" s="81"/>
      <c r="J46" s="81"/>
      <c r="K46" s="81"/>
      <c r="L46" s="81"/>
      <c r="M46" s="81"/>
      <c r="N46" s="81"/>
      <c r="O46" s="81"/>
      <c r="P46" s="81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</row>
    <row r="47" spans="1:48" x14ac:dyDescent="0.25">
      <c r="A47" s="80" t="s">
        <v>60</v>
      </c>
      <c r="B47" s="80"/>
      <c r="C47" s="80"/>
      <c r="D47" s="80"/>
      <c r="E47" s="80"/>
      <c r="F47" s="80"/>
      <c r="G47" s="80"/>
      <c r="H47" s="80"/>
      <c r="I47" s="81"/>
      <c r="J47" s="81"/>
      <c r="K47" s="81"/>
      <c r="L47" s="81"/>
      <c r="M47" s="81"/>
      <c r="N47" s="81"/>
      <c r="O47" s="81"/>
      <c r="P47" s="81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</row>
    <row r="48" spans="1:48" x14ac:dyDescent="0.25">
      <c r="A48" s="80" t="s">
        <v>61</v>
      </c>
      <c r="B48" s="80"/>
      <c r="C48" s="80"/>
      <c r="D48" s="80"/>
      <c r="E48" s="80"/>
      <c r="F48" s="80"/>
      <c r="G48" s="80"/>
      <c r="H48" s="80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</row>
    <row r="49" spans="1:48" x14ac:dyDescent="0.25">
      <c r="A49" s="173" t="s">
        <v>62</v>
      </c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79"/>
      <c r="S49" s="79"/>
      <c r="T49" s="79"/>
      <c r="U49" s="79"/>
      <c r="V49" s="79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</row>
    <row r="50" spans="1:48" ht="15.6" customHeight="1" x14ac:dyDescent="0.25">
      <c r="A50" s="173"/>
      <c r="B50" s="173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79"/>
      <c r="S50" s="79"/>
      <c r="T50" s="79"/>
      <c r="U50" s="79"/>
      <c r="V50" s="79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</row>
    <row r="51" spans="1:48" ht="29.1" customHeight="1" x14ac:dyDescent="0.25">
      <c r="A51" s="176" t="s">
        <v>63</v>
      </c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</row>
    <row r="52" spans="1:48" x14ac:dyDescent="0.25">
      <c r="A52" s="80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</row>
    <row r="53" spans="1:48" x14ac:dyDescent="0.25">
      <c r="A53" s="80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</row>
    <row r="54" spans="1:48" x14ac:dyDescent="0.25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</row>
    <row r="55" spans="1:48" x14ac:dyDescent="0.2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</row>
    <row r="56" spans="1:48" x14ac:dyDescent="0.25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</row>
    <row r="57" spans="1:48" x14ac:dyDescent="0.25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</row>
    <row r="58" spans="1:48" x14ac:dyDescent="0.25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</row>
    <row r="59" spans="1:48" x14ac:dyDescent="0.25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</row>
    <row r="60" spans="1:48" x14ac:dyDescent="0.25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</row>
    <row r="61" spans="1:48" x14ac:dyDescent="0.25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</row>
    <row r="62" spans="1:48" x14ac:dyDescent="0.2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</row>
    <row r="63" spans="1:48" x14ac:dyDescent="0.2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</row>
    <row r="64" spans="1:48" x14ac:dyDescent="0.2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</row>
    <row r="65" spans="1:48" x14ac:dyDescent="0.2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</row>
    <row r="66" spans="1:48" x14ac:dyDescent="0.2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</row>
    <row r="67" spans="1:48" x14ac:dyDescent="0.2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</row>
    <row r="68" spans="1:48" x14ac:dyDescent="0.2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</row>
    <row r="69" spans="1:48" x14ac:dyDescent="0.2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</row>
    <row r="70" spans="1:48" x14ac:dyDescent="0.2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</row>
    <row r="71" spans="1:48" x14ac:dyDescent="0.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</row>
    <row r="72" spans="1:48" x14ac:dyDescent="0.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</row>
    <row r="73" spans="1:48" x14ac:dyDescent="0.2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</row>
    <row r="74" spans="1:48" x14ac:dyDescent="0.2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</row>
    <row r="75" spans="1:48" x14ac:dyDescent="0.2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</row>
    <row r="76" spans="1:48" x14ac:dyDescent="0.2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</row>
    <row r="77" spans="1:48" x14ac:dyDescent="0.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</row>
    <row r="78" spans="1:48" x14ac:dyDescent="0.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</row>
    <row r="79" spans="1:48" x14ac:dyDescent="0.2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</row>
    <row r="80" spans="1:48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</row>
    <row r="81" spans="1:48" x14ac:dyDescent="0.2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</row>
    <row r="82" spans="1:48" x14ac:dyDescent="0.2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</row>
    <row r="83" spans="1:48" x14ac:dyDescent="0.2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</row>
    <row r="84" spans="1:48" x14ac:dyDescent="0.2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</row>
    <row r="85" spans="1:48" x14ac:dyDescent="0.2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</row>
    <row r="86" spans="1:48" x14ac:dyDescent="0.2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</row>
    <row r="87" spans="1:48" x14ac:dyDescent="0.2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</row>
    <row r="88" spans="1:48" x14ac:dyDescent="0.2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</row>
    <row r="89" spans="1:48" x14ac:dyDescent="0.2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</row>
    <row r="90" spans="1:48" x14ac:dyDescent="0.2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</row>
    <row r="91" spans="1:48" x14ac:dyDescent="0.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</row>
    <row r="92" spans="1:48" x14ac:dyDescent="0.2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</row>
    <row r="93" spans="1:48" x14ac:dyDescent="0.2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</row>
    <row r="94" spans="1:48" x14ac:dyDescent="0.2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</row>
    <row r="95" spans="1:48" x14ac:dyDescent="0.2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</row>
    <row r="96" spans="1:48" x14ac:dyDescent="0.2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</row>
    <row r="97" spans="1:48" x14ac:dyDescent="0.2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</row>
    <row r="98" spans="1:48" x14ac:dyDescent="0.2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</row>
    <row r="99" spans="1:48" x14ac:dyDescent="0.2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</row>
    <row r="100" spans="1:48" x14ac:dyDescent="0.2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</row>
    <row r="101" spans="1:48" x14ac:dyDescent="0.2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</row>
    <row r="102" spans="1:48" x14ac:dyDescent="0.2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</row>
    <row r="103" spans="1:48" x14ac:dyDescent="0.2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</row>
    <row r="104" spans="1:48" x14ac:dyDescent="0.2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</row>
    <row r="105" spans="1:48" x14ac:dyDescent="0.2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</row>
    <row r="106" spans="1:48" x14ac:dyDescent="0.2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</row>
    <row r="107" spans="1:48" x14ac:dyDescent="0.2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</row>
    <row r="108" spans="1:48" x14ac:dyDescent="0.2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</row>
    <row r="109" spans="1:48" x14ac:dyDescent="0.2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</row>
    <row r="110" spans="1:48" x14ac:dyDescent="0.2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</row>
    <row r="111" spans="1:48" x14ac:dyDescent="0.2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</row>
    <row r="112" spans="1:48" x14ac:dyDescent="0.2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</row>
    <row r="113" spans="1:48" x14ac:dyDescent="0.2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</row>
    <row r="114" spans="1:48" x14ac:dyDescent="0.2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</row>
    <row r="115" spans="1:48" x14ac:dyDescent="0.2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</row>
    <row r="116" spans="1:48" x14ac:dyDescent="0.2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AO116" s="64"/>
      <c r="AP116" s="64"/>
      <c r="AQ116" s="64"/>
      <c r="AR116" s="64"/>
      <c r="AS116" s="64"/>
      <c r="AT116" s="64"/>
      <c r="AU116" s="64"/>
      <c r="AV116" s="64"/>
    </row>
  </sheetData>
  <mergeCells count="5">
    <mergeCell ref="A49:Q50"/>
    <mergeCell ref="A9:Q9"/>
    <mergeCell ref="A10:Q10"/>
    <mergeCell ref="W12:X12"/>
    <mergeCell ref="A51:K51"/>
  </mergeCells>
  <dataValidations count="3">
    <dataValidation allowBlank="1" showInputMessage="1" showErrorMessage="1" promptTitle="Date Format" prompt="E.g:  &quot;August 1, 2011&quot;" sqref="Q7:V7" xr:uid="{013E085B-4A41-4A01-BB2C-3BD234FF16C5}"/>
    <dataValidation type="list" allowBlank="1" showInputMessage="1" showErrorMessage="1" sqref="A6" xr:uid="{072F6AD6-413C-4BD0-98CE-98534B2F8E85}">
      <formula1>"Yes,No"</formula1>
    </dataValidation>
    <dataValidation type="list" allowBlank="1" showInputMessage="1" showErrorMessage="1" sqref="B13:V13" xr:uid="{DCED8F83-8A7F-4B70-9877-8A318389E3B1}">
      <formula1>"CGAAP, MIFRS, USGAAP, ASPE"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0E2CA-A183-497B-AD87-0F47AECDF37B}">
  <dimension ref="A1:P61"/>
  <sheetViews>
    <sheetView workbookViewId="0">
      <selection activeCell="B32" sqref="B32"/>
    </sheetView>
  </sheetViews>
  <sheetFormatPr defaultColWidth="9.42578125" defaultRowHeight="15" x14ac:dyDescent="0.25"/>
  <cols>
    <col min="1" max="1" width="32.5703125" style="82" customWidth="1"/>
    <col min="2" max="6" width="17.5703125" style="82" customWidth="1"/>
    <col min="7" max="7" width="17.42578125" style="82" customWidth="1"/>
    <col min="8" max="12" width="17.5703125" style="82" customWidth="1"/>
    <col min="13" max="16384" width="9.42578125" style="82"/>
  </cols>
  <sheetData>
    <row r="1" spans="1:13" x14ac:dyDescent="0.25">
      <c r="F1" s="83" t="s">
        <v>0</v>
      </c>
      <c r="G1" s="3" t="s">
        <v>134</v>
      </c>
    </row>
    <row r="2" spans="1:13" x14ac:dyDescent="0.25">
      <c r="F2" s="83" t="s">
        <v>3</v>
      </c>
      <c r="G2" s="130">
        <v>4</v>
      </c>
    </row>
    <row r="3" spans="1:13" x14ac:dyDescent="0.25">
      <c r="F3" s="83" t="s">
        <v>5</v>
      </c>
      <c r="G3" s="130">
        <v>1</v>
      </c>
    </row>
    <row r="4" spans="1:13" x14ac:dyDescent="0.25">
      <c r="F4" s="83" t="s">
        <v>7</v>
      </c>
      <c r="G4" s="130">
        <v>1</v>
      </c>
    </row>
    <row r="5" spans="1:13" x14ac:dyDescent="0.25">
      <c r="F5" s="83" t="s">
        <v>10</v>
      </c>
      <c r="G5" s="131"/>
    </row>
    <row r="6" spans="1:13" x14ac:dyDescent="0.25">
      <c r="F6" s="83"/>
      <c r="G6" s="84"/>
    </row>
    <row r="7" spans="1:13" x14ac:dyDescent="0.25">
      <c r="F7" s="83" t="s">
        <v>14</v>
      </c>
      <c r="G7" s="172">
        <v>46010</v>
      </c>
    </row>
    <row r="10" spans="1:13" ht="18" x14ac:dyDescent="0.25">
      <c r="A10" s="177" t="s">
        <v>64</v>
      </c>
      <c r="B10" s="177"/>
      <c r="C10" s="177"/>
      <c r="D10" s="177"/>
      <c r="E10" s="177"/>
      <c r="F10" s="177"/>
    </row>
    <row r="11" spans="1:13" ht="18.75" thickBot="1" x14ac:dyDescent="0.3">
      <c r="A11" s="177" t="str">
        <f>"Recoverable OM&amp;A Cost Driver Table" &amp; CHAR(185)</f>
        <v>Recoverable OM&amp;A Cost Driver Table¹</v>
      </c>
      <c r="B11" s="177"/>
      <c r="C11" s="177"/>
      <c r="D11" s="177"/>
      <c r="E11" s="177"/>
      <c r="F11" s="177"/>
    </row>
    <row r="12" spans="1:13" s="86" customFormat="1" ht="13.5" hidden="1" thickBot="1" x14ac:dyDescent="0.25">
      <c r="A12" s="85"/>
      <c r="B12" s="85">
        <f t="shared" ref="B12:E12" si="0">C12-1</f>
        <v>2021</v>
      </c>
      <c r="C12" s="85">
        <f t="shared" si="0"/>
        <v>2022</v>
      </c>
      <c r="D12" s="85">
        <f t="shared" si="0"/>
        <v>2023</v>
      </c>
      <c r="E12" s="85">
        <f t="shared" si="0"/>
        <v>2024</v>
      </c>
      <c r="F12" s="85">
        <f>G12-1</f>
        <v>2025</v>
      </c>
      <c r="G12" s="85">
        <v>2026</v>
      </c>
      <c r="H12" s="85">
        <v>2027</v>
      </c>
      <c r="I12" s="85">
        <v>2028</v>
      </c>
      <c r="J12" s="85">
        <v>2029</v>
      </c>
      <c r="K12" s="85">
        <v>2030</v>
      </c>
      <c r="L12" s="85">
        <v>2031</v>
      </c>
    </row>
    <row r="13" spans="1:13" ht="15.75" thickBot="1" x14ac:dyDescent="0.3">
      <c r="A13" s="87" t="s">
        <v>65</v>
      </c>
      <c r="B13" s="12" t="s">
        <v>102</v>
      </c>
      <c r="C13" s="12" t="s">
        <v>103</v>
      </c>
      <c r="D13" s="12" t="s">
        <v>104</v>
      </c>
      <c r="E13" s="12" t="s">
        <v>105</v>
      </c>
      <c r="F13" s="12" t="s">
        <v>106</v>
      </c>
      <c r="G13" s="12" t="s">
        <v>20</v>
      </c>
      <c r="H13" s="12" t="str">
        <f>H12 &amp; " Test Year"</f>
        <v>2027 Test Year</v>
      </c>
      <c r="I13" s="12">
        <f>I12</f>
        <v>2028</v>
      </c>
      <c r="J13" s="12">
        <f>J12</f>
        <v>2029</v>
      </c>
      <c r="K13" s="12">
        <f>K12</f>
        <v>2030</v>
      </c>
      <c r="L13" s="13">
        <f>L12</f>
        <v>2031</v>
      </c>
    </row>
    <row r="14" spans="1:13" ht="15.75" thickBot="1" x14ac:dyDescent="0.3">
      <c r="A14" s="88" t="s">
        <v>26</v>
      </c>
      <c r="B14" s="137" t="s">
        <v>27</v>
      </c>
      <c r="C14" s="137" t="s">
        <v>27</v>
      </c>
      <c r="D14" s="137" t="s">
        <v>27</v>
      </c>
      <c r="E14" s="137" t="s">
        <v>27</v>
      </c>
      <c r="F14" s="137" t="s">
        <v>27</v>
      </c>
      <c r="G14" s="137" t="s">
        <v>27</v>
      </c>
      <c r="H14" s="137" t="s">
        <v>27</v>
      </c>
      <c r="I14" s="137" t="s">
        <v>27</v>
      </c>
      <c r="J14" s="137" t="s">
        <v>27</v>
      </c>
      <c r="K14" s="137" t="s">
        <v>27</v>
      </c>
      <c r="L14" s="138" t="s">
        <v>27</v>
      </c>
      <c r="M14" s="89"/>
    </row>
    <row r="15" spans="1:13" x14ac:dyDescent="0.25">
      <c r="A15" s="90" t="s">
        <v>66</v>
      </c>
      <c r="B15" s="91">
        <f>'App2.-JC OM&amp;A Programs'!B50</f>
        <v>42304136.459999993</v>
      </c>
      <c r="C15" s="91">
        <f t="shared" ref="C15:G15" si="1">B49</f>
        <v>42915708.359999999</v>
      </c>
      <c r="D15" s="91">
        <f t="shared" si="1"/>
        <v>44918464.31000001</v>
      </c>
      <c r="E15" s="91">
        <f t="shared" si="1"/>
        <v>46662196.330000013</v>
      </c>
      <c r="F15" s="91">
        <f t="shared" si="1"/>
        <v>53600375.600000031</v>
      </c>
      <c r="G15" s="91">
        <f t="shared" si="1"/>
        <v>58168908.286637284</v>
      </c>
      <c r="H15" s="91">
        <f>G49</f>
        <v>61811044.423211321</v>
      </c>
      <c r="I15" s="91">
        <f>H49</f>
        <v>77255145.437281772</v>
      </c>
      <c r="J15" s="91">
        <f>I49</f>
        <v>84053080.663708195</v>
      </c>
      <c r="K15" s="91">
        <f>J49</f>
        <v>86004007.853667527</v>
      </c>
      <c r="L15" s="92">
        <f>K49</f>
        <v>88445941.734491259</v>
      </c>
    </row>
    <row r="16" spans="1:13" x14ac:dyDescent="0.25">
      <c r="A16" s="125" t="s">
        <v>67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5"/>
    </row>
    <row r="17" spans="1:12" x14ac:dyDescent="0.25">
      <c r="A17" s="124" t="s">
        <v>68</v>
      </c>
      <c r="B17" s="144">
        <f>'App2.-JC OM&amp;A Programs'!C16-'App2.-JC OM&amp;A Programs'!B16</f>
        <v>4882.2924211799982</v>
      </c>
      <c r="C17" s="144">
        <f>'App2.-JC OM&amp;A Programs'!D16-'App2.-JC OM&amp;A Programs'!C16</f>
        <v>105132.83689711004</v>
      </c>
      <c r="D17" s="144">
        <f>'App2.-JC OM&amp;A Programs'!E16-'App2.-JC OM&amp;A Programs'!D16</f>
        <v>-99933.84151199006</v>
      </c>
      <c r="E17" s="144">
        <f>'App2.-JC OM&amp;A Programs'!F16-'App2.-JC OM&amp;A Programs'!E16</f>
        <v>489011.00379320991</v>
      </c>
      <c r="F17" s="144">
        <f>'App2.-JC OM&amp;A Programs'!G16-'App2.-JC OM&amp;A Programs'!F16</f>
        <v>71525.329805430258</v>
      </c>
      <c r="G17" s="144">
        <f>'App2.-JC OM&amp;A Programs'!H16-'App2.-JC OM&amp;A Programs'!G16</f>
        <v>93280.978966569877</v>
      </c>
      <c r="H17" s="144">
        <f>'App2.-JC OM&amp;A Programs'!I16-'App2.-JC OM&amp;A Programs'!H16</f>
        <v>409065.97921070992</v>
      </c>
      <c r="I17" s="144">
        <f>'App2.-JC OM&amp;A Programs'!J16-'App2.-JC OM&amp;A Programs'!I16</f>
        <v>143617.93527114019</v>
      </c>
      <c r="J17" s="144">
        <f>'App2.-JC OM&amp;A Programs'!K16-'App2.-JC OM&amp;A Programs'!J16</f>
        <v>59649.511649139924</v>
      </c>
      <c r="K17" s="144">
        <f>'App2.-JC OM&amp;A Programs'!L16-'App2.-JC OM&amp;A Programs'!K16</f>
        <v>85077.871899380349</v>
      </c>
      <c r="L17" s="145">
        <f>'App2.-JC OM&amp;A Programs'!M16-'App2.-JC OM&amp;A Programs'!L16</f>
        <v>39086.074743849691</v>
      </c>
    </row>
    <row r="18" spans="1:12" x14ac:dyDescent="0.25">
      <c r="A18" s="124" t="s">
        <v>69</v>
      </c>
      <c r="B18" s="144">
        <f>'App2.-JC OM&amp;A Programs'!C17-'App2.-JC OM&amp;A Programs'!B17</f>
        <v>57440.997578819981</v>
      </c>
      <c r="C18" s="144">
        <f>'App2.-JC OM&amp;A Programs'!D17-'App2.-JC OM&amp;A Programs'!C17</f>
        <v>-129395.07565965015</v>
      </c>
      <c r="D18" s="144">
        <f>'App2.-JC OM&amp;A Programs'!E17-'App2.-JC OM&amp;A Programs'!D17</f>
        <v>-114152.13752243994</v>
      </c>
      <c r="E18" s="144">
        <f>'App2.-JC OM&amp;A Programs'!F17-'App2.-JC OM&amp;A Programs'!E17</f>
        <v>68068.37686869991</v>
      </c>
      <c r="F18" s="144">
        <f>'App2.-JC OM&amp;A Programs'!G17-'App2.-JC OM&amp;A Programs'!F17</f>
        <v>-41600.723751369864</v>
      </c>
      <c r="G18" s="144">
        <f>'App2.-JC OM&amp;A Programs'!H17-'App2.-JC OM&amp;A Programs'!G17</f>
        <v>44443.788598329993</v>
      </c>
      <c r="H18" s="144">
        <f>'App2.-JC OM&amp;A Programs'!I17-'App2.-JC OM&amp;A Programs'!H17</f>
        <v>187127.4974911199</v>
      </c>
      <c r="I18" s="144">
        <f>'App2.-JC OM&amp;A Programs'!J17-'App2.-JC OM&amp;A Programs'!I17</f>
        <v>92881.47592278989</v>
      </c>
      <c r="J18" s="144">
        <f>'App2.-JC OM&amp;A Programs'!K17-'App2.-JC OM&amp;A Programs'!J17</f>
        <v>58635.923201950034</v>
      </c>
      <c r="K18" s="144">
        <f>'App2.-JC OM&amp;A Programs'!L17-'App2.-JC OM&amp;A Programs'!K17</f>
        <v>31836.023922800086</v>
      </c>
      <c r="L18" s="145">
        <f>'App2.-JC OM&amp;A Programs'!M17-'App2.-JC OM&amp;A Programs'!L17</f>
        <v>29117.003954200074</v>
      </c>
    </row>
    <row r="19" spans="1:12" x14ac:dyDescent="0.25">
      <c r="A19" s="125" t="s">
        <v>70</v>
      </c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5"/>
    </row>
    <row r="20" spans="1:12" x14ac:dyDescent="0.25">
      <c r="A20" s="124" t="s">
        <v>71</v>
      </c>
      <c r="B20" s="144">
        <f>'App2.-JC OM&amp;A Programs'!C20-'App2.-JC OM&amp;A Programs'!B20</f>
        <v>183554.7241633099</v>
      </c>
      <c r="C20" s="144">
        <f>'App2.-JC OM&amp;A Programs'!D20-'App2.-JC OM&amp;A Programs'!C20</f>
        <v>238777.13456610078</v>
      </c>
      <c r="D20" s="144">
        <f>'App2.-JC OM&amp;A Programs'!E20-'App2.-JC OM&amp;A Programs'!D20</f>
        <v>-207134.59501352045</v>
      </c>
      <c r="E20" s="144">
        <f>'App2.-JC OM&amp;A Programs'!F20-'App2.-JC OM&amp;A Programs'!E20</f>
        <v>413584.29156900966</v>
      </c>
      <c r="F20" s="144">
        <f>'App2.-JC OM&amp;A Programs'!G20-'App2.-JC OM&amp;A Programs'!F20</f>
        <v>566777.81356342975</v>
      </c>
      <c r="G20" s="144">
        <f>'App2.-JC OM&amp;A Programs'!H20-'App2.-JC OM&amp;A Programs'!G20</f>
        <v>-81105.92121334048</v>
      </c>
      <c r="H20" s="144">
        <f>'App2.-JC OM&amp;A Programs'!I20-'App2.-JC OM&amp;A Programs'!H20</f>
        <v>-169255.70574714849</v>
      </c>
      <c r="I20" s="144">
        <f>'App2.-JC OM&amp;A Programs'!J20-'App2.-JC OM&amp;A Programs'!I20</f>
        <v>178275.76098428946</v>
      </c>
      <c r="J20" s="144">
        <f>'App2.-JC OM&amp;A Programs'!K20-'App2.-JC OM&amp;A Programs'!J20</f>
        <v>171123.61776923994</v>
      </c>
      <c r="K20" s="144">
        <f>'App2.-JC OM&amp;A Programs'!L20-'App2.-JC OM&amp;A Programs'!K20</f>
        <v>82180.207754379138</v>
      </c>
      <c r="L20" s="145">
        <f>'App2.-JC OM&amp;A Programs'!M20-'App2.-JC OM&amp;A Programs'!L20</f>
        <v>73469.578950680792</v>
      </c>
    </row>
    <row r="21" spans="1:12" x14ac:dyDescent="0.25">
      <c r="A21" s="124" t="s">
        <v>72</v>
      </c>
      <c r="B21" s="144">
        <f>'App2.-JC OM&amp;A Programs'!C21-'App2.-JC OM&amp;A Programs'!B21</f>
        <v>396708.99583671847</v>
      </c>
      <c r="C21" s="144">
        <f>'App2.-JC OM&amp;A Programs'!D21-'App2.-JC OM&amp;A Programs'!C21</f>
        <v>5940.0054339007474</v>
      </c>
      <c r="D21" s="144">
        <f>'App2.-JC OM&amp;A Programs'!E21-'App2.-JC OM&amp;A Programs'!D21</f>
        <v>-192064.00023230026</v>
      </c>
      <c r="E21" s="144">
        <f>'App2.-JC OM&amp;A Programs'!F21-'App2.-JC OM&amp;A Programs'!E21</f>
        <v>72023.754799949937</v>
      </c>
      <c r="F21" s="144">
        <f>'App2.-JC OM&amp;A Programs'!G21-'App2.-JC OM&amp;A Programs'!F21</f>
        <v>-54493.83884343924</v>
      </c>
      <c r="G21" s="144">
        <f>'App2.-JC OM&amp;A Programs'!H21-'App2.-JC OM&amp;A Programs'!G21</f>
        <v>220698.60157003067</v>
      </c>
      <c r="H21" s="144">
        <f>'App2.-JC OM&amp;A Programs'!I21-'App2.-JC OM&amp;A Programs'!H21</f>
        <v>187185.93361670896</v>
      </c>
      <c r="I21" s="144">
        <f>'App2.-JC OM&amp;A Programs'!J21-'App2.-JC OM&amp;A Programs'!I21</f>
        <v>183483.4983004001</v>
      </c>
      <c r="J21" s="144">
        <f>'App2.-JC OM&amp;A Programs'!K21-'App2.-JC OM&amp;A Programs'!J21</f>
        <v>79038.264581599738</v>
      </c>
      <c r="K21" s="144">
        <f>'App2.-JC OM&amp;A Programs'!L21-'App2.-JC OM&amp;A Programs'!K21</f>
        <v>99694.979389960878</v>
      </c>
      <c r="L21" s="145">
        <f>'App2.-JC OM&amp;A Programs'!M21-'App2.-JC OM&amp;A Programs'!L21</f>
        <v>84916.504318019841</v>
      </c>
    </row>
    <row r="22" spans="1:12" x14ac:dyDescent="0.25">
      <c r="A22" s="125" t="s">
        <v>73</v>
      </c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5"/>
    </row>
    <row r="23" spans="1:12" x14ac:dyDescent="0.25">
      <c r="A23" s="124" t="s">
        <v>74</v>
      </c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5"/>
    </row>
    <row r="24" spans="1:12" x14ac:dyDescent="0.25">
      <c r="A24" s="124" t="s">
        <v>75</v>
      </c>
      <c r="B24" s="144">
        <f>'App2.-JC OM&amp;A Programs'!C25-'App2.-JC OM&amp;A Programs'!B25</f>
        <v>-1501872.6000719704</v>
      </c>
      <c r="C24" s="144">
        <f>'App2.-JC OM&amp;A Programs'!D25-'App2.-JC OM&amp;A Programs'!C25</f>
        <v>192905.32962601958</v>
      </c>
      <c r="D24" s="144">
        <f>'App2.-JC OM&amp;A Programs'!E25-'App2.-JC OM&amp;A Programs'!D25</f>
        <v>-277570.52972867014</v>
      </c>
      <c r="E24" s="144">
        <f>'App2.-JC OM&amp;A Programs'!F25-'App2.-JC OM&amp;A Programs'!E25</f>
        <v>564424.94529313082</v>
      </c>
      <c r="F24" s="144">
        <f>'App2.-JC OM&amp;A Programs'!G25-'App2.-JC OM&amp;A Programs'!F25</f>
        <v>-119396.61409249064</v>
      </c>
      <c r="G24" s="144">
        <f>'App2.-JC OM&amp;A Programs'!H25-'App2.-JC OM&amp;A Programs'!G25</f>
        <v>699571.59979676967</v>
      </c>
      <c r="H24" s="144">
        <f>'App2.-JC OM&amp;A Programs'!I25-'App2.-JC OM&amp;A Programs'!H25</f>
        <v>593958.24024816044</v>
      </c>
      <c r="I24" s="144">
        <f>'App2.-JC OM&amp;A Programs'!J25-'App2.-JC OM&amp;A Programs'!I25</f>
        <v>954267.65857404098</v>
      </c>
      <c r="J24" s="144">
        <f>'App2.-JC OM&amp;A Programs'!K25-'App2.-JC OM&amp;A Programs'!J25</f>
        <v>-174429.9254754195</v>
      </c>
      <c r="K24" s="144">
        <f>'App2.-JC OM&amp;A Programs'!L25-'App2.-JC OM&amp;A Programs'!K25</f>
        <v>150619.47382712737</v>
      </c>
      <c r="L24" s="145">
        <f>'App2.-JC OM&amp;A Programs'!M25-'App2.-JC OM&amp;A Programs'!L25</f>
        <v>117599.1321324911</v>
      </c>
    </row>
    <row r="25" spans="1:12" x14ac:dyDescent="0.25">
      <c r="A25" s="124" t="s">
        <v>76</v>
      </c>
      <c r="B25" s="144">
        <f>'App2.-JC OM&amp;A Programs'!C26-'App2.-JC OM&amp;A Programs'!B26</f>
        <v>64024.620000000228</v>
      </c>
      <c r="C25" s="144">
        <f>'App2.-JC OM&amp;A Programs'!D26-'App2.-JC OM&amp;A Programs'!C26</f>
        <v>-136221.42359083996</v>
      </c>
      <c r="D25" s="144">
        <f>'App2.-JC OM&amp;A Programs'!E26-'App2.-JC OM&amp;A Programs'!D26</f>
        <v>145336.8518241999</v>
      </c>
      <c r="E25" s="144">
        <f>'App2.-JC OM&amp;A Programs'!F26-'App2.-JC OM&amp;A Programs'!E26</f>
        <v>3439346.4473002194</v>
      </c>
      <c r="F25" s="144">
        <f>'App2.-JC OM&amp;A Programs'!G26-'App2.-JC OM&amp;A Programs'!F26</f>
        <v>-2658023.8396359091</v>
      </c>
      <c r="G25" s="144">
        <f>'App2.-JC OM&amp;A Programs'!H26-'App2.-JC OM&amp;A Programs'!G26</f>
        <v>64184.393788039917</v>
      </c>
      <c r="H25" s="144">
        <f>'App2.-JC OM&amp;A Programs'!I26-'App2.-JC OM&amp;A Programs'!H26</f>
        <v>405606.8325725093</v>
      </c>
      <c r="I25" s="144">
        <f>'App2.-JC OM&amp;A Programs'!J26-'App2.-JC OM&amp;A Programs'!I26</f>
        <v>54188.377268560231</v>
      </c>
      <c r="J25" s="144">
        <f>'App2.-JC OM&amp;A Programs'!K26-'App2.-JC OM&amp;A Programs'!J26</f>
        <v>95161.233525881078</v>
      </c>
      <c r="K25" s="144">
        <f>'App2.-JC OM&amp;A Programs'!L26-'App2.-JC OM&amp;A Programs'!K26</f>
        <v>158795.62858582893</v>
      </c>
      <c r="L25" s="145">
        <f>'App2.-JC OM&amp;A Programs'!M26-'App2.-JC OM&amp;A Programs'!L26</f>
        <v>53839.789625169244</v>
      </c>
    </row>
    <row r="26" spans="1:12" x14ac:dyDescent="0.25">
      <c r="A26" s="124" t="s">
        <v>77</v>
      </c>
      <c r="B26" s="144">
        <f>'App2.-JC OM&amp;A Programs'!C27-'App2.-JC OM&amp;A Programs'!B27</f>
        <v>37418.629999999655</v>
      </c>
      <c r="C26" s="144">
        <f>'App2.-JC OM&amp;A Programs'!D27-'App2.-JC OM&amp;A Programs'!C27</f>
        <v>84145.370000000345</v>
      </c>
      <c r="D26" s="144">
        <f>'App2.-JC OM&amp;A Programs'!E27-'App2.-JC OM&amp;A Programs'!D27</f>
        <v>537956.65999999968</v>
      </c>
      <c r="E26" s="144">
        <f>'App2.-JC OM&amp;A Programs'!F27-'App2.-JC OM&amp;A Programs'!E27</f>
        <v>106507.29370907973</v>
      </c>
      <c r="F26" s="144">
        <f>'App2.-JC OM&amp;A Programs'!G27-'App2.-JC OM&amp;A Programs'!F27</f>
        <v>407742.2653788696</v>
      </c>
      <c r="G26" s="144">
        <f>'App2.-JC OM&amp;A Programs'!H27-'App2.-JC OM&amp;A Programs'!G27</f>
        <v>-342992.22509374004</v>
      </c>
      <c r="H26" s="144">
        <f>'App2.-JC OM&amp;A Programs'!I27-'App2.-JC OM&amp;A Programs'!H27</f>
        <v>-162868.39079289977</v>
      </c>
      <c r="I26" s="144">
        <f>'App2.-JC OM&amp;A Programs'!J27-'App2.-JC OM&amp;A Programs'!I27</f>
        <v>89973.092071170453</v>
      </c>
      <c r="J26" s="144">
        <f>'App2.-JC OM&amp;A Programs'!K27-'App2.-JC OM&amp;A Programs'!J27</f>
        <v>54104.936726800632</v>
      </c>
      <c r="K26" s="144">
        <f>'App2.-JC OM&amp;A Programs'!L27-'App2.-JC OM&amp;A Programs'!K27</f>
        <v>63950.188172129914</v>
      </c>
      <c r="L26" s="145">
        <f>'App2.-JC OM&amp;A Programs'!M27-'App2.-JC OM&amp;A Programs'!L27</f>
        <v>58475.085934319068</v>
      </c>
    </row>
    <row r="27" spans="1:12" x14ac:dyDescent="0.25">
      <c r="A27" s="124" t="s">
        <v>78</v>
      </c>
      <c r="B27" s="144">
        <f>'App2.-JC OM&amp;A Programs'!C28-'App2.-JC OM&amp;A Programs'!B28</f>
        <v>285954.25999999954</v>
      </c>
      <c r="C27" s="144">
        <f>'App2.-JC OM&amp;A Programs'!D28-'App2.-JC OM&amp;A Programs'!C28</f>
        <v>-148443.91727263993</v>
      </c>
      <c r="D27" s="144">
        <f>'App2.-JC OM&amp;A Programs'!E28-'App2.-JC OM&amp;A Programs'!D28</f>
        <v>153103.78218472004</v>
      </c>
      <c r="E27" s="144">
        <f>'App2.-JC OM&amp;A Programs'!F28-'App2.-JC OM&amp;A Programs'!E28</f>
        <v>280147.83062153007</v>
      </c>
      <c r="F27" s="144">
        <f>'App2.-JC OM&amp;A Programs'!G28-'App2.-JC OM&amp;A Programs'!F28</f>
        <v>245170.64475478022</v>
      </c>
      <c r="G27" s="144">
        <f>'App2.-JC OM&amp;A Programs'!H28-'App2.-JC OM&amp;A Programs'!G28</f>
        <v>-80073.203655600082</v>
      </c>
      <c r="H27" s="144">
        <f>'App2.-JC OM&amp;A Programs'!I28-'App2.-JC OM&amp;A Programs'!H28</f>
        <v>201404.24890343961</v>
      </c>
      <c r="I27" s="144">
        <f>'App2.-JC OM&amp;A Programs'!J28-'App2.-JC OM&amp;A Programs'!I28</f>
        <v>716207.84906366025</v>
      </c>
      <c r="J27" s="144">
        <f>'App2.-JC OM&amp;A Programs'!K28-'App2.-JC OM&amp;A Programs'!J28</f>
        <v>132152.97370706964</v>
      </c>
      <c r="K27" s="144">
        <f>'App2.-JC OM&amp;A Programs'!L28-'App2.-JC OM&amp;A Programs'!K28</f>
        <v>73490.105598660652</v>
      </c>
      <c r="L27" s="145">
        <f>'App2.-JC OM&amp;A Programs'!M28-'App2.-JC OM&amp;A Programs'!L28</f>
        <v>234870.40905296989</v>
      </c>
    </row>
    <row r="28" spans="1:12" x14ac:dyDescent="0.25">
      <c r="A28" s="124" t="s">
        <v>79</v>
      </c>
      <c r="B28" s="144">
        <f>'App2.-JC OM&amp;A Programs'!C29-'App2.-JC OM&amp;A Programs'!B29</f>
        <v>-123816.48999999999</v>
      </c>
      <c r="C28" s="144">
        <f>'App2.-JC OM&amp;A Programs'!D29-'App2.-JC OM&amp;A Programs'!C29</f>
        <v>137466.47999999998</v>
      </c>
      <c r="D28" s="144">
        <f>'App2.-JC OM&amp;A Programs'!E29-'App2.-JC OM&amp;A Programs'!D29</f>
        <v>439203.58000000007</v>
      </c>
      <c r="E28" s="144">
        <f>'App2.-JC OM&amp;A Programs'!F29-'App2.-JC OM&amp;A Programs'!E29</f>
        <v>203174.32000000007</v>
      </c>
      <c r="F28" s="144">
        <f>'App2.-JC OM&amp;A Programs'!G29-'App2.-JC OM&amp;A Programs'!F29</f>
        <v>408839.43057032977</v>
      </c>
      <c r="G28" s="144">
        <f>'App2.-JC OM&amp;A Programs'!H29-'App2.-JC OM&amp;A Programs'!G29</f>
        <v>-200761.31368346978</v>
      </c>
      <c r="H28" s="144">
        <f>'App2.-JC OM&amp;A Programs'!I29-'App2.-JC OM&amp;A Programs'!H29</f>
        <v>82624.591321200132</v>
      </c>
      <c r="I28" s="144">
        <f>'App2.-JC OM&amp;A Programs'!J29-'App2.-JC OM&amp;A Programs'!I29</f>
        <v>42396.932002339978</v>
      </c>
      <c r="J28" s="144">
        <f>'App2.-JC OM&amp;A Programs'!K29-'App2.-JC OM&amp;A Programs'!J29</f>
        <v>218964.08769588033</v>
      </c>
      <c r="K28" s="144">
        <f>'App2.-JC OM&amp;A Programs'!L29-'App2.-JC OM&amp;A Programs'!K29</f>
        <v>48797.018271299545</v>
      </c>
      <c r="L28" s="145">
        <f>'App2.-JC OM&amp;A Programs'!M29-'App2.-JC OM&amp;A Programs'!L29</f>
        <v>47727.328157119919</v>
      </c>
    </row>
    <row r="29" spans="1:12" x14ac:dyDescent="0.25">
      <c r="A29" s="125" t="s">
        <v>80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5"/>
    </row>
    <row r="30" spans="1:12" x14ac:dyDescent="0.25">
      <c r="A30" s="124" t="s">
        <v>81</v>
      </c>
      <c r="B30" s="144">
        <f>'App2.-JC OM&amp;A Programs'!C32-'App2.-JC OM&amp;A Programs'!B32</f>
        <v>283123.38512904942</v>
      </c>
      <c r="C30" s="144">
        <f>'App2.-JC OM&amp;A Programs'!D32-'App2.-JC OM&amp;A Programs'!C32</f>
        <v>-14809.954193049576</v>
      </c>
      <c r="D30" s="144">
        <f>'App2.-JC OM&amp;A Programs'!E32-'App2.-JC OM&amp;A Programs'!D32</f>
        <v>-425834.70999999996</v>
      </c>
      <c r="E30" s="144">
        <f>'App2.-JC OM&amp;A Programs'!F32-'App2.-JC OM&amp;A Programs'!E32</f>
        <v>340320.40099144028</v>
      </c>
      <c r="F30" s="144">
        <f>'App2.-JC OM&amp;A Programs'!G32-'App2.-JC OM&amp;A Programs'!F32</f>
        <v>196735.43760897964</v>
      </c>
      <c r="G30" s="144">
        <f>'App2.-JC OM&amp;A Programs'!H32-'App2.-JC OM&amp;A Programs'!G32</f>
        <v>147858.57740155002</v>
      </c>
      <c r="H30" s="144">
        <f>'App2.-JC OM&amp;A Programs'!I32-'App2.-JC OM&amp;A Programs'!H32</f>
        <v>284004.92255776003</v>
      </c>
      <c r="I30" s="144">
        <f>'App2.-JC OM&amp;A Programs'!J32-'App2.-JC OM&amp;A Programs'!I32</f>
        <v>55650.077104459982</v>
      </c>
      <c r="J30" s="144">
        <f>'App2.-JC OM&amp;A Programs'!K32-'App2.-JC OM&amp;A Programs'!J32</f>
        <v>17647.635408239905</v>
      </c>
      <c r="K30" s="144">
        <f>'App2.-JC OM&amp;A Programs'!L32-'App2.-JC OM&amp;A Programs'!K32</f>
        <v>-9348.1244605402462</v>
      </c>
      <c r="L30" s="145">
        <f>'App2.-JC OM&amp;A Programs'!M32-'App2.-JC OM&amp;A Programs'!L32</f>
        <v>-10234.782019599807</v>
      </c>
    </row>
    <row r="31" spans="1:12" x14ac:dyDescent="0.25">
      <c r="A31" s="124" t="s">
        <v>82</v>
      </c>
      <c r="B31" s="144">
        <f>'App2.-JC OM&amp;A Programs'!C33-'App2.-JC OM&amp;A Programs'!B33</f>
        <v>173939.3199999989</v>
      </c>
      <c r="C31" s="144">
        <f>'App2.-JC OM&amp;A Programs'!D33-'App2.-JC OM&amp;A Programs'!C33</f>
        <v>570015.37000000151</v>
      </c>
      <c r="D31" s="144">
        <f>'App2.-JC OM&amp;A Programs'!E33-'App2.-JC OM&amp;A Programs'!D33</f>
        <v>679174.91999999899</v>
      </c>
      <c r="E31" s="144">
        <f>'App2.-JC OM&amp;A Programs'!F33-'App2.-JC OM&amp;A Programs'!E33</f>
        <v>377030.92773444112</v>
      </c>
      <c r="F31" s="144">
        <f>'App2.-JC OM&amp;A Programs'!G33-'App2.-JC OM&amp;A Programs'!F33</f>
        <v>286534.2460123077</v>
      </c>
      <c r="G31" s="144">
        <f>'App2.-JC OM&amp;A Programs'!H33-'App2.-JC OM&amp;A Programs'!G33</f>
        <v>288539.26571094152</v>
      </c>
      <c r="H31" s="144">
        <f>'App2.-JC OM&amp;A Programs'!I33-'App2.-JC OM&amp;A Programs'!H33</f>
        <v>251525.71117927134</v>
      </c>
      <c r="I31" s="144">
        <f>'App2.-JC OM&amp;A Programs'!J33-'App2.-JC OM&amp;A Programs'!I33</f>
        <v>6605.7066736798733</v>
      </c>
      <c r="J31" s="144">
        <f>'App2.-JC OM&amp;A Programs'!K33-'App2.-JC OM&amp;A Programs'!J33</f>
        <v>120498.25736846961</v>
      </c>
      <c r="K31" s="144">
        <f>'App2.-JC OM&amp;A Programs'!L33-'App2.-JC OM&amp;A Programs'!K33</f>
        <v>146533.89909619745</v>
      </c>
      <c r="L31" s="145">
        <f>'App2.-JC OM&amp;A Programs'!M33-'App2.-JC OM&amp;A Programs'!L33</f>
        <v>131440.66604816075</v>
      </c>
    </row>
    <row r="32" spans="1:12" x14ac:dyDescent="0.25">
      <c r="A32" s="124" t="s">
        <v>83</v>
      </c>
      <c r="B32" s="144">
        <f>'App2.-JC OM&amp;A Programs'!C34-'App2.-JC OM&amp;A Programs'!B34</f>
        <v>-1110449.2841930497</v>
      </c>
      <c r="C32" s="144">
        <f>'App2.-JC OM&amp;A Programs'!D34-'App2.-JC OM&amp;A Programs'!C34</f>
        <v>-920446.51580695063</v>
      </c>
      <c r="D32" s="144">
        <f>'App2.-JC OM&amp;A Programs'!E34-'App2.-JC OM&amp;A Programs'!D34</f>
        <v>-35238.739999999525</v>
      </c>
      <c r="E32" s="144">
        <f>'App2.-JC OM&amp;A Programs'!F34-'App2.-JC OM&amp;A Programs'!E34</f>
        <v>515054.70145094977</v>
      </c>
      <c r="F32" s="144">
        <f>'App2.-JC OM&amp;A Programs'!G34-'App2.-JC OM&amp;A Programs'!F34</f>
        <v>415121.21684222948</v>
      </c>
      <c r="G32" s="144">
        <f>'App2.-JC OM&amp;A Programs'!H34-'App2.-JC OM&amp;A Programs'!G34</f>
        <v>226030.72879261058</v>
      </c>
      <c r="H32" s="144">
        <f>'App2.-JC OM&amp;A Programs'!I34-'App2.-JC OM&amp;A Programs'!H34</f>
        <v>59065.890908439644</v>
      </c>
      <c r="I32" s="144">
        <f>'App2.-JC OM&amp;A Programs'!J34-'App2.-JC OM&amp;A Programs'!I34</f>
        <v>137572.90919398051</v>
      </c>
      <c r="J32" s="144">
        <f>'App2.-JC OM&amp;A Programs'!K34-'App2.-JC OM&amp;A Programs'!J34</f>
        <v>207596.66739952983</v>
      </c>
      <c r="K32" s="144">
        <f>'App2.-JC OM&amp;A Programs'!L34-'App2.-JC OM&amp;A Programs'!K34</f>
        <v>-55441.71939914953</v>
      </c>
      <c r="L32" s="145">
        <f>'App2.-JC OM&amp;A Programs'!M34-'App2.-JC OM&amp;A Programs'!L34</f>
        <v>76708.175700219814</v>
      </c>
    </row>
    <row r="33" spans="1:12" x14ac:dyDescent="0.25">
      <c r="A33" s="124" t="s">
        <v>84</v>
      </c>
      <c r="B33" s="144">
        <f>'App2.-JC OM&amp;A Programs'!C35-'App2.-JC OM&amp;A Programs'!B35</f>
        <v>-155139.06999999937</v>
      </c>
      <c r="C33" s="144">
        <f>'App2.-JC OM&amp;A Programs'!D35-'App2.-JC OM&amp;A Programs'!C35</f>
        <v>-266010.38999999966</v>
      </c>
      <c r="D33" s="144">
        <f>'App2.-JC OM&amp;A Programs'!E35-'App2.-JC OM&amp;A Programs'!D35</f>
        <v>-86574.600000000559</v>
      </c>
      <c r="E33" s="144">
        <f>'App2.-JC OM&amp;A Programs'!F35-'App2.-JC OM&amp;A Programs'!E35</f>
        <v>105816.02000000002</v>
      </c>
      <c r="F33" s="144">
        <f>'App2.-JC OM&amp;A Programs'!G35-'App2.-JC OM&amp;A Programs'!F35</f>
        <v>370305.43112790957</v>
      </c>
      <c r="G33" s="144">
        <f>'App2.-JC OM&amp;A Programs'!H35-'App2.-JC OM&amp;A Programs'!G35</f>
        <v>16377.679371050559</v>
      </c>
      <c r="H33" s="144">
        <f>'App2.-JC OM&amp;A Programs'!I35-'App2.-JC OM&amp;A Programs'!H35</f>
        <v>197100.92613786925</v>
      </c>
      <c r="I33" s="144">
        <f>'App2.-JC OM&amp;A Programs'!J35-'App2.-JC OM&amp;A Programs'!I35</f>
        <v>1703056.689797611</v>
      </c>
      <c r="J33" s="144">
        <f>'App2.-JC OM&amp;A Programs'!K35-'App2.-JC OM&amp;A Programs'!J35</f>
        <v>-672859.29512835015</v>
      </c>
      <c r="K33" s="144">
        <f>'App2.-JC OM&amp;A Programs'!L35-'App2.-JC OM&amp;A Programs'!K35</f>
        <v>90541.004428229295</v>
      </c>
      <c r="L33" s="145">
        <f>'App2.-JC OM&amp;A Programs'!M35-'App2.-JC OM&amp;A Programs'!L35</f>
        <v>82252.72065848019</v>
      </c>
    </row>
    <row r="34" spans="1:12" x14ac:dyDescent="0.25">
      <c r="A34" s="120" t="s">
        <v>85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2"/>
    </row>
    <row r="35" spans="1:12" x14ac:dyDescent="0.25">
      <c r="A35" s="124" t="s">
        <v>86</v>
      </c>
      <c r="B35" s="144">
        <f>'App2.-JC OM&amp;A Programs'!C38-'App2.-JC OM&amp;A Programs'!B38</f>
        <v>524632.86999999965</v>
      </c>
      <c r="C35" s="144">
        <f>'App2.-JC OM&amp;A Programs'!D38-'App2.-JC OM&amp;A Programs'!C38</f>
        <v>869826.10000000009</v>
      </c>
      <c r="D35" s="144">
        <f>'App2.-JC OM&amp;A Programs'!E38-'App2.-JC OM&amp;A Programs'!D38</f>
        <v>737512.30999999959</v>
      </c>
      <c r="E35" s="144">
        <f>'App2.-JC OM&amp;A Programs'!F38-'App2.-JC OM&amp;A Programs'!E38</f>
        <v>356100.22471415158</v>
      </c>
      <c r="F35" s="144">
        <f>'App2.-JC OM&amp;A Programs'!G38-'App2.-JC OM&amp;A Programs'!F38</f>
        <v>1555769.109423846</v>
      </c>
      <c r="G35" s="144">
        <f>'App2.-JC OM&amp;A Programs'!H38-'App2.-JC OM&amp;A Programs'!G38</f>
        <v>-25672.439842946827</v>
      </c>
      <c r="H35" s="144">
        <f>'App2.-JC OM&amp;A Programs'!I38-'App2.-JC OM&amp;A Programs'!H38</f>
        <v>5287298.7838965915</v>
      </c>
      <c r="I35" s="144">
        <f>'App2.-JC OM&amp;A Programs'!J38-'App2.-JC OM&amp;A Programs'!I38</f>
        <v>768121.94942199998</v>
      </c>
      <c r="J35" s="144">
        <f>'App2.-JC OM&amp;A Programs'!K38-'App2.-JC OM&amp;A Programs'!J38</f>
        <v>-393566.1505379118</v>
      </c>
      <c r="K35" s="144">
        <f>'App2.-JC OM&amp;A Programs'!L38-'App2.-JC OM&amp;A Programs'!K38</f>
        <v>311946.06224695966</v>
      </c>
      <c r="L35" s="145">
        <f>'App2.-JC OM&amp;A Programs'!M38-'App2.-JC OM&amp;A Programs'!L38</f>
        <v>444436.15982841142</v>
      </c>
    </row>
    <row r="36" spans="1:12" x14ac:dyDescent="0.25">
      <c r="A36" s="124" t="s">
        <v>87</v>
      </c>
      <c r="B36" s="144">
        <f>'App2.-JC OM&amp;A Programs'!C39-'App2.-JC OM&amp;A Programs'!B39</f>
        <v>1008146.3000000005</v>
      </c>
      <c r="C36" s="144">
        <f>'App2.-JC OM&amp;A Programs'!D39-'App2.-JC OM&amp;A Programs'!C39</f>
        <v>-27141.52000000095</v>
      </c>
      <c r="D36" s="144">
        <f>'App2.-JC OM&amp;A Programs'!E39-'App2.-JC OM&amp;A Programs'!D39</f>
        <v>1023498.7499999981</v>
      </c>
      <c r="E36" s="144">
        <f>'App2.-JC OM&amp;A Programs'!F39-'App2.-JC OM&amp;A Programs'!E39</f>
        <v>778624.85329245217</v>
      </c>
      <c r="F36" s="144">
        <f>'App2.-JC OM&amp;A Programs'!G39-'App2.-JC OM&amp;A Programs'!F39</f>
        <v>632620.41161793098</v>
      </c>
      <c r="G36" s="144">
        <f>'App2.-JC OM&amp;A Programs'!H39-'App2.-JC OM&amp;A Programs'!G39</f>
        <v>637103.583577401</v>
      </c>
      <c r="H36" s="144">
        <f>'App2.-JC OM&amp;A Programs'!I39-'App2.-JC OM&amp;A Programs'!H39</f>
        <v>713900.17433522642</v>
      </c>
      <c r="I36" s="144">
        <f>'App2.-JC OM&amp;A Programs'!J39-'App2.-JC OM&amp;A Programs'!I39</f>
        <v>277514.18898406066</v>
      </c>
      <c r="J36" s="144">
        <f>'App2.-JC OM&amp;A Programs'!K39-'App2.-JC OM&amp;A Programs'!J39</f>
        <v>213032.60504062939</v>
      </c>
      <c r="K36" s="144">
        <f>'App2.-JC OM&amp;A Programs'!L39-'App2.-JC OM&amp;A Programs'!K39</f>
        <v>200257.76064563915</v>
      </c>
      <c r="L36" s="145">
        <f>'App2.-JC OM&amp;A Programs'!M39-'App2.-JC OM&amp;A Programs'!L39</f>
        <v>168573.40574624389</v>
      </c>
    </row>
    <row r="37" spans="1:12" x14ac:dyDescent="0.25">
      <c r="A37" s="124" t="s">
        <v>88</v>
      </c>
      <c r="B37" s="144">
        <f>'App2.-JC OM&amp;A Programs'!C40-'App2.-JC OM&amp;A Programs'!B40</f>
        <v>242711.71999995224</v>
      </c>
      <c r="C37" s="144">
        <f>'App2.-JC OM&amp;A Programs'!D40-'App2.-JC OM&amp;A Programs'!C40</f>
        <v>250438.74000000767</v>
      </c>
      <c r="D37" s="144">
        <f>'App2.-JC OM&amp;A Programs'!E40-'App2.-JC OM&amp;A Programs'!D40</f>
        <v>-401857.54999999981</v>
      </c>
      <c r="E37" s="144">
        <f>'App2.-JC OM&amp;A Programs'!F40-'App2.-JC OM&amp;A Programs'!E40</f>
        <v>66321.932762845419</v>
      </c>
      <c r="F37" s="144">
        <f>'App2.-JC OM&amp;A Programs'!G40-'App2.-JC OM&amp;A Programs'!F40</f>
        <v>530900.6979547143</v>
      </c>
      <c r="G37" s="144">
        <f>'App2.-JC OM&amp;A Programs'!H40-'App2.-JC OM&amp;A Programs'!G40</f>
        <v>572129.09632346034</v>
      </c>
      <c r="H37" s="144">
        <f>'App2.-JC OM&amp;A Programs'!I40-'App2.-JC OM&amp;A Programs'!H40</f>
        <v>556959.20839181915</v>
      </c>
      <c r="I37" s="144">
        <f>'App2.-JC OM&amp;A Programs'!J40-'App2.-JC OM&amp;A Programs'!I40</f>
        <v>288261.85196204856</v>
      </c>
      <c r="J37" s="144">
        <f>'App2.-JC OM&amp;A Programs'!K40-'App2.-JC OM&amp;A Programs'!J40</f>
        <v>437645.83508262411</v>
      </c>
      <c r="K37" s="144">
        <f>'App2.-JC OM&amp;A Programs'!L40-'App2.-JC OM&amp;A Programs'!K40</f>
        <v>357261.78928447887</v>
      </c>
      <c r="L37" s="145">
        <f>'App2.-JC OM&amp;A Programs'!M40-'App2.-JC OM&amp;A Programs'!L40</f>
        <v>144245.05138898268</v>
      </c>
    </row>
    <row r="38" spans="1:12" x14ac:dyDescent="0.25">
      <c r="A38" s="124" t="s">
        <v>89</v>
      </c>
      <c r="B38" s="144">
        <f>'App2.-JC OM&amp;A Programs'!C41-'App2.-JC OM&amp;A Programs'!B41</f>
        <v>-984842.68086399976</v>
      </c>
      <c r="C38" s="144">
        <f>'App2.-JC OM&amp;A Programs'!D41-'App2.-JC OM&amp;A Programs'!C41</f>
        <v>531706.29</v>
      </c>
      <c r="D38" s="144">
        <f>'App2.-JC OM&amp;A Programs'!E41-'App2.-JC OM&amp;A Programs'!D41</f>
        <v>-97800.909999999916</v>
      </c>
      <c r="E38" s="144">
        <f>'App2.-JC OM&amp;A Programs'!F41-'App2.-JC OM&amp;A Programs'!E41</f>
        <v>-48769.651679160073</v>
      </c>
      <c r="F38" s="144">
        <f>'App2.-JC OM&amp;A Programs'!G41-'App2.-JC OM&amp;A Programs'!F41</f>
        <v>-118067.17611559993</v>
      </c>
      <c r="G38" s="144">
        <f>'App2.-JC OM&amp;A Programs'!H41-'App2.-JC OM&amp;A Programs'!G41</f>
        <v>212138.99781798013</v>
      </c>
      <c r="H38" s="144">
        <f>'App2.-JC OM&amp;A Programs'!I41-'App2.-JC OM&amp;A Programs'!H41</f>
        <v>917239.42960199993</v>
      </c>
      <c r="I38" s="144">
        <f>'App2.-JC OM&amp;A Programs'!J41-'App2.-JC OM&amp;A Programs'!I41</f>
        <v>99874.971171270125</v>
      </c>
      <c r="J38" s="144">
        <f>'App2.-JC OM&amp;A Programs'!K41-'App2.-JC OM&amp;A Programs'!J41</f>
        <v>82251.509266109671</v>
      </c>
      <c r="K38" s="144">
        <f>'App2.-JC OM&amp;A Programs'!L41-'App2.-JC OM&amp;A Programs'!K41</f>
        <v>88511.191070360132</v>
      </c>
      <c r="L38" s="145">
        <f>'App2.-JC OM&amp;A Programs'!M41-'App2.-JC OM&amp;A Programs'!L41</f>
        <v>90351.308161930181</v>
      </c>
    </row>
    <row r="39" spans="1:12" x14ac:dyDescent="0.25">
      <c r="A39" s="124" t="s">
        <v>90</v>
      </c>
      <c r="B39" s="144">
        <f>'App2.-JC OM&amp;A Programs'!C42-'App2.-JC OM&amp;A Programs'!B42</f>
        <v>137524.30999999982</v>
      </c>
      <c r="C39" s="144">
        <f>'App2.-JC OM&amp;A Programs'!D42-'App2.-JC OM&amp;A Programs'!C42</f>
        <v>-176626.92999999993</v>
      </c>
      <c r="D39" s="144">
        <f>'App2.-JC OM&amp;A Programs'!E42-'App2.-JC OM&amp;A Programs'!D42</f>
        <v>1675426.1900000002</v>
      </c>
      <c r="E39" s="144">
        <f>'App2.-JC OM&amp;A Programs'!F42-'App2.-JC OM&amp;A Programs'!E42</f>
        <v>-430785.38626039075</v>
      </c>
      <c r="F39" s="144">
        <f>'App2.-JC OM&amp;A Programs'!G42-'App2.-JC OM&amp;A Programs'!F42</f>
        <v>56962.497243610211</v>
      </c>
      <c r="G39" s="144">
        <f>'App2.-JC OM&amp;A Programs'!H42-'App2.-JC OM&amp;A Programs'!G42</f>
        <v>423769.67094204063</v>
      </c>
      <c r="H39" s="144">
        <f>'App2.-JC OM&amp;A Programs'!I42-'App2.-JC OM&amp;A Programs'!H42</f>
        <v>1480261.3864897294</v>
      </c>
      <c r="I39" s="144">
        <f>'App2.-JC OM&amp;A Programs'!J42-'App2.-JC OM&amp;A Programs'!I42</f>
        <v>283024.16373806074</v>
      </c>
      <c r="J39" s="144">
        <f>'App2.-JC OM&amp;A Programs'!K42-'App2.-JC OM&amp;A Programs'!J42</f>
        <v>59578.560558339581</v>
      </c>
      <c r="K39" s="144">
        <f>'App2.-JC OM&amp;A Programs'!L42-'App2.-JC OM&amp;A Programs'!K42</f>
        <v>69676.681572850794</v>
      </c>
      <c r="L39" s="145">
        <f>'App2.-JC OM&amp;A Programs'!M42-'App2.-JC OM&amp;A Programs'!L42</f>
        <v>64334.750137689523</v>
      </c>
    </row>
    <row r="40" spans="1:12" x14ac:dyDescent="0.25">
      <c r="A40" s="124" t="s">
        <v>91</v>
      </c>
      <c r="B40" s="144">
        <f>'App2.-JC OM&amp;A Programs'!C43-'App2.-JC OM&amp;A Programs'!B43</f>
        <v>502162.63</v>
      </c>
      <c r="C40" s="144">
        <f>'App2.-JC OM&amp;A Programs'!D43-'App2.-JC OM&amp;A Programs'!C43</f>
        <v>506974.53999999992</v>
      </c>
      <c r="D40" s="144">
        <f>'App2.-JC OM&amp;A Programs'!E43-'App2.-JC OM&amp;A Programs'!D43</f>
        <v>-200467.55000000005</v>
      </c>
      <c r="E40" s="144">
        <f>'App2.-JC OM&amp;A Programs'!F43-'App2.-JC OM&amp;A Programs'!E43</f>
        <v>127906.61746119009</v>
      </c>
      <c r="F40" s="144">
        <f>'App2.-JC OM&amp;A Programs'!G43-'App2.-JC OM&amp;A Programs'!F43</f>
        <v>117475.29311053012</v>
      </c>
      <c r="G40" s="144">
        <f>'App2.-JC OM&amp;A Programs'!H43-'App2.-JC OM&amp;A Programs'!G43</f>
        <v>52761.493819809752</v>
      </c>
      <c r="H40" s="144">
        <f>'App2.-JC OM&amp;A Programs'!I43-'App2.-JC OM&amp;A Programs'!H43</f>
        <v>197657.8984146202</v>
      </c>
      <c r="I40" s="144">
        <f>'App2.-JC OM&amp;A Programs'!J43-'App2.-JC OM&amp;A Programs'!I43</f>
        <v>227921.8204239998</v>
      </c>
      <c r="J40" s="144">
        <f>'App2.-JC OM&amp;A Programs'!K43-'App2.-JC OM&amp;A Programs'!J43</f>
        <v>245266.0137214798</v>
      </c>
      <c r="K40" s="144">
        <f>'App2.-JC OM&amp;A Programs'!L43-'App2.-JC OM&amp;A Programs'!K43</f>
        <v>54430.276108180173</v>
      </c>
      <c r="L40" s="145">
        <f>'App2.-JC OM&amp;A Programs'!M43-'App2.-JC OM&amp;A Programs'!L43</f>
        <v>50171.252833750099</v>
      </c>
    </row>
    <row r="41" spans="1:12" x14ac:dyDescent="0.25">
      <c r="A41" s="124" t="s">
        <v>92</v>
      </c>
      <c r="B41" s="144">
        <f>'App2.-JC OM&amp;A Programs'!C44-'App2.-JC OM&amp;A Programs'!B44</f>
        <v>475395.39999999944</v>
      </c>
      <c r="C41" s="144">
        <f>'App2.-JC OM&amp;A Programs'!D44-'App2.-JC OM&amp;A Programs'!C44</f>
        <v>394438.87999999989</v>
      </c>
      <c r="D41" s="144">
        <f>'App2.-JC OM&amp;A Programs'!E44-'App2.-JC OM&amp;A Programs'!D44</f>
        <v>152975.30000000028</v>
      </c>
      <c r="E41" s="144">
        <f>'App2.-JC OM&amp;A Programs'!F44-'App2.-JC OM&amp;A Programs'!E44</f>
        <v>-39771.154422740452</v>
      </c>
      <c r="F41" s="144">
        <f>'App2.-JC OM&amp;A Programs'!G44-'App2.-JC OM&amp;A Programs'!F44</f>
        <v>1434968.3941011704</v>
      </c>
      <c r="G41" s="144">
        <f>'App2.-JC OM&amp;A Programs'!H44-'App2.-JC OM&amp;A Programs'!G44</f>
        <v>921505.78354654927</v>
      </c>
      <c r="H41" s="144">
        <f>'App2.-JC OM&amp;A Programs'!I44-'App2.-JC OM&amp;A Programs'!H44</f>
        <v>995209.45533331111</v>
      </c>
      <c r="I41" s="144">
        <f>'App2.-JC OM&amp;A Programs'!J44-'App2.-JC OM&amp;A Programs'!I44</f>
        <v>495038.31849683914</v>
      </c>
      <c r="J41" s="144">
        <f>'App2.-JC OM&amp;A Programs'!K44-'App2.-JC OM&amp;A Programs'!J44</f>
        <v>939434.92839803174</v>
      </c>
      <c r="K41" s="144">
        <f>'App2.-JC OM&amp;A Programs'!L44-'App2.-JC OM&amp;A Programs'!K44</f>
        <v>393123.56280895788</v>
      </c>
      <c r="L41" s="145">
        <f>'App2.-JC OM&amp;A Programs'!M44-'App2.-JC OM&amp;A Programs'!L44</f>
        <v>411739.73690587096</v>
      </c>
    </row>
    <row r="42" spans="1:12" x14ac:dyDescent="0.25">
      <c r="A42" s="125" t="s">
        <v>93</v>
      </c>
      <c r="B42" s="121"/>
      <c r="C42" s="121"/>
      <c r="D42" s="121"/>
      <c r="E42" s="121"/>
      <c r="F42" s="121"/>
      <c r="G42" s="121"/>
      <c r="H42" s="123"/>
      <c r="I42" s="123"/>
      <c r="J42" s="123"/>
      <c r="K42" s="123"/>
      <c r="L42" s="122"/>
    </row>
    <row r="43" spans="1:12" x14ac:dyDescent="0.25">
      <c r="A43" s="124" t="s">
        <v>94</v>
      </c>
      <c r="B43" s="121">
        <f>'App2.-JC OM&amp;A Programs'!C47-'App2.-JC OM&amp;A Programs'!B47</f>
        <v>0</v>
      </c>
      <c r="C43" s="121">
        <f>'App2.-JC OM&amp;A Programs'!D47-'App2.-JC OM&amp;A Programs'!C47</f>
        <v>0</v>
      </c>
      <c r="D43" s="121">
        <f>'App2.-JC OM&amp;A Programs'!E47-'App2.-JC OM&amp;A Programs'!D47</f>
        <v>-1570875.11</v>
      </c>
      <c r="E43" s="121">
        <f>'App2.-JC OM&amp;A Programs'!F47-'App2.-JC OM&amp;A Programs'!E47</f>
        <v>-316086.73</v>
      </c>
      <c r="F43" s="121">
        <f>'App2.-JC OM&amp;A Programs'!G47-'App2.-JC OM&amp;A Programs'!F47</f>
        <v>-408839.15999999992</v>
      </c>
      <c r="G43" s="121">
        <f>'App2.-JC OM&amp;A Programs'!H47-'App2.-JC OM&amp;A Programs'!G47</f>
        <v>200761</v>
      </c>
      <c r="H43" s="121">
        <f>'App2.-JC OM&amp;A Programs'!I47-'App2.-JC OM&amp;A Programs'!H47</f>
        <v>2095040</v>
      </c>
      <c r="I43" s="121">
        <f>'App2.-JC OM&amp;A Programs'!J47-'App2.-JC OM&amp;A Programs'!I47</f>
        <v>0</v>
      </c>
      <c r="J43" s="121">
        <f>'App2.-JC OM&amp;A Programs'!K47-'App2.-JC OM&amp;A Programs'!J47</f>
        <v>0</v>
      </c>
      <c r="K43" s="121">
        <f>'App2.-JC OM&amp;A Programs'!L47-'App2.-JC OM&amp;A Programs'!K47</f>
        <v>0</v>
      </c>
      <c r="L43" s="122">
        <f>'App2.-JC OM&amp;A Programs'!M47-'App2.-JC OM&amp;A Programs'!L47</f>
        <v>0</v>
      </c>
    </row>
    <row r="44" spans="1:12" x14ac:dyDescent="0.25">
      <c r="A44" s="124" t="s">
        <v>95</v>
      </c>
      <c r="B44" s="121">
        <f>'App2.-JC OM&amp;A Programs'!C48-'App2.-JC OM&amp;A Programs'!B48</f>
        <v>110071.57</v>
      </c>
      <c r="C44" s="121">
        <f>'App2.-JC OM&amp;A Programs'!D48-'App2.-JC OM&amp;A Programs'!C48</f>
        <v>-65915.400000000023</v>
      </c>
      <c r="D44" s="121">
        <f>'App2.-JC OM&amp;A Programs'!E48-'App2.-JC OM&amp;A Programs'!D48</f>
        <v>-90952.04999999993</v>
      </c>
      <c r="E44" s="121">
        <f>'App2.-JC OM&amp;A Programs'!F48-'App2.-JC OM&amp;A Programs'!E48</f>
        <v>-529871.75000000012</v>
      </c>
      <c r="F44" s="121">
        <f>'App2.-JC OM&amp;A Programs'!G48-'App2.-JC OM&amp;A Programs'!F48</f>
        <v>671505.81995999999</v>
      </c>
      <c r="G44" s="121">
        <f>'App2.-JC OM&amp;A Programs'!H48-'App2.-JC OM&amp;A Programs'!G48</f>
        <v>-448413.99995999999</v>
      </c>
      <c r="H44" s="121">
        <f>'App2.-JC OM&amp;A Programs'!I48-'App2.-JC OM&amp;A Programs'!H48</f>
        <v>673988</v>
      </c>
      <c r="I44" s="121">
        <f>'App2.-JC OM&amp;A Programs'!J48-'App2.-JC OM&amp;A Programs'!I48</f>
        <v>0</v>
      </c>
      <c r="J44" s="121">
        <f>'App2.-JC OM&amp;A Programs'!K48-'App2.-JC OM&amp;A Programs'!J48</f>
        <v>0</v>
      </c>
      <c r="K44" s="121">
        <f>'App2.-JC OM&amp;A Programs'!L48-'App2.-JC OM&amp;A Programs'!K48</f>
        <v>0</v>
      </c>
      <c r="L44" s="122">
        <f>'App2.-JC OM&amp;A Programs'!M48-'App2.-JC OM&amp;A Programs'!L48</f>
        <v>0</v>
      </c>
    </row>
    <row r="45" spans="1:12" x14ac:dyDescent="0.25">
      <c r="A45" s="124"/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2"/>
    </row>
    <row r="46" spans="1:12" x14ac:dyDescent="0.25">
      <c r="A46" s="124"/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2"/>
    </row>
    <row r="47" spans="1:12" x14ac:dyDescent="0.25">
      <c r="A47" s="124"/>
      <c r="B47" s="121"/>
      <c r="C47" s="121"/>
      <c r="D47" s="121"/>
      <c r="E47" s="121"/>
      <c r="F47" s="121"/>
      <c r="G47" s="121"/>
      <c r="H47" s="121"/>
      <c r="I47" s="121"/>
      <c r="J47" s="121"/>
      <c r="K47" s="121"/>
      <c r="L47" s="122"/>
    </row>
    <row r="48" spans="1:12" ht="15.75" thickBot="1" x14ac:dyDescent="0.3">
      <c r="A48" s="126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9"/>
    </row>
    <row r="49" spans="1:16" ht="16.5" thickTop="1" thickBot="1" x14ac:dyDescent="0.3">
      <c r="A49" s="93" t="str">
        <f>"Closing Balance"&amp;CHAR(178)</f>
        <v>Closing Balance²</v>
      </c>
      <c r="B49" s="94">
        <f>SUM(B15:B48)</f>
        <v>42915708.359999999</v>
      </c>
      <c r="C49" s="94">
        <f t="shared" ref="C49:L49" si="2">SUM(C15:C48)</f>
        <v>44918464.31000001</v>
      </c>
      <c r="D49" s="94">
        <f t="shared" si="2"/>
        <v>46662196.330000013</v>
      </c>
      <c r="E49" s="94">
        <f t="shared" si="2"/>
        <v>53600375.600000031</v>
      </c>
      <c r="F49" s="94">
        <f t="shared" si="2"/>
        <v>58168908.286637284</v>
      </c>
      <c r="G49" s="94">
        <f t="shared" si="2"/>
        <v>61811044.423211321</v>
      </c>
      <c r="H49" s="94">
        <f t="shared" si="2"/>
        <v>77255145.437281772</v>
      </c>
      <c r="I49" s="94">
        <f t="shared" si="2"/>
        <v>84053080.663708195</v>
      </c>
      <c r="J49" s="94">
        <f t="shared" si="2"/>
        <v>86004007.853667527</v>
      </c>
      <c r="K49" s="94">
        <f t="shared" si="2"/>
        <v>88445941.734491259</v>
      </c>
      <c r="L49" s="95">
        <f t="shared" si="2"/>
        <v>90839061.086750224</v>
      </c>
    </row>
    <row r="52" spans="1:16" x14ac:dyDescent="0.25">
      <c r="A52" s="115" t="s">
        <v>57</v>
      </c>
    </row>
    <row r="53" spans="1:16" x14ac:dyDescent="0.25">
      <c r="A53" s="96"/>
    </row>
    <row r="54" spans="1:16" x14ac:dyDescent="0.25">
      <c r="A54" s="97">
        <v>1</v>
      </c>
      <c r="B54" s="178" t="s">
        <v>135</v>
      </c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</row>
    <row r="55" spans="1:16" x14ac:dyDescent="0.25">
      <c r="A55" s="147">
        <v>2</v>
      </c>
      <c r="B55" s="149" t="s">
        <v>96</v>
      </c>
      <c r="C55" s="165"/>
      <c r="D55" s="165"/>
      <c r="E55" s="165"/>
      <c r="F55" s="165"/>
      <c r="G55" s="165"/>
      <c r="H55" s="148"/>
      <c r="I55" s="148"/>
      <c r="J55" s="148"/>
      <c r="K55" s="148"/>
    </row>
    <row r="56" spans="1:16" x14ac:dyDescent="0.25">
      <c r="A56" s="97"/>
      <c r="B56" s="164"/>
      <c r="C56" s="164"/>
      <c r="D56" s="164"/>
      <c r="E56" s="164"/>
      <c r="F56" s="164"/>
      <c r="G56" s="164"/>
    </row>
    <row r="57" spans="1:16" x14ac:dyDescent="0.25">
      <c r="A57" s="97"/>
      <c r="B57" s="164"/>
      <c r="C57" s="164"/>
      <c r="D57" s="164"/>
      <c r="E57" s="164"/>
      <c r="F57" s="164"/>
      <c r="G57" s="164"/>
    </row>
    <row r="58" spans="1:16" x14ac:dyDescent="0.25">
      <c r="A58" s="97"/>
      <c r="B58" s="164"/>
      <c r="C58" s="164"/>
      <c r="D58" s="164"/>
      <c r="E58" s="164"/>
      <c r="F58" s="164"/>
      <c r="G58" s="164"/>
    </row>
    <row r="59" spans="1:16" x14ac:dyDescent="0.25">
      <c r="B59" s="164"/>
      <c r="C59" s="164"/>
      <c r="D59" s="164"/>
      <c r="E59" s="164"/>
      <c r="F59" s="164"/>
      <c r="G59" s="164"/>
    </row>
    <row r="60" spans="1:16" x14ac:dyDescent="0.25">
      <c r="B60" s="164"/>
      <c r="C60" s="164"/>
      <c r="D60" s="164"/>
      <c r="E60" s="164"/>
      <c r="F60" s="164"/>
      <c r="G60" s="164"/>
    </row>
    <row r="61" spans="1:16" x14ac:dyDescent="0.25">
      <c r="C61" s="164"/>
      <c r="D61" s="164"/>
      <c r="E61" s="164"/>
      <c r="F61" s="164"/>
      <c r="G61" s="164"/>
    </row>
  </sheetData>
  <mergeCells count="3">
    <mergeCell ref="A10:F10"/>
    <mergeCell ref="A11:F11"/>
    <mergeCell ref="B54:P54"/>
  </mergeCells>
  <dataValidations count="2">
    <dataValidation allowBlank="1" showInputMessage="1" showErrorMessage="1" promptTitle="Date Format" prompt="E.g:  &quot;August 1, 2011&quot;" sqref="G7" xr:uid="{4E32879E-58A7-4580-9AB8-B1FF8F681A66}"/>
    <dataValidation type="list" allowBlank="1" showInputMessage="1" showErrorMessage="1" sqref="B14:L14" xr:uid="{77CC7804-7CBC-4DB6-A8C1-D726B73D07BD}">
      <formula1>"CGAAP, MIFRS, USGAAP, ASPE"</formula1>
    </dataValidation>
  </dataValidations>
  <pageMargins left="0.7" right="0.7" top="0.75" bottom="0.75" header="0.3" footer="0.3"/>
  <ignoredErrors>
    <ignoredError sqref="B15" formula="1"/>
    <ignoredError sqref="B17 B18:D1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446BF-008B-4010-B743-BAED08F1C093}">
  <dimension ref="A1:AJ59"/>
  <sheetViews>
    <sheetView workbookViewId="0">
      <selection activeCell="B19" sqref="B19"/>
    </sheetView>
  </sheetViews>
  <sheetFormatPr defaultColWidth="9.42578125" defaultRowHeight="15" x14ac:dyDescent="0.25"/>
  <cols>
    <col min="1" max="1" width="44" style="107" customWidth="1"/>
    <col min="2" max="3" width="14.42578125" style="107" customWidth="1"/>
    <col min="4" max="4" width="13.42578125" style="107" customWidth="1"/>
    <col min="5" max="7" width="14.85546875" style="107" bestFit="1" customWidth="1"/>
    <col min="8" max="8" width="13.42578125" style="107" customWidth="1"/>
    <col min="9" max="9" width="16.5703125" style="107" customWidth="1"/>
    <col min="10" max="13" width="16.42578125" style="107" customWidth="1"/>
    <col min="14" max="15" width="14.85546875" style="107" bestFit="1" customWidth="1"/>
    <col min="16" max="16" width="95.140625" style="107" bestFit="1" customWidth="1"/>
    <col min="17" max="16384" width="9.42578125" style="107"/>
  </cols>
  <sheetData>
    <row r="1" spans="1:25" s="82" customFormat="1" x14ac:dyDescent="0.25">
      <c r="A1" s="98" t="s">
        <v>97</v>
      </c>
      <c r="H1" s="99" t="s">
        <v>0</v>
      </c>
      <c r="I1" s="3" t="s">
        <v>134</v>
      </c>
    </row>
    <row r="2" spans="1:25" s="82" customFormat="1" x14ac:dyDescent="0.25">
      <c r="H2" s="99" t="s">
        <v>3</v>
      </c>
      <c r="I2" s="130">
        <v>4</v>
      </c>
    </row>
    <row r="3" spans="1:25" s="82" customFormat="1" x14ac:dyDescent="0.25">
      <c r="H3" s="99" t="s">
        <v>5</v>
      </c>
      <c r="I3" s="130">
        <v>1</v>
      </c>
    </row>
    <row r="4" spans="1:25" s="82" customFormat="1" x14ac:dyDescent="0.25">
      <c r="H4" s="99" t="s">
        <v>7</v>
      </c>
      <c r="I4" s="130">
        <v>1</v>
      </c>
    </row>
    <row r="5" spans="1:25" s="82" customFormat="1" x14ac:dyDescent="0.25">
      <c r="H5" s="99" t="s">
        <v>10</v>
      </c>
      <c r="I5" s="131"/>
    </row>
    <row r="6" spans="1:25" s="82" customFormat="1" x14ac:dyDescent="0.25">
      <c r="H6" s="99"/>
      <c r="I6" s="84"/>
    </row>
    <row r="7" spans="1:25" s="82" customFormat="1" x14ac:dyDescent="0.25">
      <c r="H7" s="99" t="s">
        <v>14</v>
      </c>
      <c r="I7" s="172">
        <v>46010</v>
      </c>
    </row>
    <row r="8" spans="1:25" s="82" customFormat="1" x14ac:dyDescent="0.25"/>
    <row r="9" spans="1:25" s="82" customFormat="1" ht="18" x14ac:dyDescent="0.25">
      <c r="A9" s="179" t="s">
        <v>98</v>
      </c>
      <c r="B9" s="179"/>
      <c r="C9" s="179"/>
      <c r="D9" s="179"/>
      <c r="E9" s="179"/>
      <c r="F9" s="179"/>
      <c r="G9" s="179"/>
      <c r="H9" s="179"/>
      <c r="I9" s="143"/>
    </row>
    <row r="10" spans="1:25" s="82" customFormat="1" ht="18" x14ac:dyDescent="0.25">
      <c r="A10" s="179" t="s">
        <v>99</v>
      </c>
      <c r="B10" s="179"/>
      <c r="C10" s="179"/>
      <c r="D10" s="179"/>
      <c r="E10" s="179"/>
      <c r="F10" s="179"/>
      <c r="G10" s="179"/>
      <c r="H10" s="179"/>
      <c r="I10" s="100"/>
    </row>
    <row r="11" spans="1:25" s="82" customFormat="1" x14ac:dyDescent="0.25"/>
    <row r="12" spans="1:25" s="103" customFormat="1" ht="13.5" thickBot="1" x14ac:dyDescent="0.25">
      <c r="A12" s="101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</row>
    <row r="13" spans="1:25" ht="69" customHeight="1" thickBot="1" x14ac:dyDescent="0.3">
      <c r="A13" s="104" t="s">
        <v>100</v>
      </c>
      <c r="B13" s="105" t="s">
        <v>101</v>
      </c>
      <c r="C13" s="105" t="s">
        <v>102</v>
      </c>
      <c r="D13" s="105" t="s">
        <v>103</v>
      </c>
      <c r="E13" s="105" t="s">
        <v>104</v>
      </c>
      <c r="F13" s="105" t="s">
        <v>105</v>
      </c>
      <c r="G13" s="105" t="s">
        <v>106</v>
      </c>
      <c r="H13" s="105" t="s">
        <v>20</v>
      </c>
      <c r="I13" s="105" t="s">
        <v>21</v>
      </c>
      <c r="J13" s="12">
        <v>2028</v>
      </c>
      <c r="K13" s="12">
        <v>2029</v>
      </c>
      <c r="L13" s="12">
        <v>2030</v>
      </c>
      <c r="M13" s="12">
        <v>2031</v>
      </c>
      <c r="N13" s="106" t="str">
        <f>"Variance 
(Test Year vs. " &amp; F13 &amp;")"</f>
        <v>Variance 
(Test Year vs. 2024 Actuals)</v>
      </c>
      <c r="O13" s="106" t="str">
        <f>"Variance 
(Test Year vs. 2020 Actuals)"</f>
        <v>Variance 
(Test Year vs. 2020 Actuals)</v>
      </c>
      <c r="P13" s="166" t="s">
        <v>110</v>
      </c>
    </row>
    <row r="14" spans="1:25" ht="15.75" thickBot="1" x14ac:dyDescent="0.3">
      <c r="A14" s="108" t="s">
        <v>26</v>
      </c>
      <c r="B14" s="137" t="s">
        <v>27</v>
      </c>
      <c r="C14" s="137" t="s">
        <v>27</v>
      </c>
      <c r="D14" s="137" t="s">
        <v>27</v>
      </c>
      <c r="E14" s="137" t="s">
        <v>27</v>
      </c>
      <c r="F14" s="137" t="s">
        <v>27</v>
      </c>
      <c r="G14" s="137" t="s">
        <v>27</v>
      </c>
      <c r="H14" s="137" t="s">
        <v>27</v>
      </c>
      <c r="I14" s="137" t="s">
        <v>27</v>
      </c>
      <c r="J14" s="137" t="s">
        <v>27</v>
      </c>
      <c r="K14" s="137" t="s">
        <v>27</v>
      </c>
      <c r="L14" s="137" t="s">
        <v>27</v>
      </c>
      <c r="M14" s="137" t="s">
        <v>27</v>
      </c>
      <c r="N14" s="109"/>
      <c r="O14" s="110"/>
      <c r="P14" s="111"/>
    </row>
    <row r="15" spans="1:25" ht="14.1" customHeight="1" x14ac:dyDescent="0.25">
      <c r="A15" s="134" t="s">
        <v>67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2"/>
      <c r="O15" s="152"/>
      <c r="P15" s="111"/>
    </row>
    <row r="16" spans="1:25" x14ac:dyDescent="0.25">
      <c r="A16" s="133" t="s">
        <v>68</v>
      </c>
      <c r="B16" s="127">
        <v>455299.95410658</v>
      </c>
      <c r="C16" s="127">
        <v>460182.24652776</v>
      </c>
      <c r="D16" s="127">
        <v>565315.08342487004</v>
      </c>
      <c r="E16" s="127">
        <v>465381.24191287998</v>
      </c>
      <c r="F16" s="127">
        <v>954392.24570608989</v>
      </c>
      <c r="G16" s="127">
        <v>1025917.5755115201</v>
      </c>
      <c r="H16" s="127">
        <v>1119198.55447809</v>
      </c>
      <c r="I16" s="127">
        <v>1528264.5336887999</v>
      </c>
      <c r="J16" s="127">
        <v>1671882.4689599401</v>
      </c>
      <c r="K16" s="127">
        <v>1731531.9806090801</v>
      </c>
      <c r="L16" s="127">
        <v>1816609.8525084604</v>
      </c>
      <c r="M16" s="127">
        <v>1855695.9272523101</v>
      </c>
      <c r="N16" s="152">
        <f>I16-F16</f>
        <v>573872.28798271006</v>
      </c>
      <c r="O16" s="152">
        <f>I16-B16</f>
        <v>1072964.5795822199</v>
      </c>
      <c r="P16" s="167" t="s">
        <v>111</v>
      </c>
      <c r="Q16"/>
      <c r="R16"/>
      <c r="S16"/>
      <c r="T16"/>
      <c r="U16"/>
      <c r="V16"/>
      <c r="W16"/>
      <c r="X16"/>
      <c r="Y16"/>
    </row>
    <row r="17" spans="1:36" x14ac:dyDescent="0.25">
      <c r="A17" s="133" t="s">
        <v>69</v>
      </c>
      <c r="B17" s="127">
        <v>1007312.1658934201</v>
      </c>
      <c r="C17" s="127">
        <v>1064753.1634722401</v>
      </c>
      <c r="D17" s="127">
        <v>935358.08781258995</v>
      </c>
      <c r="E17" s="127">
        <v>821205.95029015001</v>
      </c>
      <c r="F17" s="127">
        <v>889274.32715884992</v>
      </c>
      <c r="G17" s="127">
        <v>847673.60340748006</v>
      </c>
      <c r="H17" s="127">
        <v>892117.39200581005</v>
      </c>
      <c r="I17" s="127">
        <v>1079244.8894969299</v>
      </c>
      <c r="J17" s="127">
        <v>1172126.3654197198</v>
      </c>
      <c r="K17" s="127">
        <v>1230762.2886216699</v>
      </c>
      <c r="L17" s="127">
        <v>1262598.31254447</v>
      </c>
      <c r="M17" s="127">
        <v>1291715.31649867</v>
      </c>
      <c r="N17" s="152">
        <f>I17-F17</f>
        <v>189970.56233808002</v>
      </c>
      <c r="O17" s="152">
        <f>I17-B17</f>
        <v>71932.723603509832</v>
      </c>
      <c r="P17" s="167" t="s">
        <v>112</v>
      </c>
    </row>
    <row r="18" spans="1:36" x14ac:dyDescent="0.25">
      <c r="A18" s="113" t="s">
        <v>107</v>
      </c>
      <c r="B18" s="155">
        <f t="shared" ref="B18:M18" si="0">SUM(B16:B17)</f>
        <v>1462612.12</v>
      </c>
      <c r="C18" s="155">
        <f t="shared" si="0"/>
        <v>1524935.4100000001</v>
      </c>
      <c r="D18" s="155">
        <f t="shared" si="0"/>
        <v>1500673.1712374599</v>
      </c>
      <c r="E18" s="155">
        <f t="shared" si="0"/>
        <v>1286587.19220303</v>
      </c>
      <c r="F18" s="155">
        <f t="shared" si="0"/>
        <v>1843666.5728649399</v>
      </c>
      <c r="G18" s="155">
        <f t="shared" si="0"/>
        <v>1873591.1789190001</v>
      </c>
      <c r="H18" s="155">
        <f t="shared" si="0"/>
        <v>2011315.9464839001</v>
      </c>
      <c r="I18" s="155">
        <f t="shared" si="0"/>
        <v>2607509.4231857299</v>
      </c>
      <c r="J18" s="155">
        <f t="shared" si="0"/>
        <v>2844008.83437966</v>
      </c>
      <c r="K18" s="155">
        <f t="shared" si="0"/>
        <v>2962294.2692307499</v>
      </c>
      <c r="L18" s="155">
        <f t="shared" si="0"/>
        <v>3079208.1650529304</v>
      </c>
      <c r="M18" s="155">
        <f t="shared" si="0"/>
        <v>3147411.2437509801</v>
      </c>
      <c r="N18" s="152">
        <f>I18-F18</f>
        <v>763842.85032078996</v>
      </c>
      <c r="O18" s="152">
        <f>I18-B18</f>
        <v>1144897.3031857298</v>
      </c>
      <c r="P18" s="111"/>
      <c r="S18" s="169"/>
    </row>
    <row r="19" spans="1:36" x14ac:dyDescent="0.25">
      <c r="A19" s="134" t="s">
        <v>70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2"/>
      <c r="O19" s="152"/>
      <c r="P19" s="111"/>
      <c r="S19" s="169"/>
    </row>
    <row r="20" spans="1:36" x14ac:dyDescent="0.25">
      <c r="A20" s="133" t="s">
        <v>71</v>
      </c>
      <c r="B20" s="127">
        <v>1753640.7170376398</v>
      </c>
      <c r="C20" s="127">
        <v>1937195.4412009497</v>
      </c>
      <c r="D20" s="127">
        <v>2175972.5757670505</v>
      </c>
      <c r="E20" s="127">
        <v>1968837.98075353</v>
      </c>
      <c r="F20" s="127">
        <v>2382422.2723225397</v>
      </c>
      <c r="G20" s="127">
        <v>2949200.0858859695</v>
      </c>
      <c r="H20" s="127">
        <v>2868094.164672629</v>
      </c>
      <c r="I20" s="127">
        <v>2698838.4589254805</v>
      </c>
      <c r="J20" s="127">
        <v>2877114.2199097699</v>
      </c>
      <c r="K20" s="127">
        <v>3048237.8376790099</v>
      </c>
      <c r="L20" s="127">
        <v>3130418.045433389</v>
      </c>
      <c r="M20" s="127">
        <v>3203887.6243840698</v>
      </c>
      <c r="N20" s="152">
        <f>I20-F20</f>
        <v>316416.18660294078</v>
      </c>
      <c r="O20" s="152">
        <f>I20-B20</f>
        <v>945197.74188784068</v>
      </c>
      <c r="P20" s="111" t="s">
        <v>113</v>
      </c>
    </row>
    <row r="21" spans="1:36" x14ac:dyDescent="0.25">
      <c r="A21" s="133" t="s">
        <v>72</v>
      </c>
      <c r="B21" s="127">
        <v>2761216.7329623303</v>
      </c>
      <c r="C21" s="127">
        <v>3157925.7287990488</v>
      </c>
      <c r="D21" s="127">
        <v>3163865.7342329496</v>
      </c>
      <c r="E21" s="127">
        <v>2971801.7340006493</v>
      </c>
      <c r="F21" s="127">
        <v>3043825.4888005992</v>
      </c>
      <c r="G21" s="127">
        <v>2989331.64995716</v>
      </c>
      <c r="H21" s="127">
        <v>3210030.2515271907</v>
      </c>
      <c r="I21" s="127">
        <v>3397216.1851438996</v>
      </c>
      <c r="J21" s="127">
        <v>3580699.6834442997</v>
      </c>
      <c r="K21" s="127">
        <v>3659737.9480258995</v>
      </c>
      <c r="L21" s="127">
        <v>3759432.9274158604</v>
      </c>
      <c r="M21" s="127">
        <v>3844349.4317338802</v>
      </c>
      <c r="N21" s="152">
        <f>I21-F21</f>
        <v>353390.6963433004</v>
      </c>
      <c r="O21" s="152">
        <f>I21-B21</f>
        <v>635999.4521815693</v>
      </c>
      <c r="P21" s="111" t="s">
        <v>114</v>
      </c>
    </row>
    <row r="22" spans="1:36" x14ac:dyDescent="0.25">
      <c r="A22" s="113" t="s">
        <v>107</v>
      </c>
      <c r="B22" s="155">
        <f t="shared" ref="B22:M22" si="1">SUM(B20:B21)</f>
        <v>4514857.4499999704</v>
      </c>
      <c r="C22" s="155">
        <f t="shared" si="1"/>
        <v>5095121.1699999981</v>
      </c>
      <c r="D22" s="155">
        <f t="shared" si="1"/>
        <v>5339838.3100000005</v>
      </c>
      <c r="E22" s="155">
        <f t="shared" si="1"/>
        <v>4940639.7147541791</v>
      </c>
      <c r="F22" s="155">
        <f t="shared" si="1"/>
        <v>5426247.7611231394</v>
      </c>
      <c r="G22" s="155">
        <f t="shared" si="1"/>
        <v>5938531.7358431295</v>
      </c>
      <c r="H22" s="155">
        <f t="shared" si="1"/>
        <v>6078124.4161998201</v>
      </c>
      <c r="I22" s="155">
        <f t="shared" si="1"/>
        <v>6096054.6440693801</v>
      </c>
      <c r="J22" s="155">
        <f t="shared" si="1"/>
        <v>6457813.9033540692</v>
      </c>
      <c r="K22" s="155">
        <f t="shared" si="1"/>
        <v>6707975.7857049089</v>
      </c>
      <c r="L22" s="155">
        <f t="shared" si="1"/>
        <v>6889850.9728492498</v>
      </c>
      <c r="M22" s="155">
        <f t="shared" si="1"/>
        <v>7048237.05611795</v>
      </c>
      <c r="N22" s="152">
        <f>I22-F22</f>
        <v>669806.88294624072</v>
      </c>
      <c r="O22" s="152">
        <f>I22-B22</f>
        <v>1581197.1940694097</v>
      </c>
      <c r="P22" s="111"/>
    </row>
    <row r="23" spans="1:36" x14ac:dyDescent="0.25">
      <c r="A23" s="134" t="s">
        <v>73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2"/>
      <c r="O23" s="152"/>
      <c r="P23" s="111"/>
    </row>
    <row r="24" spans="1:36" x14ac:dyDescent="0.25">
      <c r="A24" s="133" t="s">
        <v>74</v>
      </c>
      <c r="B24" s="127">
        <v>4754124.5500719696</v>
      </c>
      <c r="C24" s="127">
        <v>3316276.57</v>
      </c>
      <c r="D24" s="127">
        <v>3372960.4760351796</v>
      </c>
      <c r="E24" s="127">
        <v>3240726.7981307092</v>
      </c>
      <c r="F24" s="127">
        <v>7244498.1907240599</v>
      </c>
      <c r="G24" s="127">
        <v>4467077.7369956598</v>
      </c>
      <c r="H24" s="127">
        <v>5230833.7305804696</v>
      </c>
      <c r="I24" s="127">
        <v>6230398.8034011386</v>
      </c>
      <c r="J24" s="127">
        <v>7238854.8392437398</v>
      </c>
      <c r="K24" s="127">
        <v>7159586.1472942019</v>
      </c>
      <c r="L24" s="127">
        <v>7469001.2497071587</v>
      </c>
      <c r="M24" s="127">
        <v>7640440.1714648185</v>
      </c>
      <c r="N24" s="152">
        <f>I24-F24</f>
        <v>-1014099.3873229213</v>
      </c>
      <c r="O24" s="152">
        <f t="shared" ref="O24:O29" si="2">I24-B24</f>
        <v>1476274.253329169</v>
      </c>
      <c r="P24" s="111"/>
    </row>
    <row r="25" spans="1:36" x14ac:dyDescent="0.25">
      <c r="A25" s="112" t="s">
        <v>75</v>
      </c>
      <c r="B25" s="156">
        <v>3798293.5600719703</v>
      </c>
      <c r="C25" s="156">
        <v>2296420.96</v>
      </c>
      <c r="D25" s="156">
        <v>2489326.2896260195</v>
      </c>
      <c r="E25" s="156">
        <v>2211755.7598973494</v>
      </c>
      <c r="F25" s="156">
        <v>2776180.7051904802</v>
      </c>
      <c r="G25" s="156">
        <v>2656784.0910979896</v>
      </c>
      <c r="H25" s="156">
        <v>3356355.6908947593</v>
      </c>
      <c r="I25" s="156">
        <v>3950313.9311429197</v>
      </c>
      <c r="J25" s="156">
        <v>4904581.5897169607</v>
      </c>
      <c r="K25" s="156">
        <v>4730151.6642415412</v>
      </c>
      <c r="L25" s="156">
        <v>4880771.1380686685</v>
      </c>
      <c r="M25" s="156">
        <v>4998370.2702011596</v>
      </c>
      <c r="N25" s="152">
        <f>I25-F25</f>
        <v>1174133.2259524395</v>
      </c>
      <c r="O25" s="152">
        <f t="shared" si="2"/>
        <v>152020.37107094936</v>
      </c>
      <c r="P25" s="170" t="s">
        <v>115</v>
      </c>
      <c r="Q25"/>
      <c r="R25" s="168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6" x14ac:dyDescent="0.25">
      <c r="A26" s="112" t="s">
        <v>76</v>
      </c>
      <c r="B26" s="156">
        <v>955830.98999999976</v>
      </c>
      <c r="C26" s="156">
        <v>1019855.61</v>
      </c>
      <c r="D26" s="156">
        <v>883634.18640916003</v>
      </c>
      <c r="E26" s="156">
        <v>1028971.0382333599</v>
      </c>
      <c r="F26" s="156">
        <v>4468317.4855335793</v>
      </c>
      <c r="G26" s="156">
        <v>1810293.6458976702</v>
      </c>
      <c r="H26" s="156">
        <v>1874478.0396857101</v>
      </c>
      <c r="I26" s="156">
        <v>2280084.8722582194</v>
      </c>
      <c r="J26" s="156">
        <v>2334273.2495267796</v>
      </c>
      <c r="K26" s="156">
        <v>2429434.4830526607</v>
      </c>
      <c r="L26" s="156">
        <v>2588230.1116384896</v>
      </c>
      <c r="M26" s="156">
        <v>2642069.9012636589</v>
      </c>
      <c r="N26" s="152">
        <f>I26-F26</f>
        <v>-2188232.6132753599</v>
      </c>
      <c r="O26" s="152">
        <f t="shared" si="2"/>
        <v>1324253.8822582196</v>
      </c>
      <c r="P26" s="170" t="s">
        <v>119</v>
      </c>
      <c r="R26" s="169"/>
    </row>
    <row r="27" spans="1:36" x14ac:dyDescent="0.25">
      <c r="A27" s="133" t="s">
        <v>77</v>
      </c>
      <c r="B27" s="127">
        <v>1657866.9400000004</v>
      </c>
      <c r="C27" s="127">
        <v>1695285.57</v>
      </c>
      <c r="D27" s="127">
        <v>1779430.9400000004</v>
      </c>
      <c r="E27" s="127">
        <v>2317387.6</v>
      </c>
      <c r="F27" s="127">
        <v>2423894.8937090798</v>
      </c>
      <c r="G27" s="127">
        <v>2831637.1590879494</v>
      </c>
      <c r="H27" s="127">
        <v>2488644.9339942094</v>
      </c>
      <c r="I27" s="127">
        <v>2325776.5432013096</v>
      </c>
      <c r="J27" s="127">
        <v>2415749.6352724801</v>
      </c>
      <c r="K27" s="127">
        <v>2469854.5719992807</v>
      </c>
      <c r="L27" s="127">
        <v>2533804.7601714106</v>
      </c>
      <c r="M27" s="127">
        <v>2592279.8461057297</v>
      </c>
      <c r="N27" s="152">
        <f>I27-F27</f>
        <v>-98118.350507770199</v>
      </c>
      <c r="O27" s="152">
        <f t="shared" si="2"/>
        <v>667909.60320130922</v>
      </c>
      <c r="P27" s="167" t="s">
        <v>116</v>
      </c>
      <c r="Q27"/>
      <c r="R27"/>
      <c r="S27"/>
      <c r="T27"/>
      <c r="U27"/>
      <c r="V27"/>
      <c r="W27"/>
      <c r="X27"/>
      <c r="Y27"/>
      <c r="Z27"/>
    </row>
    <row r="28" spans="1:36" x14ac:dyDescent="0.25">
      <c r="A28" s="133" t="s">
        <v>78</v>
      </c>
      <c r="B28" s="127">
        <v>1034940.0000000002</v>
      </c>
      <c r="C28" s="127">
        <v>1320894.2599999998</v>
      </c>
      <c r="D28" s="127">
        <v>1172450.3427273598</v>
      </c>
      <c r="E28" s="127">
        <v>1325554.1249120799</v>
      </c>
      <c r="F28" s="127">
        <v>1605701.95553361</v>
      </c>
      <c r="G28" s="127">
        <v>1850872.6002883902</v>
      </c>
      <c r="H28" s="127">
        <v>1770799.3966327901</v>
      </c>
      <c r="I28" s="127">
        <v>1972203.6455362297</v>
      </c>
      <c r="J28" s="127">
        <v>2688411.49459989</v>
      </c>
      <c r="K28" s="127">
        <v>2820564.4683069596</v>
      </c>
      <c r="L28" s="127">
        <v>2894054.5739056203</v>
      </c>
      <c r="M28" s="127">
        <v>3128924.9829585901</v>
      </c>
      <c r="N28" s="152">
        <f>I28-F28</f>
        <v>366501.69000261975</v>
      </c>
      <c r="O28" s="152">
        <f t="shared" si="2"/>
        <v>937263.64553622948</v>
      </c>
      <c r="P28" s="111" t="s">
        <v>117</v>
      </c>
    </row>
    <row r="29" spans="1:36" x14ac:dyDescent="0.25">
      <c r="A29" s="133" t="s">
        <v>79</v>
      </c>
      <c r="B29" s="127">
        <v>1230933.95</v>
      </c>
      <c r="C29" s="127">
        <v>1107117.46</v>
      </c>
      <c r="D29" s="127">
        <v>1244583.94</v>
      </c>
      <c r="E29" s="127">
        <v>1683787.52</v>
      </c>
      <c r="F29" s="127">
        <v>1886961.84</v>
      </c>
      <c r="G29" s="127">
        <v>2295801.2705703299</v>
      </c>
      <c r="H29" s="127">
        <v>2095039.9568868601</v>
      </c>
      <c r="I29" s="127">
        <v>2177664.5482080602</v>
      </c>
      <c r="J29" s="127">
        <v>2220061.4802104002</v>
      </c>
      <c r="K29" s="127">
        <v>2439025.5679062805</v>
      </c>
      <c r="L29" s="127">
        <v>2487822.5861775801</v>
      </c>
      <c r="M29" s="127">
        <v>2535549.9143347</v>
      </c>
      <c r="N29" s="152">
        <f t="shared" ref="N29" si="3">I29-F29</f>
        <v>290702.70820806012</v>
      </c>
      <c r="O29" s="152">
        <f t="shared" si="2"/>
        <v>946730.59820806026</v>
      </c>
      <c r="P29" s="111" t="s">
        <v>118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</row>
    <row r="30" spans="1:36" x14ac:dyDescent="0.25">
      <c r="A30" s="113" t="s">
        <v>107</v>
      </c>
      <c r="B30" s="155">
        <f>B24+SUM(B27:B29)</f>
        <v>8677865.4400719702</v>
      </c>
      <c r="C30" s="155">
        <f t="shared" ref="C30:N30" si="4">C24+SUM(C27:C29)</f>
        <v>7439573.8599999994</v>
      </c>
      <c r="D30" s="155">
        <f t="shared" si="4"/>
        <v>7569425.6987625398</v>
      </c>
      <c r="E30" s="155">
        <f t="shared" si="4"/>
        <v>8567456.0430427901</v>
      </c>
      <c r="F30" s="155">
        <f t="shared" si="4"/>
        <v>13161056.879966751</v>
      </c>
      <c r="G30" s="155">
        <f t="shared" si="4"/>
        <v>11445388.76694233</v>
      </c>
      <c r="H30" s="155">
        <f t="shared" si="4"/>
        <v>11585318.018094329</v>
      </c>
      <c r="I30" s="155">
        <f t="shared" si="4"/>
        <v>12706043.540346738</v>
      </c>
      <c r="J30" s="155">
        <f t="shared" si="4"/>
        <v>14563077.449326511</v>
      </c>
      <c r="K30" s="155">
        <f t="shared" si="4"/>
        <v>14889030.755506724</v>
      </c>
      <c r="L30" s="155">
        <f t="shared" si="4"/>
        <v>15384683.169961769</v>
      </c>
      <c r="M30" s="155">
        <f t="shared" si="4"/>
        <v>15897194.91486384</v>
      </c>
      <c r="N30" s="155">
        <f t="shared" si="4"/>
        <v>-455013.33962001163</v>
      </c>
      <c r="O30" s="157">
        <f t="shared" ref="O30" si="5">I30-B30</f>
        <v>4028178.1002747677</v>
      </c>
      <c r="P30" s="111"/>
    </row>
    <row r="31" spans="1:36" x14ac:dyDescent="0.25">
      <c r="A31" s="134" t="s">
        <v>80</v>
      </c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2"/>
      <c r="O31" s="152"/>
      <c r="P31" s="111"/>
    </row>
    <row r="32" spans="1:36" x14ac:dyDescent="0.25">
      <c r="A32" s="133" t="s">
        <v>81</v>
      </c>
      <c r="B32" s="127">
        <v>3185232.9390640003</v>
      </c>
      <c r="C32" s="127">
        <v>3468356.3241930497</v>
      </c>
      <c r="D32" s="127">
        <v>3453546.37</v>
      </c>
      <c r="E32" s="127">
        <v>3027711.66</v>
      </c>
      <c r="F32" s="127">
        <v>3368032.0609914404</v>
      </c>
      <c r="G32" s="127">
        <v>3564767.4986004201</v>
      </c>
      <c r="H32" s="127">
        <v>3712626.0760019701</v>
      </c>
      <c r="I32" s="121">
        <v>3996630.9985597301</v>
      </c>
      <c r="J32" s="121">
        <v>4052281.0756641901</v>
      </c>
      <c r="K32" s="121">
        <v>4069928.71107243</v>
      </c>
      <c r="L32" s="121">
        <v>4060580.5866118898</v>
      </c>
      <c r="M32" s="121">
        <v>4050345.80459229</v>
      </c>
      <c r="N32" s="152">
        <f>I32-F32</f>
        <v>628598.93756828969</v>
      </c>
      <c r="O32" s="152">
        <f>I32-B32</f>
        <v>811398.05949572986</v>
      </c>
      <c r="P32" s="111" t="s">
        <v>120</v>
      </c>
    </row>
    <row r="33" spans="1:16" x14ac:dyDescent="0.25">
      <c r="A33" s="133" t="s">
        <v>82</v>
      </c>
      <c r="B33" s="127">
        <v>2771222.0700000003</v>
      </c>
      <c r="C33" s="127">
        <v>2945161.3899999992</v>
      </c>
      <c r="D33" s="127">
        <v>3515176.7600000007</v>
      </c>
      <c r="E33" s="127">
        <v>4194351.68</v>
      </c>
      <c r="F33" s="127">
        <v>4571382.6077344408</v>
      </c>
      <c r="G33" s="127">
        <v>4857916.8537467485</v>
      </c>
      <c r="H33" s="127">
        <v>5146456.11945769</v>
      </c>
      <c r="I33" s="121">
        <v>5397981.8306369614</v>
      </c>
      <c r="J33" s="121">
        <v>5404587.5373106413</v>
      </c>
      <c r="K33" s="121">
        <v>5525085.7946791109</v>
      </c>
      <c r="L33" s="121">
        <v>5671619.6937753083</v>
      </c>
      <c r="M33" s="121">
        <v>5803060.3598234691</v>
      </c>
      <c r="N33" s="152">
        <f>I33-F33</f>
        <v>826599.22290252056</v>
      </c>
      <c r="O33" s="152">
        <f>I33-B33</f>
        <v>2626759.7606369611</v>
      </c>
      <c r="P33" s="111" t="s">
        <v>121</v>
      </c>
    </row>
    <row r="34" spans="1:16" x14ac:dyDescent="0.25">
      <c r="A34" s="133" t="s">
        <v>83</v>
      </c>
      <c r="B34" s="127">
        <v>4143077.69</v>
      </c>
      <c r="C34" s="127">
        <v>3032628.4058069503</v>
      </c>
      <c r="D34" s="127">
        <v>2112181.8899999997</v>
      </c>
      <c r="E34" s="127">
        <v>2076943.1500000001</v>
      </c>
      <c r="F34" s="127">
        <v>2591997.8514509499</v>
      </c>
      <c r="G34" s="127">
        <v>3007119.0682931794</v>
      </c>
      <c r="H34" s="127">
        <v>3233149.79708579</v>
      </c>
      <c r="I34" s="121">
        <v>3292215.6879942296</v>
      </c>
      <c r="J34" s="121">
        <v>3429788.5971882101</v>
      </c>
      <c r="K34" s="121">
        <v>3637385.2645877399</v>
      </c>
      <c r="L34" s="121">
        <v>3581943.5451885904</v>
      </c>
      <c r="M34" s="121">
        <v>3658651.7208888102</v>
      </c>
      <c r="N34" s="152">
        <f>I34-F34</f>
        <v>700217.8365432797</v>
      </c>
      <c r="O34" s="152">
        <f>I34-B34</f>
        <v>-850862.00200577034</v>
      </c>
      <c r="P34" s="111" t="s">
        <v>122</v>
      </c>
    </row>
    <row r="35" spans="1:16" x14ac:dyDescent="0.25">
      <c r="A35" s="133" t="s">
        <v>84</v>
      </c>
      <c r="B35" s="127">
        <v>3363366.8699999996</v>
      </c>
      <c r="C35" s="127">
        <v>3208227.8000000003</v>
      </c>
      <c r="D35" s="127">
        <v>2942217.4100000006</v>
      </c>
      <c r="E35" s="127">
        <v>2855642.81</v>
      </c>
      <c r="F35" s="127">
        <v>2961458.83</v>
      </c>
      <c r="G35" s="127">
        <v>3331764.2611279096</v>
      </c>
      <c r="H35" s="127">
        <v>3348141.9404989602</v>
      </c>
      <c r="I35" s="121">
        <v>3545242.8666368295</v>
      </c>
      <c r="J35" s="121">
        <v>5248299.5564344404</v>
      </c>
      <c r="K35" s="121">
        <v>4575440.2613060903</v>
      </c>
      <c r="L35" s="121">
        <v>4665981.2657343196</v>
      </c>
      <c r="M35" s="121">
        <v>4748233.9863927998</v>
      </c>
      <c r="N35" s="152">
        <f>I35-F35</f>
        <v>583784.03663682938</v>
      </c>
      <c r="O35" s="152">
        <f>I35-B35</f>
        <v>181875.9966368298</v>
      </c>
      <c r="P35" s="111" t="s">
        <v>123</v>
      </c>
    </row>
    <row r="36" spans="1:16" x14ac:dyDescent="0.25">
      <c r="A36" s="113" t="s">
        <v>107</v>
      </c>
      <c r="B36" s="155">
        <f t="shared" ref="B36:M36" si="6">SUM(B32:B35)</f>
        <v>13462899.569063999</v>
      </c>
      <c r="C36" s="155">
        <f t="shared" si="6"/>
        <v>12654373.92</v>
      </c>
      <c r="D36" s="155">
        <f t="shared" si="6"/>
        <v>12023122.43</v>
      </c>
      <c r="E36" s="155">
        <f t="shared" si="6"/>
        <v>12154649.300000001</v>
      </c>
      <c r="F36" s="155">
        <f t="shared" si="6"/>
        <v>13492871.350176832</v>
      </c>
      <c r="G36" s="155">
        <f t="shared" si="6"/>
        <v>14761567.681768259</v>
      </c>
      <c r="H36" s="155">
        <f t="shared" si="6"/>
        <v>15440373.933044411</v>
      </c>
      <c r="I36" s="155">
        <f t="shared" si="6"/>
        <v>16232071.383827752</v>
      </c>
      <c r="J36" s="155">
        <f t="shared" si="6"/>
        <v>18134956.766597483</v>
      </c>
      <c r="K36" s="155">
        <f t="shared" si="6"/>
        <v>17807840.031645373</v>
      </c>
      <c r="L36" s="155">
        <f t="shared" si="6"/>
        <v>17980125.09131011</v>
      </c>
      <c r="M36" s="155">
        <f t="shared" si="6"/>
        <v>18260291.871697366</v>
      </c>
      <c r="N36" s="152">
        <f>I36-F36</f>
        <v>2739200.0336509198</v>
      </c>
      <c r="O36" s="152">
        <f>I36-B36</f>
        <v>2769171.8147637527</v>
      </c>
      <c r="P36" s="111"/>
    </row>
    <row r="37" spans="1:16" x14ac:dyDescent="0.25">
      <c r="A37" s="132" t="s">
        <v>85</v>
      </c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11"/>
    </row>
    <row r="38" spans="1:16" x14ac:dyDescent="0.25">
      <c r="A38" s="133" t="s">
        <v>86</v>
      </c>
      <c r="B38" s="127">
        <v>2781693.12</v>
      </c>
      <c r="C38" s="127">
        <v>3306325.9899999998</v>
      </c>
      <c r="D38" s="127">
        <v>4176152.09</v>
      </c>
      <c r="E38" s="127">
        <v>4913664.3999999994</v>
      </c>
      <c r="F38" s="127">
        <v>5269764.624714151</v>
      </c>
      <c r="G38" s="127">
        <v>6825533.734137997</v>
      </c>
      <c r="H38" s="127">
        <v>6799861.2942950502</v>
      </c>
      <c r="I38" s="121">
        <v>12087160.078191642</v>
      </c>
      <c r="J38" s="121">
        <v>12855282.027613642</v>
      </c>
      <c r="K38" s="121">
        <v>12461715.87707573</v>
      </c>
      <c r="L38" s="121">
        <v>12773661.93932269</v>
      </c>
      <c r="M38" s="121">
        <v>13218098.099151101</v>
      </c>
      <c r="N38" s="152">
        <f>I38-F38</f>
        <v>6817395.4534774907</v>
      </c>
      <c r="O38" s="152">
        <f>I38-B38</f>
        <v>9305466.9581916407</v>
      </c>
      <c r="P38" s="111" t="s">
        <v>124</v>
      </c>
    </row>
    <row r="39" spans="1:16" x14ac:dyDescent="0.25">
      <c r="A39" s="133" t="s">
        <v>87</v>
      </c>
      <c r="B39" s="127">
        <v>2094589.5400000007</v>
      </c>
      <c r="C39" s="127">
        <v>3102735.8400000012</v>
      </c>
      <c r="D39" s="127">
        <v>3075594.3200000003</v>
      </c>
      <c r="E39" s="127">
        <v>4099093.0699999984</v>
      </c>
      <c r="F39" s="127">
        <v>4877717.9232924506</v>
      </c>
      <c r="G39" s="127">
        <v>5510338.3349103816</v>
      </c>
      <c r="H39" s="127">
        <v>6147441.9184877826</v>
      </c>
      <c r="I39" s="121">
        <v>6861342.092823009</v>
      </c>
      <c r="J39" s="121">
        <v>7138856.2818070697</v>
      </c>
      <c r="K39" s="121">
        <v>7351888.8868476991</v>
      </c>
      <c r="L39" s="121">
        <v>7552146.6474933382</v>
      </c>
      <c r="M39" s="121">
        <v>7720720.0532395821</v>
      </c>
      <c r="N39" s="152">
        <f>I39-F39</f>
        <v>1983624.1695305584</v>
      </c>
      <c r="O39" s="152">
        <f>I39-B39</f>
        <v>4766752.552823008</v>
      </c>
      <c r="P39" s="111" t="s">
        <v>125</v>
      </c>
    </row>
    <row r="40" spans="1:16" x14ac:dyDescent="0.25">
      <c r="A40" s="133" t="s">
        <v>88</v>
      </c>
      <c r="B40" s="127">
        <v>3428555.2400000468</v>
      </c>
      <c r="C40" s="127">
        <v>3671266.959999999</v>
      </c>
      <c r="D40" s="127">
        <v>3921705.7000000067</v>
      </c>
      <c r="E40" s="127">
        <v>3519848.1500000069</v>
      </c>
      <c r="F40" s="127">
        <v>3586170.0827628523</v>
      </c>
      <c r="G40" s="127">
        <v>4117070.7807175666</v>
      </c>
      <c r="H40" s="127">
        <v>4689199.8770410269</v>
      </c>
      <c r="I40" s="121">
        <v>5246159.0854328461</v>
      </c>
      <c r="J40" s="121">
        <v>5534420.9373948947</v>
      </c>
      <c r="K40" s="121">
        <v>5972066.7724775188</v>
      </c>
      <c r="L40" s="121">
        <v>6329328.5617619976</v>
      </c>
      <c r="M40" s="121">
        <v>6473573.6131509803</v>
      </c>
      <c r="N40" s="152">
        <f t="shared" ref="N40:N44" si="7">I40-F40</f>
        <v>1659989.0026699938</v>
      </c>
      <c r="O40" s="152">
        <f t="shared" ref="O40:O45" si="8">I40-B40</f>
        <v>1817603.8454327993</v>
      </c>
      <c r="P40" s="111" t="s">
        <v>126</v>
      </c>
    </row>
    <row r="41" spans="1:16" x14ac:dyDescent="0.25">
      <c r="A41" s="133" t="s">
        <v>89</v>
      </c>
      <c r="B41" s="127">
        <v>1765347.3208639997</v>
      </c>
      <c r="C41" s="127">
        <v>780504.6399999999</v>
      </c>
      <c r="D41" s="127">
        <v>1312210.93</v>
      </c>
      <c r="E41" s="127">
        <v>1214410.02</v>
      </c>
      <c r="F41" s="127">
        <v>1165640.3683208399</v>
      </c>
      <c r="G41" s="127">
        <v>1047573.19220524</v>
      </c>
      <c r="H41" s="127">
        <v>1259712.1900232201</v>
      </c>
      <c r="I41" s="121">
        <v>2176951.6196252201</v>
      </c>
      <c r="J41" s="121">
        <v>2276826.5907964902</v>
      </c>
      <c r="K41" s="121">
        <v>2359078.1000625999</v>
      </c>
      <c r="L41" s="121">
        <v>2447589.29113296</v>
      </c>
      <c r="M41" s="121">
        <v>2537940.5992948902</v>
      </c>
      <c r="N41" s="152">
        <f>I41-F41</f>
        <v>1011311.2513043801</v>
      </c>
      <c r="O41" s="152">
        <f t="shared" si="8"/>
        <v>411604.29876122042</v>
      </c>
      <c r="P41" s="111" t="s">
        <v>127</v>
      </c>
    </row>
    <row r="42" spans="1:16" x14ac:dyDescent="0.25">
      <c r="A42" s="133" t="s">
        <v>90</v>
      </c>
      <c r="B42" s="127">
        <v>1479738.43</v>
      </c>
      <c r="C42" s="127">
        <v>1617262.7399999998</v>
      </c>
      <c r="D42" s="127">
        <v>1440635.8099999998</v>
      </c>
      <c r="E42" s="127">
        <v>3116062</v>
      </c>
      <c r="F42" s="127">
        <v>2685276.6137396093</v>
      </c>
      <c r="G42" s="127">
        <v>2742239.1109832195</v>
      </c>
      <c r="H42" s="127">
        <v>3166008.7819252601</v>
      </c>
      <c r="I42" s="121">
        <v>4646270.1684149895</v>
      </c>
      <c r="J42" s="121">
        <v>4929294.3321530502</v>
      </c>
      <c r="K42" s="121">
        <v>4988872.8927113898</v>
      </c>
      <c r="L42" s="121">
        <v>5058549.5742842406</v>
      </c>
      <c r="M42" s="121">
        <v>5122884.3244219301</v>
      </c>
      <c r="N42" s="152">
        <f>I42-F42</f>
        <v>1960993.5546753802</v>
      </c>
      <c r="O42" s="152">
        <f t="shared" si="8"/>
        <v>3166531.7384149898</v>
      </c>
      <c r="P42" s="111" t="s">
        <v>128</v>
      </c>
    </row>
    <row r="43" spans="1:16" x14ac:dyDescent="0.25">
      <c r="A43" s="133" t="s">
        <v>91</v>
      </c>
      <c r="B43" s="127">
        <v>402246.23</v>
      </c>
      <c r="C43" s="127">
        <v>904408.86</v>
      </c>
      <c r="D43" s="127">
        <v>1411383.4</v>
      </c>
      <c r="E43" s="127">
        <v>1210915.8499999999</v>
      </c>
      <c r="F43" s="127">
        <v>1338822.46746119</v>
      </c>
      <c r="G43" s="127">
        <v>1456297.7605717201</v>
      </c>
      <c r="H43" s="127">
        <v>1509059.2543915298</v>
      </c>
      <c r="I43" s="121">
        <v>1706717.15280615</v>
      </c>
      <c r="J43" s="121">
        <v>1934638.9732301498</v>
      </c>
      <c r="K43" s="121">
        <v>2179904.9869516296</v>
      </c>
      <c r="L43" s="121">
        <v>2234335.2630598098</v>
      </c>
      <c r="M43" s="121">
        <v>2284506.5158935599</v>
      </c>
      <c r="N43" s="152">
        <f t="shared" si="7"/>
        <v>367894.68534496007</v>
      </c>
      <c r="O43" s="152">
        <f t="shared" si="8"/>
        <v>1304470.92280615</v>
      </c>
      <c r="P43" s="111" t="s">
        <v>129</v>
      </c>
    </row>
    <row r="44" spans="1:16" x14ac:dyDescent="0.25">
      <c r="A44" s="133" t="s">
        <v>92</v>
      </c>
      <c r="B44" s="127">
        <v>2554144.1900000004</v>
      </c>
      <c r="C44" s="127">
        <v>3029539.59</v>
      </c>
      <c r="D44" s="127">
        <v>3423978.4699999997</v>
      </c>
      <c r="E44" s="127">
        <v>3576953.77</v>
      </c>
      <c r="F44" s="127">
        <v>3537182.6155772596</v>
      </c>
      <c r="G44" s="127">
        <v>4972151.0096784299</v>
      </c>
      <c r="H44" s="127">
        <v>5893656.7932249792</v>
      </c>
      <c r="I44" s="121">
        <v>6888866.2485582903</v>
      </c>
      <c r="J44" s="121">
        <v>7383904.5670551294</v>
      </c>
      <c r="K44" s="121">
        <v>8323339.4954531612</v>
      </c>
      <c r="L44" s="121">
        <v>8716463.0582621191</v>
      </c>
      <c r="M44" s="121">
        <v>9128202.79516799</v>
      </c>
      <c r="N44" s="152">
        <f t="shared" si="7"/>
        <v>3351683.6329810307</v>
      </c>
      <c r="O44" s="152">
        <f t="shared" si="8"/>
        <v>4334722.0585582899</v>
      </c>
      <c r="P44" s="111" t="s">
        <v>130</v>
      </c>
    </row>
    <row r="45" spans="1:16" x14ac:dyDescent="0.25">
      <c r="A45" s="113" t="s">
        <v>107</v>
      </c>
      <c r="B45" s="155">
        <f>SUM(B38:B44)</f>
        <v>14506314.070864048</v>
      </c>
      <c r="C45" s="155">
        <f t="shared" ref="C45:N45" si="9">SUM(C38:C44)</f>
        <v>16412044.619999999</v>
      </c>
      <c r="D45" s="155">
        <f t="shared" si="9"/>
        <v>18761660.720000006</v>
      </c>
      <c r="E45" s="155">
        <f t="shared" si="9"/>
        <v>21650947.260000005</v>
      </c>
      <c r="F45" s="155">
        <f t="shared" si="9"/>
        <v>22460574.695868351</v>
      </c>
      <c r="G45" s="155">
        <f t="shared" si="9"/>
        <v>26671203.923204556</v>
      </c>
      <c r="H45" s="155">
        <f t="shared" si="9"/>
        <v>29464940.109388851</v>
      </c>
      <c r="I45" s="155">
        <f t="shared" si="9"/>
        <v>39613466.445852146</v>
      </c>
      <c r="J45" s="155">
        <f t="shared" si="9"/>
        <v>42053223.710050426</v>
      </c>
      <c r="K45" s="155">
        <f t="shared" si="9"/>
        <v>43636867.01157973</v>
      </c>
      <c r="L45" s="155">
        <f t="shared" si="9"/>
        <v>45112074.335317157</v>
      </c>
      <c r="M45" s="155">
        <f t="shared" si="9"/>
        <v>46485926.000320025</v>
      </c>
      <c r="N45" s="155">
        <f t="shared" si="9"/>
        <v>17152891.749983795</v>
      </c>
      <c r="O45" s="157">
        <f t="shared" si="8"/>
        <v>25107152.374988098</v>
      </c>
      <c r="P45" s="111"/>
    </row>
    <row r="46" spans="1:16" ht="14.1" customHeight="1" x14ac:dyDescent="0.25">
      <c r="A46" s="134" t="s">
        <v>108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2"/>
      <c r="O46" s="152"/>
      <c r="P46" s="111"/>
    </row>
    <row r="47" spans="1:16" ht="14.1" customHeight="1" x14ac:dyDescent="0.25">
      <c r="A47" s="133" t="s">
        <v>94</v>
      </c>
      <c r="B47" s="127">
        <v>0</v>
      </c>
      <c r="C47" s="127">
        <v>0</v>
      </c>
      <c r="D47" s="127">
        <v>0</v>
      </c>
      <c r="E47" s="127">
        <v>-1570875.11</v>
      </c>
      <c r="F47" s="127">
        <v>-1886961.84</v>
      </c>
      <c r="G47" s="127">
        <v>-2295801</v>
      </c>
      <c r="H47" s="127">
        <v>-2095040</v>
      </c>
      <c r="I47" s="127">
        <v>0</v>
      </c>
      <c r="J47" s="127">
        <v>0</v>
      </c>
      <c r="K47" s="127">
        <v>0</v>
      </c>
      <c r="L47" s="127">
        <v>0</v>
      </c>
      <c r="M47" s="127">
        <v>0</v>
      </c>
      <c r="N47" s="152">
        <f t="shared" ref="N47:N49" si="10">I47-F47</f>
        <v>1886961.84</v>
      </c>
      <c r="O47" s="152">
        <f t="shared" ref="O47:O49" si="11">I47-B47</f>
        <v>0</v>
      </c>
      <c r="P47" s="171" t="s">
        <v>131</v>
      </c>
    </row>
    <row r="48" spans="1:16" ht="14.1" customHeight="1" x14ac:dyDescent="0.25">
      <c r="A48" s="133" t="s">
        <v>95</v>
      </c>
      <c r="B48" s="127">
        <v>-320412.19</v>
      </c>
      <c r="C48" s="127">
        <v>-210340.62</v>
      </c>
      <c r="D48" s="127">
        <v>-276256.02</v>
      </c>
      <c r="E48" s="127">
        <v>-367208.06999999995</v>
      </c>
      <c r="F48" s="127">
        <v>-897079.82000000007</v>
      </c>
      <c r="G48" s="127">
        <v>-225574.00004000001</v>
      </c>
      <c r="H48" s="127">
        <v>-673988</v>
      </c>
      <c r="I48" s="127">
        <v>0</v>
      </c>
      <c r="J48" s="127">
        <v>0</v>
      </c>
      <c r="K48" s="127">
        <v>0</v>
      </c>
      <c r="L48" s="127">
        <v>0</v>
      </c>
      <c r="M48" s="127">
        <v>0</v>
      </c>
      <c r="N48" s="152">
        <f t="shared" si="10"/>
        <v>897079.82000000007</v>
      </c>
      <c r="O48" s="152">
        <f t="shared" si="11"/>
        <v>320412.19</v>
      </c>
      <c r="P48" s="111" t="s">
        <v>132</v>
      </c>
    </row>
    <row r="49" spans="1:16" ht="15.75" thickBot="1" x14ac:dyDescent="0.3">
      <c r="A49" s="113" t="s">
        <v>107</v>
      </c>
      <c r="B49" s="155">
        <f t="shared" ref="B49:M49" si="12">SUM(B47:B48)</f>
        <v>-320412.19</v>
      </c>
      <c r="C49" s="155">
        <f t="shared" si="12"/>
        <v>-210340.62</v>
      </c>
      <c r="D49" s="155">
        <f t="shared" si="12"/>
        <v>-276256.02</v>
      </c>
      <c r="E49" s="155">
        <f t="shared" si="12"/>
        <v>-1938083.1800000002</v>
      </c>
      <c r="F49" s="155">
        <f t="shared" si="12"/>
        <v>-2784041.66</v>
      </c>
      <c r="G49" s="155">
        <f t="shared" si="12"/>
        <v>-2521375.0000399998</v>
      </c>
      <c r="H49" s="155">
        <f t="shared" si="12"/>
        <v>-2769028</v>
      </c>
      <c r="I49" s="155">
        <f t="shared" si="12"/>
        <v>0</v>
      </c>
      <c r="J49" s="155">
        <f t="shared" si="12"/>
        <v>0</v>
      </c>
      <c r="K49" s="155">
        <f t="shared" si="12"/>
        <v>0</v>
      </c>
      <c r="L49" s="155">
        <f t="shared" si="12"/>
        <v>0</v>
      </c>
      <c r="M49" s="155">
        <f t="shared" si="12"/>
        <v>0</v>
      </c>
      <c r="N49" s="152">
        <f t="shared" si="10"/>
        <v>2784041.66</v>
      </c>
      <c r="O49" s="152">
        <f t="shared" si="11"/>
        <v>320412.19</v>
      </c>
      <c r="P49" s="111"/>
    </row>
    <row r="50" spans="1:16" ht="16.5" thickTop="1" thickBot="1" x14ac:dyDescent="0.3">
      <c r="A50" s="114" t="s">
        <v>47</v>
      </c>
      <c r="B50" s="153" cm="1">
        <f t="array" ref="B50">SUMPRODUCT(--($A15:$A49="Sub-Total"), B15:B49)</f>
        <v>42304136.459999993</v>
      </c>
      <c r="C50" s="153" cm="1">
        <f t="array" ref="C50">SUMPRODUCT(--($A15:$A49="Sub-Total"), C15:C49)</f>
        <v>42915708.359999999</v>
      </c>
      <c r="D50" s="153" cm="1">
        <f t="array" ref="D50">SUMPRODUCT(--($A15:$A49="Sub-Total"), D15:D49)</f>
        <v>44918464.310000002</v>
      </c>
      <c r="E50" s="153" cm="1">
        <f t="array" ref="E50">SUMPRODUCT(--($A15:$A49="Sub-Total"), E15:E49)</f>
        <v>46662196.330000006</v>
      </c>
      <c r="F50" s="153" cm="1">
        <f t="array" ref="F50">SUMPRODUCT(--($A15:$A49="Sub-Total"), F15:F49)</f>
        <v>53600375.600000009</v>
      </c>
      <c r="G50" s="153" cm="1">
        <f t="array" ref="G50">SUMPRODUCT(--($A15:$A49="Sub-Total"), G15:G49)</f>
        <v>58168908.286637276</v>
      </c>
      <c r="H50" s="153" cm="1">
        <f t="array" ref="H50">SUMPRODUCT(--($A15:$A49="Sub-Total"), H15:H49)</f>
        <v>61811044.423211314</v>
      </c>
      <c r="I50" s="153" cm="1">
        <f t="array" ref="I50">SUMPRODUCT(--($A15:$A49="Sub-Total"), I15:I49)</f>
        <v>77255145.437281743</v>
      </c>
      <c r="J50" s="153" cm="1">
        <f t="array" ref="J50">SUMPRODUCT(--($A15:$A49="Sub-Total"), J15:J49)</f>
        <v>84053080.66370815</v>
      </c>
      <c r="K50" s="153" cm="1">
        <f t="array" ref="K50">SUMPRODUCT(--($A15:$A49="Sub-Total"), K15:K49)</f>
        <v>86004007.853667483</v>
      </c>
      <c r="L50" s="153" cm="1">
        <f t="array" ref="L50">SUMPRODUCT(--($A15:$A49="Sub-Total"), L15:L49)</f>
        <v>88445941.734491229</v>
      </c>
      <c r="M50" s="153" cm="1">
        <f t="array" ref="M50">SUMPRODUCT(--($A15:$A49="Sub-Total"), M15:M49)</f>
        <v>90839061.08675015</v>
      </c>
      <c r="N50" s="153" cm="1">
        <f t="array" ref="N50">SUMPRODUCT(--($A15:$A49="Sub-Total"), N15:N49)</f>
        <v>23654769.837281734</v>
      </c>
      <c r="O50" s="153" cm="1">
        <f t="array" ref="O50">SUMPRODUCT(--($A15:$A49="Sub-Total"), O$15:O$49)</f>
        <v>34951008.977281757</v>
      </c>
      <c r="P50" s="111"/>
    </row>
    <row r="51" spans="1:16" x14ac:dyDescent="0.25">
      <c r="M51" s="146"/>
    </row>
    <row r="52" spans="1:16" x14ac:dyDescent="0.25">
      <c r="A52" s="115" t="s">
        <v>57</v>
      </c>
    </row>
    <row r="54" spans="1:16" x14ac:dyDescent="0.25">
      <c r="A54" s="149" t="s">
        <v>109</v>
      </c>
      <c r="B54" s="150"/>
      <c r="C54" s="150"/>
      <c r="D54" s="150"/>
      <c r="E54" s="150"/>
      <c r="F54" s="150"/>
      <c r="G54" s="150"/>
      <c r="H54" s="150"/>
      <c r="I54" s="151"/>
    </row>
    <row r="56" spans="1:16" ht="15.75" x14ac:dyDescent="0.25">
      <c r="A56" s="116"/>
      <c r="B56" s="117"/>
      <c r="C56" s="117"/>
      <c r="D56" s="117"/>
      <c r="E56" s="117"/>
      <c r="F56" s="117"/>
      <c r="G56" s="117"/>
      <c r="H56" s="117"/>
      <c r="I56" s="117"/>
    </row>
    <row r="57" spans="1:16" x14ac:dyDescent="0.25">
      <c r="A57" s="117"/>
      <c r="B57" s="117"/>
      <c r="C57" s="117"/>
      <c r="D57" s="117"/>
      <c r="E57" s="117"/>
      <c r="F57" s="117"/>
      <c r="G57" s="117"/>
      <c r="H57" s="117"/>
      <c r="I57" s="117"/>
    </row>
    <row r="59" spans="1:16" x14ac:dyDescent="0.25">
      <c r="A59" s="118"/>
    </row>
  </sheetData>
  <mergeCells count="2">
    <mergeCell ref="A9:H9"/>
    <mergeCell ref="A10:H10"/>
  </mergeCells>
  <dataValidations count="2">
    <dataValidation allowBlank="1" showInputMessage="1" showErrorMessage="1" promptTitle="Date Format" prompt="E.g:  &quot;August 1, 2011&quot;" sqref="I7" xr:uid="{318F28B7-2FD0-4EF1-BAEA-1476DB897091}"/>
    <dataValidation type="list" allowBlank="1" showInputMessage="1" showErrorMessage="1" sqref="B14:M15" xr:uid="{F2E1B1E2-EA2D-40C3-AEDD-788D6B333DC1}">
      <formula1>"CGAAP, MIFRS, USGAAP, ASPE"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eadPen xmlns="1ebb5cdf-5803-4e55-8f90-2858ffc370dd">
      <UserInfo>
        <DisplayName/>
        <AccountId xsi:nil="true"/>
        <AccountType/>
      </UserInfo>
    </LeadPen>
    <lcf76f155ced4ddcb4097134ff3c332f xmlns="1ebb5cdf-5803-4e55-8f90-2858ffc370dd">
      <Terms xmlns="http://schemas.microsoft.com/office/infopath/2007/PartnerControls"/>
    </lcf76f155ced4ddcb4097134ff3c332f>
    <Strategic xmlns="1ebb5cdf-5803-4e55-8f90-2858ffc370dd">false</Strategic>
    <DRP_x0028_Elexicon_x0029_ xmlns="1ebb5cdf-5803-4e55-8f90-2858ffc370dd">
      <UserInfo>
        <DisplayName>jcowles@elexiconenergy.com</DisplayName>
        <AccountId>33</AccountId>
        <AccountType/>
      </UserInfo>
      <UserInfo>
        <DisplayName>jtranter@elexiconenergy.com</DisplayName>
        <AccountId>34</AccountId>
        <AccountType/>
      </UserInfo>
    </DRP_x0028_Elexicon_x0029_>
    <Status xmlns="1ebb5cdf-5803-4e55-8f90-2858ffc370dd">Ready to be Filed</Status>
    <Witness xmlns="1ebb5cdf-5803-4e55-8f90-2858ffc370dd">
      <Value>Cynthia Chan</Value>
      <Value>Zubair Islam</Value>
    </Witnes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856B24BA03CC41807CCB77DED0D7D2" ma:contentTypeVersion="16" ma:contentTypeDescription="Create a new document." ma:contentTypeScope="" ma:versionID="b23234d36ada9a2c0e58a3c2dd89d137">
  <xsd:schema xmlns:xsd="http://www.w3.org/2001/XMLSchema" xmlns:xs="http://www.w3.org/2001/XMLSchema" xmlns:p="http://schemas.microsoft.com/office/2006/metadata/properties" xmlns:ns2="1ebb5cdf-5803-4e55-8f90-2858ffc370dd" targetNamespace="http://schemas.microsoft.com/office/2006/metadata/properties" ma:root="true" ma:fieldsID="ae6c52689359815722308d5d16eaa639" ns2:_="">
    <xsd:import namespace="1ebb5cdf-5803-4e55-8f90-2858ffc370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Strategic" minOccurs="0"/>
                <xsd:element ref="ns2:LeadPen" minOccurs="0"/>
                <xsd:element ref="ns2:DRP_x0028_Elexicon_x0029_" minOccurs="0"/>
                <xsd:element ref="ns2:Status" minOccurs="0"/>
                <xsd:element ref="ns2:MediaServiceDateTaken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Witnes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b5cdf-5803-4e55-8f90-2858ffc3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rategic" ma:index="12" nillable="true" ma:displayName="Strategic" ma:default="0" ma:format="Dropdown" ma:internalName="Strategic">
      <xsd:simpleType>
        <xsd:restriction base="dms:Boolean"/>
      </xsd:simpleType>
    </xsd:element>
    <xsd:element name="LeadPen" ma:index="13" nillable="true" ma:displayName="Lead Pen" ma:format="Dropdown" ma:list="UserInfo" ma:SharePointGroup="0" ma:internalName="LeadPe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P_x0028_Elexicon_x0029_" ma:index="14" nillable="true" ma:displayName="DRP (Elexicon)" ma:format="Dropdown" ma:list="UserInfo" ma:SharePointGroup="0" ma:internalName="DRP_x0028_Elexicon_x0029_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15" nillable="true" ma:displayName="Status" ma:format="Dropdown" ma:internalName="Status">
      <xsd:simpleType>
        <xsd:union memberTypes="dms:Text">
          <xsd:simpleType>
            <xsd:restriction base="dms:Choice">
              <xsd:enumeration value="Not Started"/>
              <xsd:enumeration value="First Draft in-progress"/>
              <xsd:enumeration value="Revised Draft in-progress"/>
              <xsd:enumeration value="with Torys"/>
              <xsd:enumeration value="Ready for Witness Review"/>
              <xsd:enumeration value="Needs revisions/inputs"/>
              <xsd:enumeration value="Signed-off by Witness"/>
              <xsd:enumeration value="Formatting in Progress"/>
              <xsd:enumeration value="Ready for Final Regulatory Review"/>
              <xsd:enumeration value="Ready to be Filed"/>
              <xsd:enumeration value="Ready for PDFing"/>
            </xsd:restriction>
          </xsd:simpleType>
        </xsd:un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3a22a3d-408e-4f18-9ceb-0cfc2189b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Witness" ma:index="21" nillable="true" ma:displayName="Witness" ma:format="Dropdown" ma:internalName="Witnes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Cynthia Chan"/>
                        <xsd:enumeration value="Stephen Vetsis"/>
                        <xsd:enumeration value="Kriston Romano"/>
                        <xsd:enumeration value="Lincoln Frost-Hunt"/>
                        <xsd:enumeration value="Sam Sadeghi"/>
                        <xsd:enumeration value="Brad Walker"/>
                        <xsd:enumeration value="Stephen Sheehy"/>
                        <xsd:enumeration value="Munish Multani"/>
                        <xsd:enumeration value="Zubair Islam"/>
                        <xsd:enumeration value="Andrew Blair (PA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FAE7DB-5EE7-4427-A64C-4B003D57CE1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5565576-6FF6-43F3-B33A-D7BE86204553}">
  <ds:schemaRefs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1ebb5cdf-5803-4e55-8f90-2858ffc370dd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377EC80-E47B-44B9-82BB-1E6F5E0A16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bb5cdf-5803-4e55-8f90-2858ffc3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App.2-JA OM&amp;A Summary Analys</vt:lpstr>
      <vt:lpstr>App.2-JB OM&amp;A Cost Drivers</vt:lpstr>
      <vt:lpstr>App2.-JC OM&amp;A Programs</vt:lpstr>
    </vt:vector>
  </TitlesOfParts>
  <Manager/>
  <Company>Elexicon Energy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Cowles</dc:creator>
  <cp:keywords/>
  <dc:description/>
  <cp:lastModifiedBy>Susan Kim</cp:lastModifiedBy>
  <cp:revision/>
  <dcterms:created xsi:type="dcterms:W3CDTF">2025-08-25T17:29:16Z</dcterms:created>
  <dcterms:modified xsi:type="dcterms:W3CDTF">2025-12-15T17:16:46Z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0x0101007C856B24BA03CC41807CCB77DED0D7D2</vt:lpwstr>
  </property>
  <property fmtid="{D5CDD505-2E9C-101B-9397-08002B2CF9AE}" pid="3" name="MediaServiceImageTags">
    <vt:lpwstr/>
  </property>
</Properties>
</file>