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https://elexiconenergy.sharepoint.com/sites/EarlyRebasingApplication-ExhibitsWorkingDrafts/Shared Documents/Exhibits (Working Drafts)/Exhibit 8 (Rate Design)/"/>
    </mc:Choice>
  </mc:AlternateContent>
  <xr:revisionPtr revIDLastSave="469" documentId="8_{7F5B81DD-348D-4A6C-AD99-01C9C901F639}" xr6:coauthVersionLast="47" xr6:coauthVersionMax="47" xr10:uidLastSave="{E12B5E47-DF17-427A-AF97-E82ADA47D08E}"/>
  <bookViews>
    <workbookView xWindow="-120" yWindow="-120" windowWidth="29040" windowHeight="15720" tabRatio="841" xr2:uid="{80C6F79D-A32D-452B-B37A-B18698BD6FDB}"/>
  </bookViews>
  <sheets>
    <sheet name="1. Info" sheetId="47" r:id="rId1"/>
    <sheet name="2. Table of Contents" sheetId="48" r:id="rId2"/>
    <sheet name="3. RRR Data 2027" sheetId="27" r:id="rId3"/>
    <sheet name="3. RRR Data 2028" sheetId="28" r:id="rId4"/>
    <sheet name="3. RRR Data 2029" sheetId="29" r:id="rId5"/>
    <sheet name="3. RRR Data 2030" sheetId="30" r:id="rId6"/>
    <sheet name="3. RRR Data 2031" sheetId="31" r:id="rId7"/>
    <sheet name="4. UTRs &amp; Sub-Transmission" sheetId="22" r:id="rId8"/>
    <sheet name="4a. Forecast 2026 UTR" sheetId="1" r:id="rId9"/>
    <sheet name="7. Forecast Wholesale 2026" sheetId="23" r:id="rId10"/>
    <sheet name="7. Forecast Wholesale 2027" sheetId="24" r:id="rId11"/>
    <sheet name="8. RTSR Rates to Forecast 2027" sheetId="26" r:id="rId12"/>
    <sheet name="7. Forecast Wholesale 2028" sheetId="32" r:id="rId13"/>
    <sheet name="8. RTSR Rates to Forecast 2028" sheetId="36" r:id="rId14"/>
    <sheet name="7. Forecast Wholesale 2029" sheetId="33" r:id="rId15"/>
    <sheet name="8. RTSR Rates to Forecast 2029" sheetId="37" r:id="rId16"/>
    <sheet name="7. Forecast Wholesale 2030" sheetId="34" r:id="rId17"/>
    <sheet name="8. RTSR Rates to Forecast 2030" sheetId="38" r:id="rId18"/>
    <sheet name="7. Forecast Wholesale 2031" sheetId="35" r:id="rId19"/>
    <sheet name="8. RTSR Rates to Forecast 2031" sheetId="39" r:id="rId20"/>
    <sheet name="Forecast RTSRs" sheetId="40" r:id="rId21"/>
    <sheet name="LV Charges" sheetId="49" r:id="rId22"/>
  </sheets>
  <definedNames>
    <definedName name="BI_LDCLIST">#REF!</definedName>
    <definedName name="BridgeYear">#REF!</definedName>
    <definedName name="contactf">#REF!</definedName>
    <definedName name="COS_RES_CUSTOMERS">#REF!</definedName>
    <definedName name="COS_RES_KWH">#REF!</definedName>
    <definedName name="CustomerAdministration">#REF!</definedName>
    <definedName name="DesRange">#REF!</definedName>
    <definedName name="DRP">#REF!</definedName>
    <definedName name="EBNUMBER">#REF!</definedName>
    <definedName name="Elexicon_SA">#REF!</definedName>
    <definedName name="fed_sb">#REF!</definedName>
    <definedName name="fedtax">#REF!</definedName>
    <definedName name="forecast_wholesale_lineplus">#REF!</definedName>
    <definedName name="forecast_wholesale_network">#REF!</definedName>
    <definedName name="G1LD">#REF!</definedName>
    <definedName name="Group1Desposing">#REF!</definedName>
    <definedName name="histdate">#REF!</definedName>
    <definedName name="Incr2000">#REF!</definedName>
    <definedName name="LDCList">OFFSET(#REF!,0,0,COUNTA(#REF!),1)</definedName>
    <definedName name="LDCNAME1">#REF!</definedName>
    <definedName name="LIMIT">#REF!</definedName>
    <definedName name="listdata">#REF!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MidPeak">#REF!</definedName>
    <definedName name="MidPeakPer">#REF!</definedName>
    <definedName name="OER">#REF!</definedName>
    <definedName name="OffPeak">#REF!</definedName>
    <definedName name="OffPeakPer">#REF!</definedName>
    <definedName name="OnPeak">#REF!</definedName>
    <definedName name="OnPeakPer">#REF!</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ES">#REF!</definedName>
    <definedName name="ratebase">#REF!</definedName>
    <definedName name="ratedescription">#REF!</definedName>
    <definedName name="RateRiderName">OFFSET(#REF!,1,0,COUNTA(#REF!)-1,1)</definedName>
    <definedName name="RebaseYear">#REF!</definedName>
    <definedName name="SALBENF">#REF!</definedName>
    <definedName name="salreg">#REF!</definedName>
    <definedName name="SALREGF">#REF!</definedName>
    <definedName name="SME">#REF!</definedName>
    <definedName name="SpRange">#REF!</definedName>
    <definedName name="StartEnd">#REF!</definedName>
    <definedName name="taxableincome">#REF!</definedName>
    <definedName name="TEMPA">#REF!</definedName>
    <definedName name="TestYear">#REF!</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#REF!</definedName>
    <definedName name="Units2">#REF!</definedName>
    <definedName name="Utility">#REF!</definedName>
    <definedName name="utitliy1">#REF!</definedName>
    <definedName name="WAGBENF">#REF!</definedName>
    <definedName name="wagdob">#REF!</definedName>
    <definedName name="wagdobf">#REF!</definedName>
    <definedName name="wagreg">#REF!</definedName>
    <definedName name="wagregf">#REF!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22" l="1"/>
  <c r="C43" i="49"/>
  <c r="C44" i="49"/>
  <c r="C45" i="49"/>
  <c r="C46" i="49"/>
  <c r="C47" i="49"/>
  <c r="C48" i="49"/>
  <c r="C49" i="49"/>
  <c r="C50" i="49"/>
  <c r="C42" i="49"/>
  <c r="H9" i="49"/>
  <c r="H44" i="49"/>
  <c r="G44" i="49"/>
  <c r="F44" i="49"/>
  <c r="E44" i="49"/>
  <c r="D44" i="49"/>
  <c r="H50" i="49"/>
  <c r="H49" i="49"/>
  <c r="H48" i="49"/>
  <c r="H47" i="49"/>
  <c r="H46" i="49"/>
  <c r="H45" i="49"/>
  <c r="H43" i="49"/>
  <c r="H42" i="49"/>
  <c r="G50" i="49"/>
  <c r="G49" i="49"/>
  <c r="G48" i="49"/>
  <c r="G47" i="49"/>
  <c r="G46" i="49"/>
  <c r="G45" i="49"/>
  <c r="G43" i="49"/>
  <c r="G42" i="49"/>
  <c r="F50" i="49"/>
  <c r="F49" i="49"/>
  <c r="F48" i="49"/>
  <c r="F47" i="49"/>
  <c r="F46" i="49"/>
  <c r="F45" i="49"/>
  <c r="F43" i="49"/>
  <c r="F42" i="49"/>
  <c r="E42" i="49"/>
  <c r="D42" i="49"/>
  <c r="E50" i="49"/>
  <c r="E49" i="49"/>
  <c r="E48" i="49"/>
  <c r="E47" i="49"/>
  <c r="E46" i="49"/>
  <c r="E45" i="49"/>
  <c r="E43" i="49"/>
  <c r="D46" i="49"/>
  <c r="D45" i="49"/>
  <c r="H15" i="49" l="1"/>
  <c r="H14" i="49"/>
  <c r="H13" i="49"/>
  <c r="H11" i="49"/>
  <c r="H10" i="49"/>
  <c r="H7" i="49"/>
  <c r="E15" i="49"/>
  <c r="E14" i="49"/>
  <c r="E13" i="49"/>
  <c r="F25" i="49" s="1"/>
  <c r="E12" i="49"/>
  <c r="F24" i="49"/>
  <c r="E11" i="49"/>
  <c r="E10" i="49"/>
  <c r="E9" i="49"/>
  <c r="F21" i="49" s="1"/>
  <c r="E8" i="49"/>
  <c r="E7" i="49"/>
  <c r="D43" i="49"/>
  <c r="D50" i="49"/>
  <c r="D49" i="49"/>
  <c r="D48" i="49"/>
  <c r="D47" i="49"/>
  <c r="F18" i="49"/>
  <c r="D20" i="49"/>
  <c r="D25" i="49"/>
  <c r="D26" i="49"/>
  <c r="D27" i="49"/>
  <c r="B24" i="49"/>
  <c r="B36" i="49" s="1"/>
  <c r="B47" i="49" s="1"/>
  <c r="B58" i="49" s="1"/>
  <c r="C24" i="49"/>
  <c r="C36" i="49" s="1"/>
  <c r="B25" i="49"/>
  <c r="B37" i="49" s="1"/>
  <c r="B48" i="49" s="1"/>
  <c r="B59" i="49" s="1"/>
  <c r="C25" i="49"/>
  <c r="C37" i="49" s="1"/>
  <c r="B26" i="49"/>
  <c r="B38" i="49" s="1"/>
  <c r="B49" i="49" s="1"/>
  <c r="B60" i="49" s="1"/>
  <c r="C26" i="49"/>
  <c r="C38" i="49" s="1"/>
  <c r="B27" i="49"/>
  <c r="B39" i="49" s="1"/>
  <c r="B50" i="49" s="1"/>
  <c r="B61" i="49" s="1"/>
  <c r="C27" i="49"/>
  <c r="C39" i="49" s="1"/>
  <c r="D24" i="49"/>
  <c r="D23" i="49"/>
  <c r="D22" i="49"/>
  <c r="D21" i="49"/>
  <c r="D19" i="49"/>
  <c r="V29" i="22"/>
  <c r="AA30" i="22"/>
  <c r="Y30" i="22"/>
  <c r="W30" i="22"/>
  <c r="V30" i="22"/>
  <c r="Y29" i="22"/>
  <c r="X29" i="22"/>
  <c r="X30" i="22" s="1"/>
  <c r="W29" i="22"/>
  <c r="U29" i="22"/>
  <c r="F23" i="49" l="1"/>
  <c r="F27" i="49"/>
  <c r="F26" i="49"/>
  <c r="F22" i="49"/>
  <c r="F20" i="49"/>
  <c r="F19" i="49"/>
  <c r="C21" i="49" l="1"/>
  <c r="C33" i="49" s="1"/>
  <c r="C22" i="49"/>
  <c r="C34" i="49" s="1"/>
  <c r="C23" i="49"/>
  <c r="C35" i="49" s="1"/>
  <c r="C20" i="49"/>
  <c r="C32" i="49" s="1"/>
  <c r="C19" i="49"/>
  <c r="C31" i="49" s="1"/>
  <c r="B20" i="49"/>
  <c r="B32" i="49" s="1"/>
  <c r="B43" i="49" s="1"/>
  <c r="B54" i="49" s="1"/>
  <c r="B28" i="49"/>
  <c r="B21" i="49"/>
  <c r="B33" i="49" s="1"/>
  <c r="B44" i="49" s="1"/>
  <c r="B55" i="49" s="1"/>
  <c r="B22" i="49"/>
  <c r="B34" i="49" s="1"/>
  <c r="B45" i="49" s="1"/>
  <c r="B56" i="49" s="1"/>
  <c r="B23" i="49"/>
  <c r="B35" i="49" s="1"/>
  <c r="B46" i="49" s="1"/>
  <c r="B57" i="49" s="1"/>
  <c r="B19" i="49"/>
  <c r="B31" i="49" s="1"/>
  <c r="B42" i="49" s="1"/>
  <c r="B53" i="49" s="1"/>
  <c r="I8" i="49"/>
  <c r="F8" i="49"/>
  <c r="I13" i="49"/>
  <c r="F13" i="49"/>
  <c r="I14" i="49"/>
  <c r="F14" i="49"/>
  <c r="I15" i="49"/>
  <c r="F15" i="49"/>
  <c r="I12" i="49"/>
  <c r="F12" i="49"/>
  <c r="G11" i="49"/>
  <c r="I11" i="49" s="1"/>
  <c r="F11" i="49"/>
  <c r="I10" i="49"/>
  <c r="F10" i="49"/>
  <c r="I9" i="49"/>
  <c r="F9" i="49"/>
  <c r="I7" i="49"/>
  <c r="F7" i="49"/>
  <c r="I16" i="49" l="1"/>
  <c r="F16" i="49"/>
  <c r="J12" i="49"/>
  <c r="J14" i="49"/>
  <c r="J7" i="49"/>
  <c r="J9" i="49"/>
  <c r="J10" i="49"/>
  <c r="J13" i="49"/>
  <c r="J8" i="49"/>
  <c r="J11" i="49"/>
  <c r="J15" i="49"/>
  <c r="J16" i="49" l="1"/>
  <c r="E28" i="49" s="1"/>
  <c r="E25" i="49" l="1"/>
  <c r="G25" i="49" s="1"/>
  <c r="D37" i="49" s="1"/>
  <c r="E19" i="49"/>
  <c r="G19" i="49" s="1"/>
  <c r="D31" i="49" s="1"/>
  <c r="E21" i="49"/>
  <c r="G21" i="49" s="1"/>
  <c r="D33" i="49" s="1"/>
  <c r="E22" i="49"/>
  <c r="G22" i="49" s="1"/>
  <c r="D34" i="49" s="1"/>
  <c r="E23" i="49"/>
  <c r="G23" i="49" s="1"/>
  <c r="D35" i="49" s="1"/>
  <c r="E24" i="49"/>
  <c r="G24" i="49" s="1"/>
  <c r="D36" i="49" s="1"/>
  <c r="E26" i="49"/>
  <c r="G26" i="49" s="1"/>
  <c r="D38" i="49" s="1"/>
  <c r="E27" i="49"/>
  <c r="G27" i="49" s="1"/>
  <c r="D39" i="49" s="1"/>
  <c r="E20" i="49"/>
  <c r="G20" i="49" s="1"/>
  <c r="D32" i="49" s="1"/>
  <c r="E32" i="49" l="1"/>
  <c r="D54" i="49"/>
  <c r="E39" i="49"/>
  <c r="D61" i="49"/>
  <c r="E38" i="49"/>
  <c r="D60" i="49"/>
  <c r="E36" i="49"/>
  <c r="D58" i="49"/>
  <c r="E35" i="49"/>
  <c r="D57" i="49"/>
  <c r="E34" i="49"/>
  <c r="D56" i="49"/>
  <c r="E33" i="49"/>
  <c r="D55" i="49"/>
  <c r="E31" i="49"/>
  <c r="D53" i="49"/>
  <c r="E37" i="49"/>
  <c r="D59" i="49"/>
  <c r="D62" i="49" l="1"/>
  <c r="F31" i="49"/>
  <c r="E53" i="49"/>
  <c r="F33" i="49"/>
  <c r="E55" i="49"/>
  <c r="F35" i="49"/>
  <c r="E57" i="49"/>
  <c r="F36" i="49"/>
  <c r="E58" i="49"/>
  <c r="F34" i="49"/>
  <c r="E56" i="49"/>
  <c r="F38" i="49"/>
  <c r="E60" i="49"/>
  <c r="F39" i="49"/>
  <c r="E61" i="49"/>
  <c r="F37" i="49"/>
  <c r="E59" i="49"/>
  <c r="F32" i="49"/>
  <c r="E54" i="49"/>
  <c r="G34" i="49" l="1"/>
  <c r="F56" i="49"/>
  <c r="G37" i="49"/>
  <c r="F59" i="49"/>
  <c r="G36" i="49"/>
  <c r="F58" i="49"/>
  <c r="G35" i="49"/>
  <c r="F57" i="49"/>
  <c r="E62" i="49"/>
  <c r="G39" i="49"/>
  <c r="F61" i="49"/>
  <c r="G38" i="49"/>
  <c r="F60" i="49"/>
  <c r="G33" i="49"/>
  <c r="F55" i="49"/>
  <c r="G32" i="49"/>
  <c r="F54" i="49"/>
  <c r="G31" i="49"/>
  <c r="F53" i="49"/>
  <c r="H32" i="49" l="1"/>
  <c r="H54" i="49" s="1"/>
  <c r="G54" i="49"/>
  <c r="H35" i="49"/>
  <c r="H57" i="49" s="1"/>
  <c r="G57" i="49"/>
  <c r="H38" i="49"/>
  <c r="H60" i="49" s="1"/>
  <c r="G60" i="49"/>
  <c r="H33" i="49"/>
  <c r="H55" i="49" s="1"/>
  <c r="G55" i="49"/>
  <c r="H39" i="49"/>
  <c r="H61" i="49" s="1"/>
  <c r="G61" i="49"/>
  <c r="H36" i="49"/>
  <c r="H58" i="49" s="1"/>
  <c r="G58" i="49"/>
  <c r="H31" i="49"/>
  <c r="H53" i="49" s="1"/>
  <c r="G53" i="49"/>
  <c r="G62" i="49" s="1"/>
  <c r="F62" i="49"/>
  <c r="H37" i="49"/>
  <c r="H59" i="49" s="1"/>
  <c r="G59" i="49"/>
  <c r="H34" i="49"/>
  <c r="H56" i="49" s="1"/>
  <c r="G56" i="49"/>
  <c r="H62" i="49" l="1"/>
  <c r="K17" i="26" l="1"/>
  <c r="I17" i="26"/>
  <c r="J17" i="26"/>
  <c r="E41" i="39" l="1"/>
  <c r="E35" i="39"/>
  <c r="E34" i="39"/>
  <c r="E33" i="39"/>
  <c r="E25" i="39"/>
  <c r="E19" i="39"/>
  <c r="E18" i="39"/>
  <c r="E17" i="39"/>
  <c r="E41" i="38"/>
  <c r="E35" i="38"/>
  <c r="E34" i="38"/>
  <c r="E33" i="38"/>
  <c r="E25" i="38"/>
  <c r="E19" i="38"/>
  <c r="E18" i="38"/>
  <c r="E17" i="38"/>
  <c r="E41" i="37"/>
  <c r="E35" i="37"/>
  <c r="E34" i="37"/>
  <c r="E33" i="37"/>
  <c r="E25" i="37"/>
  <c r="E19" i="37"/>
  <c r="E18" i="37"/>
  <c r="E17" i="37"/>
  <c r="E41" i="36"/>
  <c r="E35" i="36"/>
  <c r="E34" i="36"/>
  <c r="E33" i="36"/>
  <c r="E25" i="36"/>
  <c r="E19" i="36"/>
  <c r="E18" i="36"/>
  <c r="E17" i="36"/>
  <c r="E61" i="26"/>
  <c r="E60" i="26"/>
  <c r="E55" i="26"/>
  <c r="E51" i="26"/>
  <c r="E49" i="26"/>
  <c r="E45" i="26"/>
  <c r="E44" i="26"/>
  <c r="E43" i="26"/>
  <c r="E35" i="26"/>
  <c r="E34" i="26"/>
  <c r="E30" i="26"/>
  <c r="E29" i="26"/>
  <c r="E25" i="26"/>
  <c r="E19" i="26"/>
  <c r="E18" i="26"/>
  <c r="L18" i="26" s="1"/>
  <c r="E17" i="26"/>
  <c r="F98" i="24"/>
  <c r="G34" i="31"/>
  <c r="G22" i="31"/>
  <c r="G20" i="31"/>
  <c r="G18" i="31"/>
  <c r="G34" i="30"/>
  <c r="G22" i="30"/>
  <c r="G20" i="30"/>
  <c r="G18" i="30"/>
  <c r="G34" i="29"/>
  <c r="G22" i="29"/>
  <c r="G20" i="29"/>
  <c r="G18" i="29"/>
  <c r="G34" i="28"/>
  <c r="G22" i="28"/>
  <c r="G20" i="28"/>
  <c r="G18" i="28"/>
  <c r="H18" i="27"/>
  <c r="H17" i="27"/>
  <c r="P111" i="24"/>
  <c r="L26" i="26"/>
  <c r="G20" i="40"/>
  <c r="H20" i="40" s="1"/>
  <c r="I20" i="40" s="1"/>
  <c r="J20" i="40" s="1"/>
  <c r="L41" i="22"/>
  <c r="L39" i="22"/>
  <c r="L37" i="22"/>
  <c r="L35" i="22"/>
  <c r="M35" i="22"/>
  <c r="L22" i="22"/>
  <c r="P26" i="22"/>
  <c r="C59" i="26" l="1"/>
  <c r="C60" i="26"/>
  <c r="B59" i="26"/>
  <c r="B60" i="26"/>
  <c r="A60" i="26"/>
  <c r="A59" i="26"/>
  <c r="C33" i="26"/>
  <c r="C34" i="26"/>
  <c r="B33" i="26"/>
  <c r="B34" i="26"/>
  <c r="A34" i="26"/>
  <c r="A33" i="26"/>
  <c r="D23" i="40" l="1"/>
  <c r="D24" i="40"/>
  <c r="D25" i="40"/>
  <c r="D29" i="40"/>
  <c r="D30" i="40"/>
  <c r="D31" i="40"/>
  <c r="D21" i="40"/>
  <c r="D9" i="40"/>
  <c r="D10" i="40"/>
  <c r="D14" i="40"/>
  <c r="D15" i="40"/>
  <c r="D16" i="40"/>
  <c r="D8" i="40"/>
  <c r="D6" i="40"/>
  <c r="G5" i="40" l="1"/>
  <c r="H5" i="40" s="1"/>
  <c r="I5" i="40" s="1"/>
  <c r="J5" i="40" s="1"/>
  <c r="B7" i="40"/>
  <c r="C7" i="40"/>
  <c r="B8" i="40"/>
  <c r="C8" i="40"/>
  <c r="B9" i="40"/>
  <c r="C9" i="40"/>
  <c r="B10" i="40"/>
  <c r="C10" i="40"/>
  <c r="B11" i="40"/>
  <c r="C11" i="40"/>
  <c r="B12" i="40"/>
  <c r="C12" i="40"/>
  <c r="B13" i="40"/>
  <c r="C13" i="40"/>
  <c r="B14" i="40"/>
  <c r="C14" i="40"/>
  <c r="B15" i="40"/>
  <c r="C15" i="40"/>
  <c r="B16" i="40"/>
  <c r="C16" i="40"/>
  <c r="B21" i="40"/>
  <c r="C21" i="40"/>
  <c r="B22" i="40"/>
  <c r="C22" i="40"/>
  <c r="B23" i="40"/>
  <c r="C23" i="40"/>
  <c r="B24" i="40"/>
  <c r="C24" i="40"/>
  <c r="B25" i="40"/>
  <c r="C25" i="40"/>
  <c r="B26" i="40"/>
  <c r="C26" i="40"/>
  <c r="B27" i="40"/>
  <c r="C27" i="40"/>
  <c r="B28" i="40"/>
  <c r="C28" i="40"/>
  <c r="B29" i="40"/>
  <c r="C29" i="40"/>
  <c r="B30" i="40"/>
  <c r="C30" i="40"/>
  <c r="B31" i="40"/>
  <c r="C31" i="40"/>
  <c r="C6" i="40"/>
  <c r="B6" i="40"/>
  <c r="F41" i="39"/>
  <c r="F35" i="39"/>
  <c r="F34" i="39"/>
  <c r="F33" i="39"/>
  <c r="F25" i="39"/>
  <c r="F19" i="39"/>
  <c r="F18" i="39"/>
  <c r="F17" i="39"/>
  <c r="F41" i="38"/>
  <c r="F35" i="38"/>
  <c r="F34" i="38"/>
  <c r="F33" i="38"/>
  <c r="F25" i="38"/>
  <c r="F19" i="38"/>
  <c r="F18" i="38"/>
  <c r="F17" i="38"/>
  <c r="F41" i="37"/>
  <c r="F35" i="37"/>
  <c r="F34" i="37"/>
  <c r="F33" i="37"/>
  <c r="F25" i="37"/>
  <c r="F19" i="37"/>
  <c r="F18" i="37"/>
  <c r="F17" i="37"/>
  <c r="F41" i="36"/>
  <c r="F35" i="36"/>
  <c r="F34" i="36"/>
  <c r="F33" i="36"/>
  <c r="F25" i="36"/>
  <c r="F19" i="36"/>
  <c r="F18" i="36"/>
  <c r="F17" i="36"/>
  <c r="D33" i="26"/>
  <c r="D11" i="40" s="1"/>
  <c r="D34" i="26"/>
  <c r="F34" i="26"/>
  <c r="D59" i="26"/>
  <c r="D26" i="40" s="1"/>
  <c r="D60" i="26"/>
  <c r="F60" i="26"/>
  <c r="L23" i="26"/>
  <c r="L53" i="26"/>
  <c r="L52" i="26"/>
  <c r="L50" i="26"/>
  <c r="L48" i="26"/>
  <c r="L47" i="26"/>
  <c r="L46" i="26"/>
  <c r="L20" i="26"/>
  <c r="L21" i="26"/>
  <c r="L22" i="26"/>
  <c r="L24" i="26"/>
  <c r="L27" i="26"/>
  <c r="F43" i="26"/>
  <c r="F44" i="26"/>
  <c r="M44" i="26" s="1"/>
  <c r="F45" i="26"/>
  <c r="F49" i="26"/>
  <c r="F51" i="26"/>
  <c r="F17" i="26"/>
  <c r="F18" i="26"/>
  <c r="M18" i="26" s="1"/>
  <c r="F19" i="26"/>
  <c r="F23" i="26"/>
  <c r="F25" i="26"/>
  <c r="M20" i="35"/>
  <c r="M21" i="35" s="1"/>
  <c r="M22" i="35" s="1"/>
  <c r="M23" i="35" s="1"/>
  <c r="M24" i="35" s="1"/>
  <c r="M25" i="35" s="1"/>
  <c r="M26" i="35" s="1"/>
  <c r="M27" i="35" s="1"/>
  <c r="M28" i="35" s="1"/>
  <c r="M29" i="35" s="1"/>
  <c r="M30" i="35" s="1"/>
  <c r="M31" i="35" s="1"/>
  <c r="I20" i="35"/>
  <c r="I21" i="35" s="1"/>
  <c r="I22" i="35" s="1"/>
  <c r="I23" i="35" s="1"/>
  <c r="I24" i="35" s="1"/>
  <c r="I25" i="35" s="1"/>
  <c r="I26" i="35" s="1"/>
  <c r="I27" i="35" s="1"/>
  <c r="I28" i="35" s="1"/>
  <c r="I29" i="35" s="1"/>
  <c r="I30" i="35" s="1"/>
  <c r="I31" i="35" s="1"/>
  <c r="M20" i="34"/>
  <c r="I20" i="34"/>
  <c r="M20" i="33"/>
  <c r="M21" i="33" s="1"/>
  <c r="M22" i="33" s="1"/>
  <c r="M23" i="33" s="1"/>
  <c r="M24" i="33" s="1"/>
  <c r="M25" i="33" s="1"/>
  <c r="M26" i="33" s="1"/>
  <c r="M27" i="33" s="1"/>
  <c r="M28" i="33" s="1"/>
  <c r="M29" i="33" s="1"/>
  <c r="M30" i="33" s="1"/>
  <c r="M31" i="33" s="1"/>
  <c r="I20" i="33"/>
  <c r="M20" i="32"/>
  <c r="I20" i="32"/>
  <c r="L90" i="35"/>
  <c r="M90" i="35" s="1"/>
  <c r="B73" i="35"/>
  <c r="D71" i="35"/>
  <c r="E71" i="35" s="1"/>
  <c r="B54" i="35"/>
  <c r="P111" i="34"/>
  <c r="H90" i="34"/>
  <c r="I90" i="34" s="1"/>
  <c r="D90" i="34"/>
  <c r="E90" i="34" s="1"/>
  <c r="B73" i="34"/>
  <c r="L71" i="34"/>
  <c r="M71" i="34" s="1"/>
  <c r="H71" i="34"/>
  <c r="I71" i="34" s="1"/>
  <c r="D71" i="34"/>
  <c r="E71" i="34" s="1"/>
  <c r="B54" i="34"/>
  <c r="I21" i="34"/>
  <c r="I22" i="34" s="1"/>
  <c r="I23" i="34" s="1"/>
  <c r="I24" i="34" s="1"/>
  <c r="I25" i="34" s="1"/>
  <c r="I26" i="34" s="1"/>
  <c r="I27" i="34" s="1"/>
  <c r="I28" i="34" s="1"/>
  <c r="I29" i="34" s="1"/>
  <c r="I30" i="34" s="1"/>
  <c r="I31" i="34" s="1"/>
  <c r="M21" i="34"/>
  <c r="M22" i="34" s="1"/>
  <c r="M23" i="34" s="1"/>
  <c r="M24" i="34" s="1"/>
  <c r="M25" i="34" s="1"/>
  <c r="M26" i="34" s="1"/>
  <c r="M27" i="34" s="1"/>
  <c r="M28" i="34" s="1"/>
  <c r="M29" i="34" s="1"/>
  <c r="M30" i="34" s="1"/>
  <c r="M31" i="34" s="1"/>
  <c r="P111" i="33"/>
  <c r="L90" i="33"/>
  <c r="M90" i="33" s="1"/>
  <c r="D90" i="33"/>
  <c r="E90" i="33" s="1"/>
  <c r="B73" i="33"/>
  <c r="L71" i="33"/>
  <c r="M71" i="33" s="1"/>
  <c r="H71" i="33"/>
  <c r="I71" i="33" s="1"/>
  <c r="D71" i="33"/>
  <c r="E71" i="33" s="1"/>
  <c r="B54" i="33"/>
  <c r="I21" i="33"/>
  <c r="I22" i="33" s="1"/>
  <c r="I23" i="33" s="1"/>
  <c r="I24" i="33" s="1"/>
  <c r="I25" i="33" s="1"/>
  <c r="I26" i="33" s="1"/>
  <c r="I27" i="33" s="1"/>
  <c r="I28" i="33" s="1"/>
  <c r="I29" i="33" s="1"/>
  <c r="I30" i="33" s="1"/>
  <c r="I31" i="33" s="1"/>
  <c r="P111" i="32"/>
  <c r="L90" i="32"/>
  <c r="M90" i="32" s="1"/>
  <c r="H90" i="32"/>
  <c r="I90" i="32" s="1"/>
  <c r="B73" i="32"/>
  <c r="L71" i="32"/>
  <c r="M71" i="32" s="1"/>
  <c r="B54" i="32"/>
  <c r="I21" i="32"/>
  <c r="I22" i="32" s="1"/>
  <c r="I23" i="32" s="1"/>
  <c r="I24" i="32" s="1"/>
  <c r="I25" i="32" s="1"/>
  <c r="I26" i="32" s="1"/>
  <c r="I27" i="32" s="1"/>
  <c r="I28" i="32" s="1"/>
  <c r="I29" i="32" s="1"/>
  <c r="I30" i="32" s="1"/>
  <c r="I31" i="32" s="1"/>
  <c r="M21" i="32"/>
  <c r="M22" i="32" s="1"/>
  <c r="M23" i="32" s="1"/>
  <c r="M24" i="32" s="1"/>
  <c r="M25" i="32" s="1"/>
  <c r="M26" i="32" s="1"/>
  <c r="M27" i="32" s="1"/>
  <c r="M28" i="32" s="1"/>
  <c r="M29" i="32" s="1"/>
  <c r="M30" i="32" s="1"/>
  <c r="M31" i="32" s="1"/>
  <c r="M22" i="24"/>
  <c r="M23" i="24"/>
  <c r="M24" i="24"/>
  <c r="M25" i="24"/>
  <c r="M26" i="24"/>
  <c r="M27" i="24"/>
  <c r="M28" i="24" s="1"/>
  <c r="M29" i="24" s="1"/>
  <c r="M30" i="24" s="1"/>
  <c r="M31" i="24" s="1"/>
  <c r="M21" i="24"/>
  <c r="M20" i="24"/>
  <c r="I22" i="24"/>
  <c r="I23" i="24" s="1"/>
  <c r="I24" i="24" s="1"/>
  <c r="I25" i="24" s="1"/>
  <c r="I26" i="24" s="1"/>
  <c r="I27" i="24" s="1"/>
  <c r="I28" i="24" s="1"/>
  <c r="I29" i="24" s="1"/>
  <c r="I30" i="24" s="1"/>
  <c r="I31" i="24" s="1"/>
  <c r="I21" i="24"/>
  <c r="I20" i="24"/>
  <c r="AA28" i="22"/>
  <c r="W28" i="22"/>
  <c r="X28" i="22"/>
  <c r="Y28" i="22"/>
  <c r="V28" i="22"/>
  <c r="N26" i="22"/>
  <c r="O26" i="22"/>
  <c r="Q26" i="22"/>
  <c r="M26" i="22"/>
  <c r="N24" i="22"/>
  <c r="O24" i="22" s="1"/>
  <c r="P24" i="22" s="1"/>
  <c r="Q24" i="22" s="1"/>
  <c r="M24" i="22"/>
  <c r="M22" i="22"/>
  <c r="N22" i="22" s="1"/>
  <c r="AA27" i="22"/>
  <c r="AA25" i="22"/>
  <c r="AA23" i="22"/>
  <c r="Y27" i="22"/>
  <c r="X27" i="22"/>
  <c r="W27" i="22"/>
  <c r="V27" i="22"/>
  <c r="Y25" i="22"/>
  <c r="X25" i="22"/>
  <c r="W25" i="22"/>
  <c r="V25" i="22"/>
  <c r="Y26" i="22"/>
  <c r="X26" i="22"/>
  <c r="W26" i="22"/>
  <c r="V26" i="22"/>
  <c r="U26" i="22"/>
  <c r="Y24" i="22"/>
  <c r="X24" i="22"/>
  <c r="W24" i="22"/>
  <c r="V24" i="22"/>
  <c r="U24" i="22"/>
  <c r="Y23" i="22"/>
  <c r="X22" i="22"/>
  <c r="W22" i="22"/>
  <c r="X23" i="22" s="1"/>
  <c r="V22" i="22"/>
  <c r="V23" i="22" s="1"/>
  <c r="U22" i="22"/>
  <c r="M23" i="26" l="1"/>
  <c r="L49" i="26"/>
  <c r="G34" i="26"/>
  <c r="D12" i="40"/>
  <c r="G60" i="26"/>
  <c r="D27" i="40"/>
  <c r="O22" i="22"/>
  <c r="E20" i="32"/>
  <c r="E21" i="32" s="1"/>
  <c r="E22" i="32" s="1"/>
  <c r="E23" i="32" s="1"/>
  <c r="E24" i="32" s="1"/>
  <c r="E25" i="32" s="1"/>
  <c r="E26" i="32" s="1"/>
  <c r="E27" i="32" s="1"/>
  <c r="E28" i="32" s="1"/>
  <c r="E29" i="32" s="1"/>
  <c r="E30" i="32" s="1"/>
  <c r="E31" i="32" s="1"/>
  <c r="E20" i="24"/>
  <c r="E21" i="24" s="1"/>
  <c r="F90" i="32"/>
  <c r="J90" i="35"/>
  <c r="N90" i="33"/>
  <c r="N71" i="35"/>
  <c r="M49" i="26"/>
  <c r="F90" i="35"/>
  <c r="F71" i="32"/>
  <c r="F71" i="34"/>
  <c r="H71" i="35"/>
  <c r="I71" i="35" s="1"/>
  <c r="N90" i="35"/>
  <c r="D90" i="35"/>
  <c r="E90" i="35" s="1"/>
  <c r="L71" i="35"/>
  <c r="M71" i="35" s="1"/>
  <c r="H90" i="35"/>
  <c r="I90" i="35" s="1"/>
  <c r="F71" i="35"/>
  <c r="N71" i="32"/>
  <c r="J71" i="32"/>
  <c r="N71" i="33"/>
  <c r="J71" i="34"/>
  <c r="N71" i="34"/>
  <c r="F90" i="34"/>
  <c r="F90" i="33"/>
  <c r="H90" i="33"/>
  <c r="I90" i="33" s="1"/>
  <c r="F71" i="33"/>
  <c r="L90" i="34"/>
  <c r="M90" i="34" s="1"/>
  <c r="N90" i="34"/>
  <c r="D71" i="32"/>
  <c r="E71" i="32" s="1"/>
  <c r="H71" i="32"/>
  <c r="I71" i="32" s="1"/>
  <c r="J90" i="32"/>
  <c r="D90" i="32"/>
  <c r="E90" i="32" s="1"/>
  <c r="N90" i="32"/>
  <c r="W23" i="22"/>
  <c r="P22" i="22" l="1"/>
  <c r="E20" i="33"/>
  <c r="E21" i="33" s="1"/>
  <c r="E22" i="33" s="1"/>
  <c r="E23" i="33" s="1"/>
  <c r="E24" i="33" s="1"/>
  <c r="E25" i="33" s="1"/>
  <c r="E26" i="33" s="1"/>
  <c r="E27" i="33" s="1"/>
  <c r="E28" i="33" s="1"/>
  <c r="E29" i="33" s="1"/>
  <c r="E30" i="33" s="1"/>
  <c r="E31" i="33" s="1"/>
  <c r="P90" i="35"/>
  <c r="P71" i="32"/>
  <c r="J71" i="35"/>
  <c r="P71" i="35"/>
  <c r="P71" i="34"/>
  <c r="J90" i="33"/>
  <c r="P90" i="33"/>
  <c r="J90" i="34"/>
  <c r="P90" i="34"/>
  <c r="J71" i="33"/>
  <c r="P71" i="33"/>
  <c r="P90" i="32"/>
  <c r="E20" i="34" l="1"/>
  <c r="E21" i="34" s="1"/>
  <c r="E22" i="34" s="1"/>
  <c r="E23" i="34" s="1"/>
  <c r="E24" i="34" s="1"/>
  <c r="E25" i="34" s="1"/>
  <c r="E26" i="34" s="1"/>
  <c r="E27" i="34" s="1"/>
  <c r="E28" i="34" s="1"/>
  <c r="E29" i="34" s="1"/>
  <c r="E30" i="34" s="1"/>
  <c r="E31" i="34" s="1"/>
  <c r="Q22" i="22"/>
  <c r="E20" i="35" s="1"/>
  <c r="E21" i="35" s="1"/>
  <c r="E22" i="35" s="1"/>
  <c r="E23" i="35" s="1"/>
  <c r="E24" i="35" s="1"/>
  <c r="E25" i="35" s="1"/>
  <c r="E26" i="35" s="1"/>
  <c r="E27" i="35" s="1"/>
  <c r="E28" i="35" s="1"/>
  <c r="E29" i="35" s="1"/>
  <c r="E30" i="35" s="1"/>
  <c r="E31" i="35" s="1"/>
  <c r="N18" i="22" l="1"/>
  <c r="O18" i="22" s="1"/>
  <c r="P18" i="22" s="1"/>
  <c r="Q18" i="22" s="1"/>
  <c r="F21" i="26" l="1"/>
  <c r="F32" i="26"/>
  <c r="G32" i="26" s="1"/>
  <c r="E46" i="27"/>
  <c r="E47" i="27" s="1"/>
  <c r="F47" i="27"/>
  <c r="F58" i="26" l="1"/>
  <c r="G58" i="26" s="1"/>
  <c r="M21" i="26"/>
  <c r="F21" i="36"/>
  <c r="E25" i="28"/>
  <c r="E25" i="29"/>
  <c r="E26" i="29" s="1"/>
  <c r="F21" i="37" l="1"/>
  <c r="F26" i="29"/>
  <c r="F37" i="37" l="1"/>
  <c r="F21" i="38"/>
  <c r="F21" i="39" l="1"/>
  <c r="E30" i="31"/>
  <c r="D30" i="31"/>
  <c r="D29" i="31"/>
  <c r="F26" i="31"/>
  <c r="E26" i="31"/>
  <c r="D26" i="31"/>
  <c r="D25" i="31"/>
  <c r="E30" i="30"/>
  <c r="D30" i="30"/>
  <c r="D29" i="30"/>
  <c r="F26" i="30"/>
  <c r="E26" i="30"/>
  <c r="D26" i="30"/>
  <c r="D25" i="30"/>
  <c r="E30" i="29"/>
  <c r="D30" i="29"/>
  <c r="D29" i="29"/>
  <c r="D26" i="29"/>
  <c r="D25" i="29"/>
  <c r="E30" i="28"/>
  <c r="D30" i="28"/>
  <c r="D29" i="28"/>
  <c r="F26" i="28"/>
  <c r="E26" i="28"/>
  <c r="D26" i="28"/>
  <c r="D25" i="28"/>
  <c r="E30" i="27"/>
  <c r="D30" i="27"/>
  <c r="D29" i="27"/>
  <c r="F26" i="27"/>
  <c r="E26" i="27"/>
  <c r="D26" i="27"/>
  <c r="D25" i="27"/>
  <c r="M19" i="23"/>
  <c r="M20" i="23" s="1"/>
  <c r="M21" i="23" s="1"/>
  <c r="M22" i="23" s="1"/>
  <c r="M23" i="23" s="1"/>
  <c r="M24" i="23" s="1"/>
  <c r="M25" i="23" s="1"/>
  <c r="M26" i="23" s="1"/>
  <c r="M27" i="23" s="1"/>
  <c r="M28" i="23" s="1"/>
  <c r="M29" i="23" s="1"/>
  <c r="M30" i="23" s="1"/>
  <c r="I20" i="23"/>
  <c r="I21" i="23" s="1"/>
  <c r="I22" i="23" s="1"/>
  <c r="I23" i="23" s="1"/>
  <c r="I24" i="23" s="1"/>
  <c r="I25" i="23" s="1"/>
  <c r="I26" i="23" s="1"/>
  <c r="I27" i="23" s="1"/>
  <c r="I28" i="23" s="1"/>
  <c r="I29" i="23" s="1"/>
  <c r="I30" i="23" s="1"/>
  <c r="I19" i="23"/>
  <c r="E20" i="23"/>
  <c r="E21" i="23" s="1"/>
  <c r="E22" i="23" s="1"/>
  <c r="E23" i="23" s="1"/>
  <c r="E24" i="23" s="1"/>
  <c r="E25" i="23" s="1"/>
  <c r="E26" i="23" s="1"/>
  <c r="E27" i="23" s="1"/>
  <c r="E28" i="23" s="1"/>
  <c r="E29" i="23" s="1"/>
  <c r="E30" i="23" s="1"/>
  <c r="E19" i="23"/>
  <c r="M37" i="22"/>
  <c r="L26" i="22"/>
  <c r="L24" i="22"/>
  <c r="B73" i="24"/>
  <c r="D71" i="24"/>
  <c r="E71" i="24" s="1"/>
  <c r="B54" i="24"/>
  <c r="E22" i="24"/>
  <c r="E23" i="24" s="1"/>
  <c r="E24" i="24" s="1"/>
  <c r="E25" i="24" s="1"/>
  <c r="E26" i="24" s="1"/>
  <c r="E27" i="24" s="1"/>
  <c r="E28" i="24" s="1"/>
  <c r="E29" i="24" s="1"/>
  <c r="E30" i="24" s="1"/>
  <c r="E31" i="24" s="1"/>
  <c r="P89" i="23"/>
  <c r="N89" i="23"/>
  <c r="L89" i="23"/>
  <c r="M89" i="23" s="1"/>
  <c r="J89" i="23"/>
  <c r="H89" i="23"/>
  <c r="I89" i="23" s="1"/>
  <c r="F89" i="23"/>
  <c r="D89" i="23"/>
  <c r="E89" i="23" s="1"/>
  <c r="P87" i="23"/>
  <c r="M87" i="23"/>
  <c r="I87" i="23"/>
  <c r="E87" i="23"/>
  <c r="P86" i="23"/>
  <c r="M86" i="23"/>
  <c r="I86" i="23"/>
  <c r="E86" i="23"/>
  <c r="P85" i="23"/>
  <c r="M85" i="23"/>
  <c r="I85" i="23"/>
  <c r="E85" i="23"/>
  <c r="P84" i="23"/>
  <c r="M84" i="23"/>
  <c r="I84" i="23"/>
  <c r="E84" i="23"/>
  <c r="P83" i="23"/>
  <c r="M83" i="23"/>
  <c r="I83" i="23"/>
  <c r="E83" i="23"/>
  <c r="P82" i="23"/>
  <c r="M82" i="23"/>
  <c r="I82" i="23"/>
  <c r="E82" i="23"/>
  <c r="P81" i="23"/>
  <c r="M81" i="23"/>
  <c r="I81" i="23"/>
  <c r="E81" i="23"/>
  <c r="P80" i="23"/>
  <c r="M80" i="23"/>
  <c r="I80" i="23"/>
  <c r="E80" i="23"/>
  <c r="P79" i="23"/>
  <c r="M79" i="23"/>
  <c r="I79" i="23"/>
  <c r="E79" i="23"/>
  <c r="P78" i="23"/>
  <c r="M78" i="23"/>
  <c r="I78" i="23"/>
  <c r="E78" i="23"/>
  <c r="P77" i="23"/>
  <c r="M77" i="23"/>
  <c r="I77" i="23"/>
  <c r="E77" i="23"/>
  <c r="P76" i="23"/>
  <c r="M76" i="23"/>
  <c r="I76" i="23"/>
  <c r="E76" i="23"/>
  <c r="N70" i="23"/>
  <c r="L70" i="23"/>
  <c r="M70" i="23" s="1"/>
  <c r="J70" i="23"/>
  <c r="H70" i="23"/>
  <c r="I70" i="23" s="1"/>
  <c r="F70" i="23"/>
  <c r="D70" i="23"/>
  <c r="E70" i="23" s="1"/>
  <c r="P68" i="23"/>
  <c r="M68" i="23"/>
  <c r="I68" i="23"/>
  <c r="E68" i="23"/>
  <c r="P67" i="23"/>
  <c r="M67" i="23"/>
  <c r="I67" i="23"/>
  <c r="E67" i="23"/>
  <c r="P66" i="23"/>
  <c r="M66" i="23"/>
  <c r="I66" i="23"/>
  <c r="E66" i="23"/>
  <c r="P65" i="23"/>
  <c r="M65" i="23"/>
  <c r="I65" i="23"/>
  <c r="E65" i="23"/>
  <c r="P64" i="23"/>
  <c r="M64" i="23"/>
  <c r="I64" i="23"/>
  <c r="E64" i="23"/>
  <c r="P63" i="23"/>
  <c r="M63" i="23"/>
  <c r="I63" i="23"/>
  <c r="E63" i="23"/>
  <c r="P62" i="23"/>
  <c r="M62" i="23"/>
  <c r="I62" i="23"/>
  <c r="E62" i="23"/>
  <c r="P61" i="23"/>
  <c r="M61" i="23"/>
  <c r="I61" i="23"/>
  <c r="E61" i="23"/>
  <c r="P60" i="23"/>
  <c r="M60" i="23"/>
  <c r="I60" i="23"/>
  <c r="E60" i="23"/>
  <c r="P59" i="23"/>
  <c r="M59" i="23"/>
  <c r="I59" i="23"/>
  <c r="E59" i="23"/>
  <c r="P58" i="23"/>
  <c r="M58" i="23"/>
  <c r="I58" i="23"/>
  <c r="E58" i="23"/>
  <c r="P57" i="23"/>
  <c r="P70" i="23" s="1"/>
  <c r="M57" i="23"/>
  <c r="I57" i="23"/>
  <c r="E57" i="23"/>
  <c r="E73" i="22"/>
  <c r="L71" i="22"/>
  <c r="I71" i="22"/>
  <c r="H71" i="22"/>
  <c r="E71" i="22"/>
  <c r="L59" i="22"/>
  <c r="L73" i="22" s="1"/>
  <c r="I59" i="22"/>
  <c r="I73" i="22" s="1"/>
  <c r="E59" i="22"/>
  <c r="L56" i="22"/>
  <c r="I56" i="22"/>
  <c r="H56" i="22"/>
  <c r="E56" i="22"/>
  <c r="L44" i="22"/>
  <c r="I44" i="22"/>
  <c r="E44" i="22"/>
  <c r="F30" i="26" l="1"/>
  <c r="M19" i="26" s="1"/>
  <c r="F35" i="26"/>
  <c r="M25" i="26" s="1"/>
  <c r="F56" i="26"/>
  <c r="M45" i="26" s="1"/>
  <c r="F29" i="26"/>
  <c r="M17" i="26" s="1"/>
  <c r="F61" i="26"/>
  <c r="M51" i="26" s="1"/>
  <c r="F55" i="26"/>
  <c r="M43" i="26" s="1"/>
  <c r="M38" i="23"/>
  <c r="M39" i="23" s="1"/>
  <c r="M40" i="23" s="1"/>
  <c r="M41" i="23" s="1"/>
  <c r="M42" i="23" s="1"/>
  <c r="M43" i="23" s="1"/>
  <c r="M44" i="23" s="1"/>
  <c r="M45" i="23" s="1"/>
  <c r="M46" i="23" s="1"/>
  <c r="M47" i="23" s="1"/>
  <c r="M48" i="23" s="1"/>
  <c r="M49" i="23" s="1"/>
  <c r="M39" i="22"/>
  <c r="I38" i="23"/>
  <c r="I39" i="23" s="1"/>
  <c r="I40" i="23" s="1"/>
  <c r="I41" i="23" s="1"/>
  <c r="I42" i="23" s="1"/>
  <c r="I43" i="23" s="1"/>
  <c r="I44" i="23" s="1"/>
  <c r="I45" i="23" s="1"/>
  <c r="I46" i="23" s="1"/>
  <c r="I47" i="23" s="1"/>
  <c r="I48" i="23" s="1"/>
  <c r="I49" i="23" s="1"/>
  <c r="F37" i="36"/>
  <c r="F37" i="39"/>
  <c r="F47" i="26"/>
  <c r="M47" i="26" s="1"/>
  <c r="F37" i="38"/>
  <c r="H71" i="24"/>
  <c r="I71" i="24" s="1"/>
  <c r="D90" i="24"/>
  <c r="E90" i="24" s="1"/>
  <c r="L71" i="24"/>
  <c r="M71" i="24" s="1"/>
  <c r="H90" i="24"/>
  <c r="I90" i="24" s="1"/>
  <c r="L90" i="24"/>
  <c r="M90" i="24" s="1"/>
  <c r="E38" i="23" l="1"/>
  <c r="E39" i="23" s="1"/>
  <c r="E40" i="23" s="1"/>
  <c r="E41" i="23" s="1"/>
  <c r="E42" i="23" s="1"/>
  <c r="E43" i="23" s="1"/>
  <c r="E44" i="23" s="1"/>
  <c r="E45" i="23" s="1"/>
  <c r="E46" i="23" s="1"/>
  <c r="E47" i="23" s="1"/>
  <c r="E48" i="23" s="1"/>
  <c r="E49" i="23" s="1"/>
  <c r="N35" i="22"/>
  <c r="E39" i="24"/>
  <c r="E40" i="24" s="1"/>
  <c r="E41" i="24" s="1"/>
  <c r="E42" i="24" s="1"/>
  <c r="E43" i="24" s="1"/>
  <c r="E44" i="24" s="1"/>
  <c r="E45" i="24" s="1"/>
  <c r="N37" i="22"/>
  <c r="I39" i="24"/>
  <c r="I40" i="24" s="1"/>
  <c r="I41" i="24" s="1"/>
  <c r="N39" i="22"/>
  <c r="M39" i="24"/>
  <c r="M40" i="24" s="1"/>
  <c r="M41" i="24" s="1"/>
  <c r="M42" i="24" s="1"/>
  <c r="M43" i="24" s="1"/>
  <c r="M41" i="22"/>
  <c r="O39" i="22" l="1"/>
  <c r="M39" i="32"/>
  <c r="M40" i="32" s="1"/>
  <c r="M41" i="32" s="1"/>
  <c r="M42" i="32" s="1"/>
  <c r="M43" i="32" s="1"/>
  <c r="M44" i="32" s="1"/>
  <c r="M45" i="32" s="1"/>
  <c r="M46" i="32" s="1"/>
  <c r="M47" i="32" s="1"/>
  <c r="M48" i="32" s="1"/>
  <c r="M49" i="32" s="1"/>
  <c r="M50" i="32" s="1"/>
  <c r="N41" i="22"/>
  <c r="O37" i="22"/>
  <c r="I39" i="32"/>
  <c r="I40" i="32" s="1"/>
  <c r="I41" i="32" s="1"/>
  <c r="I42" i="32" s="1"/>
  <c r="I43" i="32" s="1"/>
  <c r="I44" i="32" s="1"/>
  <c r="I45" i="32" s="1"/>
  <c r="I46" i="32" s="1"/>
  <c r="I47" i="32" s="1"/>
  <c r="I48" i="32" s="1"/>
  <c r="I49" i="32" s="1"/>
  <c r="I50" i="32" s="1"/>
  <c r="O35" i="22"/>
  <c r="E39" i="32"/>
  <c r="E40" i="32" s="1"/>
  <c r="E41" i="32" s="1"/>
  <c r="E42" i="32" s="1"/>
  <c r="E43" i="32" s="1"/>
  <c r="E44" i="32" s="1"/>
  <c r="E45" i="32" s="1"/>
  <c r="E46" i="32" s="1"/>
  <c r="E47" i="32" s="1"/>
  <c r="E48" i="32" s="1"/>
  <c r="E49" i="32" s="1"/>
  <c r="E50" i="32" s="1"/>
  <c r="M44" i="24"/>
  <c r="E46" i="24"/>
  <c r="I42" i="24"/>
  <c r="P35" i="22" l="1"/>
  <c r="E39" i="33"/>
  <c r="E40" i="33" s="1"/>
  <c r="E41" i="33" s="1"/>
  <c r="E42" i="33" s="1"/>
  <c r="E43" i="33" s="1"/>
  <c r="E44" i="33" s="1"/>
  <c r="E45" i="33" s="1"/>
  <c r="E46" i="33" s="1"/>
  <c r="E47" i="33" s="1"/>
  <c r="E48" i="33" s="1"/>
  <c r="E49" i="33" s="1"/>
  <c r="E50" i="33" s="1"/>
  <c r="P37" i="22"/>
  <c r="I39" i="33"/>
  <c r="I40" i="33" s="1"/>
  <c r="I41" i="33" s="1"/>
  <c r="I42" i="33" s="1"/>
  <c r="I43" i="33" s="1"/>
  <c r="I44" i="33" s="1"/>
  <c r="I45" i="33" s="1"/>
  <c r="I46" i="33" s="1"/>
  <c r="I47" i="33" s="1"/>
  <c r="I48" i="33" s="1"/>
  <c r="I49" i="33" s="1"/>
  <c r="I50" i="33" s="1"/>
  <c r="P39" i="22"/>
  <c r="O41" i="22"/>
  <c r="M39" i="33"/>
  <c r="M40" i="33" s="1"/>
  <c r="M41" i="33" s="1"/>
  <c r="M42" i="33" s="1"/>
  <c r="M43" i="33" s="1"/>
  <c r="M44" i="33" s="1"/>
  <c r="M45" i="33" s="1"/>
  <c r="M46" i="33" s="1"/>
  <c r="M47" i="33" s="1"/>
  <c r="M48" i="33" s="1"/>
  <c r="M49" i="33" s="1"/>
  <c r="M50" i="33" s="1"/>
  <c r="I43" i="24"/>
  <c r="M45" i="24"/>
  <c r="E47" i="24"/>
  <c r="Q39" i="22" l="1"/>
  <c r="P41" i="22"/>
  <c r="M39" i="34"/>
  <c r="M40" i="34" s="1"/>
  <c r="M41" i="34" s="1"/>
  <c r="M42" i="34" s="1"/>
  <c r="M43" i="34" s="1"/>
  <c r="M44" i="34" s="1"/>
  <c r="M45" i="34" s="1"/>
  <c r="M46" i="34" s="1"/>
  <c r="M47" i="34" s="1"/>
  <c r="M48" i="34" s="1"/>
  <c r="M49" i="34" s="1"/>
  <c r="M50" i="34" s="1"/>
  <c r="Q37" i="22"/>
  <c r="I39" i="35" s="1"/>
  <c r="I40" i="35" s="1"/>
  <c r="I41" i="35" s="1"/>
  <c r="I42" i="35" s="1"/>
  <c r="I43" i="35" s="1"/>
  <c r="I44" i="35" s="1"/>
  <c r="I45" i="35" s="1"/>
  <c r="I46" i="35" s="1"/>
  <c r="I47" i="35" s="1"/>
  <c r="I48" i="35" s="1"/>
  <c r="I49" i="35" s="1"/>
  <c r="I50" i="35" s="1"/>
  <c r="I39" i="34"/>
  <c r="I40" i="34" s="1"/>
  <c r="I41" i="34" s="1"/>
  <c r="I42" i="34" s="1"/>
  <c r="I43" i="34" s="1"/>
  <c r="I44" i="34" s="1"/>
  <c r="I45" i="34" s="1"/>
  <c r="I46" i="34" s="1"/>
  <c r="I47" i="34" s="1"/>
  <c r="I48" i="34" s="1"/>
  <c r="I49" i="34" s="1"/>
  <c r="I50" i="34" s="1"/>
  <c r="Q35" i="22"/>
  <c r="E39" i="35" s="1"/>
  <c r="E40" i="35" s="1"/>
  <c r="E41" i="35" s="1"/>
  <c r="E42" i="35" s="1"/>
  <c r="E43" i="35" s="1"/>
  <c r="E44" i="35" s="1"/>
  <c r="E45" i="35" s="1"/>
  <c r="E46" i="35" s="1"/>
  <c r="E47" i="35" s="1"/>
  <c r="E48" i="35" s="1"/>
  <c r="E49" i="35" s="1"/>
  <c r="E50" i="35" s="1"/>
  <c r="E39" i="34"/>
  <c r="E40" i="34" s="1"/>
  <c r="E41" i="34" s="1"/>
  <c r="E42" i="34" s="1"/>
  <c r="E43" i="34" s="1"/>
  <c r="E44" i="34" s="1"/>
  <c r="E45" i="34" s="1"/>
  <c r="E46" i="34" s="1"/>
  <c r="E47" i="34" s="1"/>
  <c r="E48" i="34" s="1"/>
  <c r="E49" i="34" s="1"/>
  <c r="E50" i="34" s="1"/>
  <c r="E48" i="24"/>
  <c r="I44" i="24"/>
  <c r="M46" i="24"/>
  <c r="Q41" i="22" l="1"/>
  <c r="M39" i="35"/>
  <c r="M40" i="35" s="1"/>
  <c r="M41" i="35" s="1"/>
  <c r="M42" i="35" s="1"/>
  <c r="M43" i="35" s="1"/>
  <c r="M44" i="35" s="1"/>
  <c r="M45" i="35" s="1"/>
  <c r="M46" i="35" s="1"/>
  <c r="M47" i="35" s="1"/>
  <c r="M48" i="35" s="1"/>
  <c r="M49" i="35" s="1"/>
  <c r="M50" i="35" s="1"/>
  <c r="I45" i="24"/>
  <c r="E49" i="24"/>
  <c r="M47" i="24"/>
  <c r="E50" i="24" l="1"/>
  <c r="I46" i="24"/>
  <c r="M48" i="24"/>
  <c r="M49" i="24" l="1"/>
  <c r="I47" i="24"/>
  <c r="N71" i="24" l="1"/>
  <c r="P90" i="24"/>
  <c r="J90" i="24"/>
  <c r="I48" i="24"/>
  <c r="N90" i="24"/>
  <c r="M50" i="24"/>
  <c r="P71" i="24" l="1"/>
  <c r="J71" i="24"/>
  <c r="F90" i="24"/>
  <c r="I49" i="24"/>
  <c r="I50" i="24" l="1"/>
  <c r="F71" i="24" l="1"/>
  <c r="E23" i="40" l="1"/>
  <c r="E30" i="40"/>
  <c r="E26" i="40"/>
  <c r="E22" i="40"/>
  <c r="E31" i="40"/>
  <c r="E24" i="40"/>
  <c r="E28" i="40"/>
  <c r="E21" i="40"/>
  <c r="E29" i="40"/>
  <c r="E8" i="40" l="1"/>
  <c r="E16" i="40"/>
  <c r="E13" i="40"/>
  <c r="E7" i="40"/>
  <c r="E14" i="40"/>
  <c r="E15" i="40"/>
  <c r="E9" i="40"/>
  <c r="E11" i="40"/>
  <c r="E6" i="40"/>
  <c r="G47" i="26" l="1"/>
  <c r="E25" i="40"/>
  <c r="G49" i="26"/>
  <c r="E27" i="40"/>
  <c r="J32" i="1"/>
  <c r="K32" i="1"/>
  <c r="I32" i="1"/>
  <c r="J6" i="1"/>
  <c r="K6" i="1"/>
  <c r="I6" i="1"/>
  <c r="I13" i="1"/>
  <c r="L13" i="1" s="1"/>
  <c r="L6" i="1"/>
  <c r="K28" i="1"/>
  <c r="J28" i="1"/>
  <c r="I28" i="1"/>
  <c r="K14" i="1"/>
  <c r="J14" i="1"/>
  <c r="L12" i="1"/>
  <c r="L11" i="1"/>
  <c r="L10" i="1"/>
  <c r="L9" i="1"/>
  <c r="L8" i="1"/>
  <c r="L7" i="1"/>
  <c r="L5" i="1"/>
  <c r="D30" i="1"/>
  <c r="E30" i="1"/>
  <c r="C30" i="1"/>
  <c r="E28" i="1"/>
  <c r="D28" i="1"/>
  <c r="C28" i="1"/>
  <c r="E14" i="1"/>
  <c r="D14" i="1"/>
  <c r="C14" i="1"/>
  <c r="F13" i="1"/>
  <c r="F12" i="1"/>
  <c r="F14" i="1" s="1"/>
  <c r="F11" i="1"/>
  <c r="F10" i="1"/>
  <c r="F9" i="1"/>
  <c r="F8" i="1"/>
  <c r="F7" i="1"/>
  <c r="F6" i="1"/>
  <c r="F5" i="1"/>
  <c r="G23" i="26" l="1"/>
  <c r="E12" i="40"/>
  <c r="G21" i="26"/>
  <c r="E10" i="40"/>
  <c r="I14" i="1"/>
  <c r="K30" i="1"/>
  <c r="J30" i="1"/>
  <c r="L14" i="1"/>
  <c r="I30" i="1"/>
  <c r="E32" i="30" l="1"/>
  <c r="E32" i="28"/>
  <c r="E53" i="27"/>
  <c r="G35" i="26" l="1"/>
  <c r="L25" i="26"/>
  <c r="G61" i="26"/>
  <c r="E32" i="31"/>
  <c r="E57" i="27"/>
  <c r="E55" i="27"/>
  <c r="E38" i="27"/>
  <c r="E36" i="27"/>
  <c r="E32" i="27"/>
  <c r="E32" i="29"/>
  <c r="F24" i="26" l="1"/>
  <c r="M24" i="26" s="1"/>
  <c r="F26" i="26"/>
  <c r="F38" i="27"/>
  <c r="F27" i="26"/>
  <c r="F36" i="27"/>
  <c r="F32" i="27"/>
  <c r="E38" i="28"/>
  <c r="E36" i="28"/>
  <c r="F36" i="26" l="1"/>
  <c r="F55" i="27"/>
  <c r="F32" i="28"/>
  <c r="F24" i="36"/>
  <c r="G26" i="26"/>
  <c r="G24" i="26"/>
  <c r="F50" i="26"/>
  <c r="M50" i="26" s="1"/>
  <c r="F52" i="26"/>
  <c r="F53" i="26"/>
  <c r="G27" i="26"/>
  <c r="E38" i="29"/>
  <c r="E36" i="29"/>
  <c r="M26" i="26" l="1"/>
  <c r="G36" i="26"/>
  <c r="F62" i="26"/>
  <c r="G62" i="26" s="1"/>
  <c r="F32" i="29"/>
  <c r="F24" i="37"/>
  <c r="F40" i="36"/>
  <c r="G50" i="26"/>
  <c r="G53" i="26"/>
  <c r="G52" i="26"/>
  <c r="E36" i="30"/>
  <c r="E38" i="30"/>
  <c r="M52" i="26" l="1"/>
  <c r="F37" i="26"/>
  <c r="F57" i="27"/>
  <c r="F36" i="28"/>
  <c r="F26" i="36"/>
  <c r="E36" i="31"/>
  <c r="E38" i="31"/>
  <c r="F32" i="30"/>
  <c r="F24" i="38"/>
  <c r="F40" i="37"/>
  <c r="F42" i="36" l="1"/>
  <c r="F36" i="29"/>
  <c r="F63" i="26"/>
  <c r="G37" i="26"/>
  <c r="M27" i="26"/>
  <c r="F26" i="37"/>
  <c r="F32" i="31"/>
  <c r="F24" i="39"/>
  <c r="F40" i="38"/>
  <c r="F42" i="37" l="1"/>
  <c r="F40" i="39"/>
  <c r="F36" i="30"/>
  <c r="G63" i="26"/>
  <c r="M53" i="26"/>
  <c r="F38" i="28"/>
  <c r="F27" i="36"/>
  <c r="F26" i="38"/>
  <c r="E28" i="27"/>
  <c r="F42" i="38" l="1"/>
  <c r="F43" i="36"/>
  <c r="F36" i="31"/>
  <c r="F38" i="29"/>
  <c r="F22" i="26"/>
  <c r="G22" i="26" s="1"/>
  <c r="F26" i="39"/>
  <c r="F27" i="37"/>
  <c r="F28" i="27"/>
  <c r="G17" i="26"/>
  <c r="E18" i="27"/>
  <c r="F43" i="37" l="1"/>
  <c r="F42" i="39"/>
  <c r="F48" i="26"/>
  <c r="G48" i="26" s="1"/>
  <c r="F27" i="38"/>
  <c r="F38" i="30"/>
  <c r="G43" i="26"/>
  <c r="E22" i="27"/>
  <c r="F43" i="38" l="1"/>
  <c r="F38" i="31"/>
  <c r="F27" i="39"/>
  <c r="G19" i="26"/>
  <c r="G45" i="26"/>
  <c r="F43" i="39" l="1"/>
  <c r="E24" i="27" l="1"/>
  <c r="E20" i="29" l="1"/>
  <c r="E20" i="30" l="1"/>
  <c r="E20" i="31"/>
  <c r="E20" i="27"/>
  <c r="E20" i="28"/>
  <c r="G18" i="26" l="1"/>
  <c r="L44" i="26"/>
  <c r="G44" i="26" l="1"/>
  <c r="F24" i="27" l="1"/>
  <c r="F20" i="26"/>
  <c r="F46" i="26" l="1"/>
  <c r="G46" i="26" s="1"/>
  <c r="G20" i="26"/>
  <c r="G30" i="26" l="1"/>
  <c r="L19" i="26"/>
  <c r="E28" i="28"/>
  <c r="F33" i="26" l="1"/>
  <c r="G33" i="26" s="1"/>
  <c r="E24" i="28"/>
  <c r="E22" i="28"/>
  <c r="F49" i="27"/>
  <c r="M22" i="26"/>
  <c r="E49" i="27"/>
  <c r="F59" i="26" l="1"/>
  <c r="G59" i="26" s="1"/>
  <c r="E22" i="30"/>
  <c r="E22" i="29"/>
  <c r="F28" i="28"/>
  <c r="F22" i="36"/>
  <c r="M48" i="26"/>
  <c r="E24" i="30"/>
  <c r="E24" i="29" l="1"/>
  <c r="E28" i="29"/>
  <c r="E28" i="31"/>
  <c r="F38" i="36"/>
  <c r="E18" i="28"/>
  <c r="E41" i="27"/>
  <c r="E28" i="30"/>
  <c r="G29" i="26" l="1"/>
  <c r="L17" i="26"/>
  <c r="F28" i="30"/>
  <c r="G55" i="26"/>
  <c r="E22" i="31"/>
  <c r="F22" i="38"/>
  <c r="F38" i="38"/>
  <c r="L43" i="26"/>
  <c r="F28" i="31" l="1"/>
  <c r="F22" i="39"/>
  <c r="E18" i="30"/>
  <c r="E18" i="29"/>
  <c r="F31" i="26" l="1"/>
  <c r="G31" i="26" s="1"/>
  <c r="F38" i="39"/>
  <c r="F24" i="28"/>
  <c r="F20" i="36"/>
  <c r="E45" i="27"/>
  <c r="E24" i="31"/>
  <c r="M20" i="26" l="1"/>
  <c r="E18" i="31"/>
  <c r="F24" i="29"/>
  <c r="F20" i="37"/>
  <c r="F36" i="36"/>
  <c r="F24" i="30" l="1"/>
  <c r="F20" i="38"/>
  <c r="F36" i="37"/>
  <c r="F24" i="31" l="1"/>
  <c r="F20" i="39"/>
  <c r="F36" i="38"/>
  <c r="F36" i="39" l="1"/>
  <c r="F28" i="29"/>
  <c r="F22" i="37"/>
  <c r="F38" i="37"/>
  <c r="F45" i="27"/>
  <c r="F57" i="26" l="1"/>
  <c r="G57" i="26" s="1"/>
  <c r="M46" i="26" l="1"/>
  <c r="E34" i="27" l="1"/>
  <c r="E34" i="28"/>
  <c r="N38" i="23"/>
  <c r="N39" i="23"/>
  <c r="N40" i="23"/>
  <c r="N41" i="23"/>
  <c r="N42" i="23"/>
  <c r="N43" i="23"/>
  <c r="N44" i="23"/>
  <c r="N45" i="23"/>
  <c r="N46" i="23"/>
  <c r="N47" i="23"/>
  <c r="N48" i="23"/>
  <c r="N49" i="23"/>
  <c r="J46" i="23"/>
  <c r="J47" i="23"/>
  <c r="J48" i="23"/>
  <c r="J49" i="23"/>
  <c r="J43" i="23"/>
  <c r="J39" i="23"/>
  <c r="J38" i="23"/>
  <c r="J42" i="23"/>
  <c r="J44" i="23"/>
  <c r="J40" i="23"/>
  <c r="J41" i="23"/>
  <c r="J45" i="23"/>
  <c r="F38" i="23"/>
  <c r="F46" i="23"/>
  <c r="F39" i="23"/>
  <c r="F40" i="23"/>
  <c r="F42" i="23"/>
  <c r="F47" i="23"/>
  <c r="F48" i="23"/>
  <c r="F49" i="23"/>
  <c r="F43" i="23"/>
  <c r="F45" i="23"/>
  <c r="F41" i="23"/>
  <c r="F44" i="23"/>
  <c r="N19" i="23"/>
  <c r="N20" i="23"/>
  <c r="N21" i="23"/>
  <c r="N22" i="23"/>
  <c r="N23" i="23"/>
  <c r="N24" i="23"/>
  <c r="N26" i="23"/>
  <c r="N27" i="23"/>
  <c r="N28" i="23"/>
  <c r="N29" i="23"/>
  <c r="N30" i="23"/>
  <c r="N25" i="23"/>
  <c r="J19" i="23"/>
  <c r="J20" i="23"/>
  <c r="J21" i="23"/>
  <c r="J22" i="23"/>
  <c r="J23" i="23"/>
  <c r="J24" i="23"/>
  <c r="J25" i="23"/>
  <c r="J26" i="23"/>
  <c r="J27" i="23"/>
  <c r="J28" i="23"/>
  <c r="J29" i="23"/>
  <c r="J30" i="23"/>
  <c r="F27" i="23"/>
  <c r="F26" i="23"/>
  <c r="F20" i="23"/>
  <c r="F28" i="23"/>
  <c r="F25" i="23"/>
  <c r="F23" i="23"/>
  <c r="F30" i="23"/>
  <c r="F29" i="23"/>
  <c r="F24" i="23"/>
  <c r="F22" i="23"/>
  <c r="F21" i="23"/>
  <c r="F19" i="23"/>
  <c r="L51" i="23"/>
  <c r="H51" i="23"/>
  <c r="D51" i="23"/>
  <c r="D95" i="23"/>
  <c r="L32" i="23"/>
  <c r="L95" i="23"/>
  <c r="L96" i="23"/>
  <c r="L97" i="23"/>
  <c r="L98" i="23"/>
  <c r="L99" i="23"/>
  <c r="L100" i="23"/>
  <c r="L101" i="23"/>
  <c r="L102" i="23"/>
  <c r="L103" i="23"/>
  <c r="D32" i="23"/>
  <c r="L104" i="23"/>
  <c r="L105" i="23"/>
  <c r="L106" i="23"/>
  <c r="H95" i="23"/>
  <c r="H32" i="23"/>
  <c r="H96" i="23"/>
  <c r="H97" i="23"/>
  <c r="H98" i="23"/>
  <c r="H99" i="23"/>
  <c r="H100" i="23"/>
  <c r="H101" i="23"/>
  <c r="H102" i="23"/>
  <c r="H103" i="23"/>
  <c r="H104" i="23"/>
  <c r="H105" i="23"/>
  <c r="H106" i="23"/>
  <c r="D104" i="23"/>
  <c r="D101" i="23"/>
  <c r="D99" i="23"/>
  <c r="D106" i="23"/>
  <c r="D105" i="23"/>
  <c r="D100" i="23"/>
  <c r="D98" i="23"/>
  <c r="D97" i="23"/>
  <c r="D103" i="23"/>
  <c r="D102" i="23"/>
  <c r="D96" i="23"/>
  <c r="E34" i="29" l="1"/>
  <c r="N29" i="24"/>
  <c r="N26" i="24"/>
  <c r="F46" i="24"/>
  <c r="J45" i="24"/>
  <c r="F44" i="24"/>
  <c r="J25" i="24"/>
  <c r="L101" i="24"/>
  <c r="J40" i="24"/>
  <c r="F31" i="24"/>
  <c r="F27" i="24"/>
  <c r="J22" i="24"/>
  <c r="F41" i="24"/>
  <c r="J21" i="24"/>
  <c r="N22" i="24"/>
  <c r="J50" i="24"/>
  <c r="N42" i="24"/>
  <c r="J29" i="24"/>
  <c r="F39" i="24"/>
  <c r="N40" i="24"/>
  <c r="J23" i="24"/>
  <c r="J47" i="24"/>
  <c r="N50" i="24"/>
  <c r="N28" i="24"/>
  <c r="F29" i="24"/>
  <c r="J39" i="24"/>
  <c r="F43" i="24"/>
  <c r="F49" i="24"/>
  <c r="J43" i="24"/>
  <c r="N49" i="24"/>
  <c r="N39" i="24"/>
  <c r="J26" i="24"/>
  <c r="N31" i="24"/>
  <c r="F24" i="24"/>
  <c r="F45" i="24"/>
  <c r="F42" i="24"/>
  <c r="F47" i="24"/>
  <c r="N41" i="24"/>
  <c r="N48" i="24"/>
  <c r="N24" i="24"/>
  <c r="J46" i="24"/>
  <c r="N45" i="24"/>
  <c r="J42" i="24"/>
  <c r="F26" i="24"/>
  <c r="J31" i="24"/>
  <c r="N30" i="24"/>
  <c r="N21" i="24"/>
  <c r="F48" i="24"/>
  <c r="J41" i="24"/>
  <c r="J48" i="24"/>
  <c r="N44" i="24"/>
  <c r="G25" i="26"/>
  <c r="L51" i="26"/>
  <c r="P39" i="23"/>
  <c r="P45" i="23"/>
  <c r="F104" i="23"/>
  <c r="E104" i="23" s="1"/>
  <c r="P29" i="23"/>
  <c r="P22" i="23"/>
  <c r="J99" i="23"/>
  <c r="I99" i="23" s="1"/>
  <c r="P42" i="23"/>
  <c r="P27" i="23"/>
  <c r="N106" i="23"/>
  <c r="M106" i="23" s="1"/>
  <c r="N97" i="23"/>
  <c r="M97" i="23" s="1"/>
  <c r="P41" i="23"/>
  <c r="P48" i="23"/>
  <c r="F106" i="23"/>
  <c r="E106" i="23" s="1"/>
  <c r="P40" i="23"/>
  <c r="J102" i="23"/>
  <c r="I102" i="23" s="1"/>
  <c r="N99" i="23"/>
  <c r="M99" i="23" s="1"/>
  <c r="N96" i="23"/>
  <c r="M96" i="23" s="1"/>
  <c r="N104" i="23"/>
  <c r="M104" i="23" s="1"/>
  <c r="N95" i="23"/>
  <c r="M95" i="23" s="1"/>
  <c r="P46" i="23"/>
  <c r="J104" i="23"/>
  <c r="I104" i="23" s="1"/>
  <c r="F105" i="23"/>
  <c r="E105" i="23" s="1"/>
  <c r="J100" i="23"/>
  <c r="I100" i="23" s="1"/>
  <c r="P47" i="23"/>
  <c r="F103" i="23"/>
  <c r="E103" i="23" s="1"/>
  <c r="N103" i="23"/>
  <c r="M103" i="23" s="1"/>
  <c r="P38" i="23"/>
  <c r="J96" i="23"/>
  <c r="I96" i="23" s="1"/>
  <c r="F100" i="23"/>
  <c r="E100" i="23" s="1"/>
  <c r="N101" i="23"/>
  <c r="M101" i="23" s="1"/>
  <c r="N98" i="23"/>
  <c r="M98" i="23" s="1"/>
  <c r="P49" i="23"/>
  <c r="N51" i="23"/>
  <c r="M51" i="23" s="1"/>
  <c r="P44" i="23"/>
  <c r="P30" i="23"/>
  <c r="N105" i="23"/>
  <c r="M105" i="23" s="1"/>
  <c r="F51" i="23"/>
  <c r="E51" i="23" s="1"/>
  <c r="F95" i="23"/>
  <c r="E95" i="23" s="1"/>
  <c r="N32" i="23"/>
  <c r="M32" i="23" s="1"/>
  <c r="J98" i="23"/>
  <c r="J51" i="23"/>
  <c r="I51" i="23" s="1"/>
  <c r="J103" i="23"/>
  <c r="N102" i="23"/>
  <c r="M102" i="23" s="1"/>
  <c r="J106" i="23"/>
  <c r="I106" i="23" s="1"/>
  <c r="N100" i="23"/>
  <c r="M100" i="23" s="1"/>
  <c r="J95" i="23"/>
  <c r="J101" i="23"/>
  <c r="I101" i="23" s="1"/>
  <c r="P43" i="23"/>
  <c r="P25" i="23"/>
  <c r="F101" i="23"/>
  <c r="E101" i="23" s="1"/>
  <c r="F96" i="23"/>
  <c r="E96" i="23" s="1"/>
  <c r="F102" i="23"/>
  <c r="E102" i="23" s="1"/>
  <c r="J105" i="23"/>
  <c r="F99" i="23"/>
  <c r="E99" i="23" s="1"/>
  <c r="P26" i="23"/>
  <c r="P20" i="23"/>
  <c r="F98" i="23"/>
  <c r="E98" i="23" s="1"/>
  <c r="P23" i="23"/>
  <c r="J32" i="23"/>
  <c r="I32" i="23" s="1"/>
  <c r="P19" i="23"/>
  <c r="P28" i="23"/>
  <c r="P24" i="23"/>
  <c r="P21" i="23"/>
  <c r="J97" i="23"/>
  <c r="I97" i="23" s="1"/>
  <c r="F32" i="23"/>
  <c r="E32" i="23" s="1"/>
  <c r="F97" i="23"/>
  <c r="L108" i="23"/>
  <c r="H108" i="23"/>
  <c r="D108" i="23"/>
  <c r="D96" i="24" l="1"/>
  <c r="L96" i="24"/>
  <c r="D106" i="24"/>
  <c r="E106" i="24" s="1"/>
  <c r="F30" i="24"/>
  <c r="F106" i="24" s="1"/>
  <c r="N25" i="24"/>
  <c r="D99" i="24"/>
  <c r="H103" i="24"/>
  <c r="D97" i="24"/>
  <c r="H101" i="24"/>
  <c r="I101" i="24" s="1"/>
  <c r="H106" i="24"/>
  <c r="E34" i="30"/>
  <c r="D104" i="24"/>
  <c r="E104" i="24" s="1"/>
  <c r="J27" i="24"/>
  <c r="F20" i="24"/>
  <c r="F96" i="24" s="1"/>
  <c r="D103" i="24"/>
  <c r="J44" i="24"/>
  <c r="P44" i="24" s="1"/>
  <c r="N20" i="24"/>
  <c r="L97" i="24"/>
  <c r="L107" i="24"/>
  <c r="M107" i="24" s="1"/>
  <c r="L102" i="24"/>
  <c r="H104" i="24"/>
  <c r="H98" i="24"/>
  <c r="I98" i="24" s="1"/>
  <c r="L103" i="24"/>
  <c r="D100" i="24"/>
  <c r="E100" i="24" s="1"/>
  <c r="J46" i="33"/>
  <c r="J28" i="24"/>
  <c r="J104" i="24" s="1"/>
  <c r="F30" i="33"/>
  <c r="F21" i="33"/>
  <c r="N46" i="33"/>
  <c r="N25" i="33"/>
  <c r="L99" i="24"/>
  <c r="D105" i="24"/>
  <c r="J30" i="24"/>
  <c r="P30" i="24" s="1"/>
  <c r="N50" i="33"/>
  <c r="J27" i="33"/>
  <c r="J44" i="33"/>
  <c r="N27" i="24"/>
  <c r="J28" i="33"/>
  <c r="F23" i="24"/>
  <c r="F99" i="24" s="1"/>
  <c r="H97" i="24"/>
  <c r="N30" i="33"/>
  <c r="N46" i="24"/>
  <c r="P46" i="24" s="1"/>
  <c r="F41" i="33"/>
  <c r="L105" i="24"/>
  <c r="M105" i="24" s="1"/>
  <c r="J40" i="33"/>
  <c r="F21" i="24"/>
  <c r="J25" i="33"/>
  <c r="J20" i="33"/>
  <c r="N26" i="33"/>
  <c r="J43" i="33"/>
  <c r="J23" i="33"/>
  <c r="N20" i="33"/>
  <c r="J39" i="33"/>
  <c r="N29" i="33"/>
  <c r="F22" i="24"/>
  <c r="J29" i="33"/>
  <c r="N44" i="33"/>
  <c r="D98" i="24"/>
  <c r="E98" i="24" s="1"/>
  <c r="L98" i="24"/>
  <c r="N49" i="33"/>
  <c r="J47" i="33"/>
  <c r="F43" i="33"/>
  <c r="F29" i="33"/>
  <c r="F31" i="33"/>
  <c r="F49" i="33"/>
  <c r="N23" i="33"/>
  <c r="F27" i="33"/>
  <c r="N22" i="33"/>
  <c r="N42" i="33"/>
  <c r="J41" i="33"/>
  <c r="N24" i="33"/>
  <c r="N47" i="33"/>
  <c r="F23" i="33"/>
  <c r="N48" i="33"/>
  <c r="N39" i="33"/>
  <c r="F46" i="33"/>
  <c r="F39" i="33"/>
  <c r="J26" i="33"/>
  <c r="F44" i="33"/>
  <c r="D52" i="24"/>
  <c r="L33" i="24"/>
  <c r="J30" i="33"/>
  <c r="F40" i="33"/>
  <c r="D101" i="24"/>
  <c r="J31" i="32"/>
  <c r="N40" i="33"/>
  <c r="J22" i="33"/>
  <c r="H102" i="24"/>
  <c r="I102" i="24" s="1"/>
  <c r="J49" i="33"/>
  <c r="H107" i="24"/>
  <c r="F40" i="24"/>
  <c r="J50" i="33"/>
  <c r="N47" i="24"/>
  <c r="P47" i="24" s="1"/>
  <c r="L104" i="24"/>
  <c r="D102" i="24"/>
  <c r="F25" i="24"/>
  <c r="L52" i="24"/>
  <c r="N23" i="24"/>
  <c r="P23" i="24" s="1"/>
  <c r="F47" i="33"/>
  <c r="H96" i="24"/>
  <c r="L100" i="24"/>
  <c r="D33" i="24"/>
  <c r="F28" i="33"/>
  <c r="N43" i="33"/>
  <c r="F28" i="24"/>
  <c r="F104" i="24" s="1"/>
  <c r="N43" i="24"/>
  <c r="P43" i="24" s="1"/>
  <c r="H99" i="24"/>
  <c r="I99" i="24" s="1"/>
  <c r="N45" i="33"/>
  <c r="J49" i="24"/>
  <c r="P49" i="24" s="1"/>
  <c r="L106" i="24"/>
  <c r="M106" i="24" s="1"/>
  <c r="F50" i="33"/>
  <c r="F26" i="33"/>
  <c r="H105" i="24"/>
  <c r="H52" i="24"/>
  <c r="F42" i="33"/>
  <c r="J42" i="33"/>
  <c r="F48" i="33"/>
  <c r="J20" i="24"/>
  <c r="J96" i="24" s="1"/>
  <c r="H33" i="24"/>
  <c r="F50" i="24"/>
  <c r="F107" i="24" s="1"/>
  <c r="H100" i="24"/>
  <c r="J24" i="24"/>
  <c r="P24" i="24" s="1"/>
  <c r="J24" i="33"/>
  <c r="D107" i="24"/>
  <c r="E107" i="24" s="1"/>
  <c r="F102" i="24"/>
  <c r="N98" i="24"/>
  <c r="P50" i="24"/>
  <c r="F24" i="32"/>
  <c r="N50" i="32"/>
  <c r="N107" i="24"/>
  <c r="F41" i="32"/>
  <c r="N27" i="32"/>
  <c r="F105" i="24"/>
  <c r="P42" i="24"/>
  <c r="P41" i="24"/>
  <c r="N25" i="32"/>
  <c r="P40" i="24"/>
  <c r="N106" i="24"/>
  <c r="P48" i="24"/>
  <c r="F103" i="24"/>
  <c r="P45" i="24"/>
  <c r="N41" i="33"/>
  <c r="N41" i="34"/>
  <c r="N50" i="34"/>
  <c r="F100" i="24"/>
  <c r="N102" i="24"/>
  <c r="N105" i="24"/>
  <c r="N41" i="32"/>
  <c r="N101" i="24"/>
  <c r="M101" i="24" s="1"/>
  <c r="N97" i="24"/>
  <c r="F22" i="32"/>
  <c r="N31" i="32"/>
  <c r="G38" i="26"/>
  <c r="H36" i="26" s="1"/>
  <c r="G51" i="26"/>
  <c r="N26" i="32"/>
  <c r="H96" i="33"/>
  <c r="D98" i="32"/>
  <c r="H17" i="30"/>
  <c r="H22" i="31"/>
  <c r="H21" i="31"/>
  <c r="H19" i="31"/>
  <c r="H22" i="29"/>
  <c r="H19" i="29"/>
  <c r="G22" i="27"/>
  <c r="H22" i="27" s="1"/>
  <c r="G42" i="27"/>
  <c r="H42" i="27" s="1"/>
  <c r="G52" i="27"/>
  <c r="H52" i="27" s="1"/>
  <c r="P99" i="23"/>
  <c r="P105" i="23"/>
  <c r="P51" i="23"/>
  <c r="P103" i="23"/>
  <c r="P95" i="23"/>
  <c r="P96" i="23"/>
  <c r="I103" i="23"/>
  <c r="P104" i="23"/>
  <c r="N108" i="23"/>
  <c r="M108" i="23" s="1"/>
  <c r="P98" i="23"/>
  <c r="I95" i="23"/>
  <c r="P101" i="23"/>
  <c r="I105" i="23"/>
  <c r="P106" i="23"/>
  <c r="I98" i="23"/>
  <c r="P100" i="23"/>
  <c r="P102" i="23"/>
  <c r="P97" i="23"/>
  <c r="M97" i="24"/>
  <c r="J108" i="23"/>
  <c r="I108" i="23" s="1"/>
  <c r="P32" i="23"/>
  <c r="P39" i="24"/>
  <c r="F108" i="23"/>
  <c r="E108" i="23" s="1"/>
  <c r="N96" i="24"/>
  <c r="P22" i="24"/>
  <c r="J98" i="24"/>
  <c r="P29" i="24"/>
  <c r="J105" i="24"/>
  <c r="P26" i="24"/>
  <c r="J102" i="24"/>
  <c r="J99" i="24"/>
  <c r="E97" i="23"/>
  <c r="J103" i="24"/>
  <c r="P31" i="24"/>
  <c r="J107" i="24"/>
  <c r="P21" i="24"/>
  <c r="J97" i="24"/>
  <c r="P25" i="24"/>
  <c r="J101" i="24"/>
  <c r="I103" i="24" l="1"/>
  <c r="E99" i="24"/>
  <c r="I104" i="24"/>
  <c r="H109" i="24"/>
  <c r="E101" i="24"/>
  <c r="M102" i="24"/>
  <c r="M104" i="24"/>
  <c r="I107" i="24"/>
  <c r="E96" i="24"/>
  <c r="N109" i="24"/>
  <c r="M109" i="24" s="1"/>
  <c r="E105" i="24"/>
  <c r="M98" i="24"/>
  <c r="I97" i="24"/>
  <c r="I105" i="24"/>
  <c r="M96" i="24"/>
  <c r="L109" i="24"/>
  <c r="E102" i="24"/>
  <c r="E103" i="24"/>
  <c r="N104" i="24"/>
  <c r="P104" i="24" s="1"/>
  <c r="P29" i="33"/>
  <c r="P27" i="24"/>
  <c r="N30" i="32"/>
  <c r="D109" i="24"/>
  <c r="J46" i="34"/>
  <c r="G40" i="27"/>
  <c r="H40" i="27" s="1"/>
  <c r="F46" i="32"/>
  <c r="N103" i="24"/>
  <c r="M103" i="24" s="1"/>
  <c r="D101" i="32"/>
  <c r="F23" i="32"/>
  <c r="J101" i="33"/>
  <c r="F44" i="34"/>
  <c r="F30" i="32"/>
  <c r="N105" i="33"/>
  <c r="H27" i="26"/>
  <c r="H17" i="26"/>
  <c r="H96" i="32"/>
  <c r="J39" i="32"/>
  <c r="L107" i="33"/>
  <c r="F44" i="32"/>
  <c r="L101" i="32"/>
  <c r="P28" i="24"/>
  <c r="N31" i="33"/>
  <c r="N107" i="33" s="1"/>
  <c r="F40" i="32"/>
  <c r="D97" i="32"/>
  <c r="D97" i="33"/>
  <c r="N44" i="34"/>
  <c r="N98" i="33"/>
  <c r="J46" i="32"/>
  <c r="H103" i="32"/>
  <c r="N100" i="24"/>
  <c r="M100" i="24" s="1"/>
  <c r="N44" i="32"/>
  <c r="L99" i="33"/>
  <c r="J44" i="32"/>
  <c r="H101" i="33"/>
  <c r="P20" i="33"/>
  <c r="F106" i="33"/>
  <c r="P50" i="33"/>
  <c r="F31" i="32"/>
  <c r="L101" i="33"/>
  <c r="N20" i="32"/>
  <c r="J47" i="32"/>
  <c r="P47" i="32" s="1"/>
  <c r="H100" i="32"/>
  <c r="L105" i="32"/>
  <c r="N29" i="34"/>
  <c r="F27" i="32"/>
  <c r="P46" i="33"/>
  <c r="H103" i="33"/>
  <c r="D102" i="33"/>
  <c r="N46" i="32"/>
  <c r="N103" i="32" s="1"/>
  <c r="F45" i="33"/>
  <c r="F102" i="33" s="1"/>
  <c r="F45" i="34"/>
  <c r="D106" i="32"/>
  <c r="H101" i="32"/>
  <c r="N49" i="32"/>
  <c r="N106" i="32" s="1"/>
  <c r="J44" i="34"/>
  <c r="J25" i="32"/>
  <c r="L103" i="32"/>
  <c r="M103" i="32" s="1"/>
  <c r="F45" i="32"/>
  <c r="P44" i="33"/>
  <c r="F49" i="34"/>
  <c r="L99" i="32"/>
  <c r="H102" i="32"/>
  <c r="J50" i="34"/>
  <c r="D100" i="32"/>
  <c r="J41" i="34"/>
  <c r="E34" i="31"/>
  <c r="F25" i="32"/>
  <c r="D103" i="32"/>
  <c r="J26" i="32"/>
  <c r="J49" i="34"/>
  <c r="J96" i="33"/>
  <c r="I96" i="33" s="1"/>
  <c r="J45" i="34"/>
  <c r="H98" i="33"/>
  <c r="I98" i="33" s="1"/>
  <c r="F43" i="32"/>
  <c r="F100" i="32" s="1"/>
  <c r="J22" i="32"/>
  <c r="D103" i="33"/>
  <c r="N47" i="32"/>
  <c r="J20" i="32"/>
  <c r="F22" i="33"/>
  <c r="F98" i="33" s="1"/>
  <c r="F22" i="34"/>
  <c r="D98" i="33"/>
  <c r="N101" i="33"/>
  <c r="H99" i="33"/>
  <c r="I96" i="24"/>
  <c r="N40" i="32"/>
  <c r="H107" i="33"/>
  <c r="H99" i="32"/>
  <c r="J45" i="33"/>
  <c r="J102" i="33" s="1"/>
  <c r="J45" i="32"/>
  <c r="J102" i="32" s="1"/>
  <c r="N46" i="34"/>
  <c r="P46" i="34" s="1"/>
  <c r="J23" i="32"/>
  <c r="H102" i="33"/>
  <c r="F49" i="32"/>
  <c r="F41" i="35"/>
  <c r="J29" i="34"/>
  <c r="N49" i="34"/>
  <c r="N39" i="32"/>
  <c r="N96" i="32" s="1"/>
  <c r="N25" i="34"/>
  <c r="J40" i="34"/>
  <c r="F47" i="34"/>
  <c r="H106" i="32"/>
  <c r="J50" i="32"/>
  <c r="J107" i="32" s="1"/>
  <c r="N42" i="34"/>
  <c r="J41" i="32"/>
  <c r="J100" i="33"/>
  <c r="N42" i="32"/>
  <c r="J98" i="33"/>
  <c r="H97" i="33"/>
  <c r="N28" i="32"/>
  <c r="P26" i="33"/>
  <c r="P39" i="33"/>
  <c r="F23" i="34"/>
  <c r="F99" i="33"/>
  <c r="J52" i="24"/>
  <c r="I52" i="24" s="1"/>
  <c r="J21" i="33"/>
  <c r="J97" i="33" s="1"/>
  <c r="F47" i="32"/>
  <c r="N29" i="32"/>
  <c r="J47" i="34"/>
  <c r="D104" i="32"/>
  <c r="J106" i="24"/>
  <c r="P106" i="24" s="1"/>
  <c r="J21" i="32"/>
  <c r="J43" i="32"/>
  <c r="P22" i="33"/>
  <c r="N52" i="24"/>
  <c r="M52" i="24" s="1"/>
  <c r="L106" i="33"/>
  <c r="J25" i="34"/>
  <c r="N47" i="35"/>
  <c r="L96" i="32"/>
  <c r="N48" i="34"/>
  <c r="L100" i="32"/>
  <c r="N43" i="32"/>
  <c r="N43" i="35"/>
  <c r="L106" i="32"/>
  <c r="L96" i="33"/>
  <c r="N99" i="33"/>
  <c r="D104" i="33"/>
  <c r="N106" i="33"/>
  <c r="N21" i="34"/>
  <c r="P30" i="33"/>
  <c r="L104" i="33"/>
  <c r="F42" i="32"/>
  <c r="N28" i="33"/>
  <c r="N104" i="33" s="1"/>
  <c r="D105" i="33"/>
  <c r="L104" i="32"/>
  <c r="L107" i="32"/>
  <c r="F52" i="24"/>
  <c r="E52" i="24" s="1"/>
  <c r="J106" i="33"/>
  <c r="H106" i="33"/>
  <c r="F28" i="32"/>
  <c r="N48" i="32"/>
  <c r="L105" i="33"/>
  <c r="H98" i="32"/>
  <c r="J30" i="32"/>
  <c r="P30" i="32" s="1"/>
  <c r="H104" i="33"/>
  <c r="L100" i="33"/>
  <c r="N99" i="24"/>
  <c r="P99" i="24" s="1"/>
  <c r="J27" i="32"/>
  <c r="J103" i="32" s="1"/>
  <c r="N24" i="32"/>
  <c r="F29" i="32"/>
  <c r="D103" i="34"/>
  <c r="F40" i="35"/>
  <c r="H107" i="32"/>
  <c r="D106" i="33"/>
  <c r="F21" i="32"/>
  <c r="F50" i="32"/>
  <c r="H105" i="33"/>
  <c r="N27" i="33"/>
  <c r="N103" i="33" s="1"/>
  <c r="L103" i="33"/>
  <c r="D96" i="33"/>
  <c r="H52" i="32"/>
  <c r="D96" i="32"/>
  <c r="F20" i="32"/>
  <c r="L33" i="33"/>
  <c r="H104" i="32"/>
  <c r="F20" i="33"/>
  <c r="D33" i="32"/>
  <c r="J48" i="32"/>
  <c r="L98" i="32"/>
  <c r="J48" i="35"/>
  <c r="J28" i="34"/>
  <c r="J48" i="33"/>
  <c r="P48" i="33" s="1"/>
  <c r="H105" i="32"/>
  <c r="J28" i="32"/>
  <c r="N23" i="32"/>
  <c r="N99" i="32" s="1"/>
  <c r="D100" i="33"/>
  <c r="F24" i="33"/>
  <c r="F100" i="33" s="1"/>
  <c r="P47" i="33"/>
  <c r="N40" i="34"/>
  <c r="J29" i="32"/>
  <c r="D52" i="33"/>
  <c r="J49" i="32"/>
  <c r="P40" i="33"/>
  <c r="H97" i="32"/>
  <c r="D101" i="33"/>
  <c r="F97" i="24"/>
  <c r="E97" i="24" s="1"/>
  <c r="F25" i="33"/>
  <c r="F101" i="33" s="1"/>
  <c r="J40" i="32"/>
  <c r="F39" i="32"/>
  <c r="F26" i="32"/>
  <c r="F33" i="24"/>
  <c r="P42" i="33"/>
  <c r="N102" i="33"/>
  <c r="F97" i="33"/>
  <c r="F107" i="33"/>
  <c r="L98" i="33"/>
  <c r="N22" i="32"/>
  <c r="J33" i="24"/>
  <c r="H100" i="33"/>
  <c r="I100" i="33" s="1"/>
  <c r="H100" i="34"/>
  <c r="D105" i="32"/>
  <c r="N21" i="33"/>
  <c r="N97" i="33" s="1"/>
  <c r="P20" i="24"/>
  <c r="N45" i="34"/>
  <c r="L102" i="33"/>
  <c r="L33" i="32"/>
  <c r="D99" i="32"/>
  <c r="L97" i="33"/>
  <c r="N33" i="24"/>
  <c r="M33" i="24" s="1"/>
  <c r="F101" i="24"/>
  <c r="L52" i="33"/>
  <c r="F105" i="33"/>
  <c r="J24" i="32"/>
  <c r="F42" i="34"/>
  <c r="F48" i="32"/>
  <c r="L102" i="32"/>
  <c r="M102" i="32" s="1"/>
  <c r="H52" i="33"/>
  <c r="L52" i="32"/>
  <c r="N21" i="32"/>
  <c r="N97" i="32" s="1"/>
  <c r="J99" i="33"/>
  <c r="H33" i="32"/>
  <c r="D99" i="33"/>
  <c r="E99" i="33" s="1"/>
  <c r="J42" i="32"/>
  <c r="J100" i="24"/>
  <c r="I100" i="24" s="1"/>
  <c r="D52" i="32"/>
  <c r="N45" i="32"/>
  <c r="N102" i="32" s="1"/>
  <c r="L97" i="32"/>
  <c r="J42" i="34"/>
  <c r="D107" i="33"/>
  <c r="D33" i="33"/>
  <c r="F50" i="34"/>
  <c r="H33" i="31"/>
  <c r="D107" i="32"/>
  <c r="D102" i="32"/>
  <c r="N107" i="32"/>
  <c r="P44" i="32"/>
  <c r="P98" i="24"/>
  <c r="F98" i="32"/>
  <c r="E98" i="32" s="1"/>
  <c r="N101" i="32"/>
  <c r="P107" i="24"/>
  <c r="P31" i="32"/>
  <c r="P103" i="24"/>
  <c r="P41" i="33"/>
  <c r="N52" i="33"/>
  <c r="P49" i="33"/>
  <c r="P101" i="24"/>
  <c r="P25" i="32"/>
  <c r="P105" i="24"/>
  <c r="P97" i="24"/>
  <c r="F40" i="34"/>
  <c r="F43" i="34"/>
  <c r="F43" i="35"/>
  <c r="J49" i="35"/>
  <c r="J41" i="35"/>
  <c r="J46" i="35"/>
  <c r="J43" i="34"/>
  <c r="J43" i="35"/>
  <c r="J50" i="35"/>
  <c r="N50" i="35"/>
  <c r="N41" i="35"/>
  <c r="N100" i="33"/>
  <c r="N40" i="35"/>
  <c r="N48" i="35"/>
  <c r="N44" i="35"/>
  <c r="N43" i="34"/>
  <c r="N42" i="35"/>
  <c r="F104" i="33"/>
  <c r="P24" i="33"/>
  <c r="F103" i="33"/>
  <c r="P52" i="24"/>
  <c r="P43" i="33"/>
  <c r="P102" i="24"/>
  <c r="J31" i="33"/>
  <c r="J107" i="33" s="1"/>
  <c r="H26" i="26"/>
  <c r="K26" i="26" s="1"/>
  <c r="H24" i="26"/>
  <c r="K24" i="26" s="1"/>
  <c r="H23" i="26"/>
  <c r="H21" i="26"/>
  <c r="H20" i="26"/>
  <c r="H18" i="26"/>
  <c r="K18" i="26" s="1"/>
  <c r="H19" i="26"/>
  <c r="H22" i="26"/>
  <c r="H32" i="26"/>
  <c r="H34" i="26"/>
  <c r="H35" i="26"/>
  <c r="H37" i="26"/>
  <c r="H30" i="26"/>
  <c r="H33" i="26"/>
  <c r="H29" i="26"/>
  <c r="H31" i="26"/>
  <c r="H38" i="26"/>
  <c r="H25" i="26"/>
  <c r="P25" i="33"/>
  <c r="P23" i="33"/>
  <c r="P26" i="32"/>
  <c r="F96" i="33"/>
  <c r="N96" i="33"/>
  <c r="J103" i="33"/>
  <c r="F28" i="34"/>
  <c r="D104" i="34"/>
  <c r="N31" i="34"/>
  <c r="N107" i="34" s="1"/>
  <c r="L107" i="34"/>
  <c r="F30" i="34"/>
  <c r="J39" i="34"/>
  <c r="N24" i="34"/>
  <c r="J22" i="34"/>
  <c r="H98" i="34"/>
  <c r="J21" i="34"/>
  <c r="H97" i="34"/>
  <c r="D97" i="34"/>
  <c r="J27" i="34"/>
  <c r="H103" i="34"/>
  <c r="L105" i="34"/>
  <c r="N23" i="34"/>
  <c r="L99" i="34"/>
  <c r="J20" i="34"/>
  <c r="H96" i="34"/>
  <c r="F27" i="34"/>
  <c r="F39" i="34"/>
  <c r="N39" i="34"/>
  <c r="P41" i="34"/>
  <c r="J30" i="34"/>
  <c r="N30" i="34"/>
  <c r="H101" i="34"/>
  <c r="F31" i="34"/>
  <c r="J23" i="34"/>
  <c r="F20" i="34"/>
  <c r="L104" i="34"/>
  <c r="N28" i="34"/>
  <c r="P50" i="34"/>
  <c r="J104" i="33"/>
  <c r="F25" i="34"/>
  <c r="D101" i="34"/>
  <c r="N26" i="34"/>
  <c r="L101" i="34"/>
  <c r="H18" i="30"/>
  <c r="H21" i="29"/>
  <c r="H34" i="31"/>
  <c r="H20" i="31"/>
  <c r="H17" i="31"/>
  <c r="H33" i="30"/>
  <c r="H17" i="28"/>
  <c r="H19" i="30"/>
  <c r="H22" i="30"/>
  <c r="H21" i="30"/>
  <c r="H33" i="29"/>
  <c r="H34" i="29"/>
  <c r="H17" i="29"/>
  <c r="G34" i="27"/>
  <c r="G53" i="27" s="1"/>
  <c r="H53" i="27" s="1"/>
  <c r="H33" i="27"/>
  <c r="H33" i="28"/>
  <c r="H19" i="28"/>
  <c r="H22" i="28"/>
  <c r="H21" i="28"/>
  <c r="H18" i="28"/>
  <c r="G18" i="27"/>
  <c r="G41" i="27" s="1"/>
  <c r="H41" i="27" s="1"/>
  <c r="P108" i="23"/>
  <c r="P112" i="23" s="1"/>
  <c r="P96" i="24"/>
  <c r="J109" i="24"/>
  <c r="I109" i="24" s="1"/>
  <c r="M99" i="24" l="1"/>
  <c r="F109" i="24"/>
  <c r="E109" i="24" s="1"/>
  <c r="I106" i="24"/>
  <c r="I103" i="32"/>
  <c r="P22" i="32"/>
  <c r="H109" i="32"/>
  <c r="L109" i="32"/>
  <c r="M101" i="32"/>
  <c r="D109" i="32"/>
  <c r="E100" i="32"/>
  <c r="I107" i="32"/>
  <c r="M97" i="32"/>
  <c r="I102" i="32"/>
  <c r="M99" i="32"/>
  <c r="M107" i="32"/>
  <c r="M106" i="32"/>
  <c r="H104" i="34"/>
  <c r="K27" i="26"/>
  <c r="P107" i="33"/>
  <c r="P48" i="32"/>
  <c r="P106" i="33"/>
  <c r="P101" i="33"/>
  <c r="F97" i="32"/>
  <c r="E97" i="32" s="1"/>
  <c r="F101" i="34"/>
  <c r="E101" i="34" s="1"/>
  <c r="F104" i="34"/>
  <c r="E104" i="34" s="1"/>
  <c r="P98" i="33"/>
  <c r="J100" i="32"/>
  <c r="I100" i="32" s="1"/>
  <c r="E105" i="33"/>
  <c r="F99" i="32"/>
  <c r="E99" i="32" s="1"/>
  <c r="F103" i="32"/>
  <c r="E103" i="32" s="1"/>
  <c r="F33" i="33"/>
  <c r="F102" i="32"/>
  <c r="E102" i="32" s="1"/>
  <c r="N99" i="34"/>
  <c r="M99" i="34" s="1"/>
  <c r="N100" i="32"/>
  <c r="M100" i="32" s="1"/>
  <c r="M97" i="33"/>
  <c r="J104" i="32"/>
  <c r="I104" i="32" s="1"/>
  <c r="M103" i="33"/>
  <c r="P104" i="33"/>
  <c r="J97" i="32"/>
  <c r="P97" i="32" s="1"/>
  <c r="P44" i="34"/>
  <c r="E97" i="33"/>
  <c r="M100" i="33"/>
  <c r="N49" i="35"/>
  <c r="F45" i="35"/>
  <c r="N46" i="35"/>
  <c r="P46" i="35" s="1"/>
  <c r="P33" i="24"/>
  <c r="L103" i="34"/>
  <c r="N101" i="34"/>
  <c r="M101" i="34" s="1"/>
  <c r="F47" i="35"/>
  <c r="M107" i="34"/>
  <c r="P23" i="32"/>
  <c r="M106" i="33"/>
  <c r="E98" i="33"/>
  <c r="L106" i="34"/>
  <c r="F46" i="34"/>
  <c r="F103" i="34" s="1"/>
  <c r="E103" i="34" s="1"/>
  <c r="N47" i="34"/>
  <c r="P47" i="34" s="1"/>
  <c r="E107" i="33"/>
  <c r="E106" i="33"/>
  <c r="I106" i="33"/>
  <c r="E104" i="33"/>
  <c r="I101" i="33"/>
  <c r="L100" i="34"/>
  <c r="E96" i="32"/>
  <c r="E100" i="33"/>
  <c r="I104" i="33"/>
  <c r="I107" i="33"/>
  <c r="N109" i="33"/>
  <c r="M104" i="33"/>
  <c r="M101" i="33"/>
  <c r="M102" i="33"/>
  <c r="E101" i="33"/>
  <c r="M105" i="33"/>
  <c r="I99" i="33"/>
  <c r="M107" i="33"/>
  <c r="D109" i="33"/>
  <c r="I97" i="33"/>
  <c r="F109" i="33"/>
  <c r="M98" i="33"/>
  <c r="E102" i="33"/>
  <c r="M99" i="33"/>
  <c r="H109" i="33"/>
  <c r="L109" i="33"/>
  <c r="I103" i="33"/>
  <c r="I102" i="33"/>
  <c r="E103" i="33"/>
  <c r="J48" i="34"/>
  <c r="P48" i="34" s="1"/>
  <c r="P46" i="32"/>
  <c r="P43" i="32"/>
  <c r="J101" i="32"/>
  <c r="P101" i="32" s="1"/>
  <c r="P40" i="34"/>
  <c r="P20" i="32"/>
  <c r="F101" i="32"/>
  <c r="E101" i="32" s="1"/>
  <c r="P45" i="32"/>
  <c r="J29" i="35"/>
  <c r="H33" i="33"/>
  <c r="P39" i="32"/>
  <c r="M52" i="33"/>
  <c r="F52" i="33"/>
  <c r="J40" i="35"/>
  <c r="P40" i="35" s="1"/>
  <c r="J24" i="34"/>
  <c r="F29" i="34"/>
  <c r="J26" i="34"/>
  <c r="P26" i="34" s="1"/>
  <c r="N52" i="32"/>
  <c r="M52" i="32" s="1"/>
  <c r="H102" i="34"/>
  <c r="J44" i="35"/>
  <c r="P44" i="35" s="1"/>
  <c r="H106" i="34"/>
  <c r="P45" i="33"/>
  <c r="P52" i="33" s="1"/>
  <c r="J45" i="35"/>
  <c r="J31" i="35"/>
  <c r="J52" i="33"/>
  <c r="I52" i="33" s="1"/>
  <c r="F44" i="35"/>
  <c r="P100" i="24"/>
  <c r="P109" i="24" s="1"/>
  <c r="P113" i="24" s="1"/>
  <c r="F49" i="35"/>
  <c r="J96" i="32"/>
  <c r="I96" i="32" s="1"/>
  <c r="J105" i="33"/>
  <c r="P105" i="33" s="1"/>
  <c r="P45" i="34"/>
  <c r="P100" i="33"/>
  <c r="F106" i="34"/>
  <c r="N27" i="34"/>
  <c r="N103" i="34" s="1"/>
  <c r="D106" i="34"/>
  <c r="I33" i="24"/>
  <c r="M96" i="32"/>
  <c r="P103" i="33"/>
  <c r="F106" i="32"/>
  <c r="E106" i="32" s="1"/>
  <c r="P40" i="32"/>
  <c r="L96" i="34"/>
  <c r="N20" i="34"/>
  <c r="P20" i="34" s="1"/>
  <c r="P49" i="32"/>
  <c r="L102" i="34"/>
  <c r="L52" i="34"/>
  <c r="N98" i="32"/>
  <c r="M98" i="32" s="1"/>
  <c r="J24" i="35"/>
  <c r="F26" i="34"/>
  <c r="F102" i="34" s="1"/>
  <c r="P21" i="32"/>
  <c r="I38" i="26"/>
  <c r="F17" i="40" s="1"/>
  <c r="D105" i="34"/>
  <c r="E33" i="24"/>
  <c r="J99" i="32"/>
  <c r="P99" i="32" s="1"/>
  <c r="F105" i="32"/>
  <c r="E105" i="32" s="1"/>
  <c r="P42" i="34"/>
  <c r="P21" i="33"/>
  <c r="N45" i="35"/>
  <c r="F33" i="32"/>
  <c r="N102" i="34"/>
  <c r="N105" i="32"/>
  <c r="M105" i="32" s="1"/>
  <c r="N33" i="33"/>
  <c r="M33" i="33" s="1"/>
  <c r="N104" i="32"/>
  <c r="P104" i="32" s="1"/>
  <c r="P28" i="32"/>
  <c r="J98" i="32"/>
  <c r="I98" i="32" s="1"/>
  <c r="P49" i="34"/>
  <c r="F48" i="34"/>
  <c r="D102" i="34"/>
  <c r="N105" i="34"/>
  <c r="M105" i="34" s="1"/>
  <c r="H105" i="34"/>
  <c r="F50" i="35"/>
  <c r="F104" i="32"/>
  <c r="E104" i="32" s="1"/>
  <c r="N97" i="34"/>
  <c r="N33" i="32"/>
  <c r="M33" i="32" s="1"/>
  <c r="J47" i="35"/>
  <c r="P47" i="35" s="1"/>
  <c r="F46" i="35"/>
  <c r="P29" i="32"/>
  <c r="D96" i="34"/>
  <c r="N21" i="35"/>
  <c r="N97" i="35" s="1"/>
  <c r="P41" i="32"/>
  <c r="L97" i="34"/>
  <c r="E96" i="33"/>
  <c r="J106" i="32"/>
  <c r="P106" i="32" s="1"/>
  <c r="F96" i="32"/>
  <c r="P99" i="33"/>
  <c r="P102" i="33"/>
  <c r="L33" i="34"/>
  <c r="F99" i="34"/>
  <c r="F52" i="32"/>
  <c r="E52" i="32" s="1"/>
  <c r="J52" i="32"/>
  <c r="I52" i="32" s="1"/>
  <c r="F42" i="35"/>
  <c r="L98" i="34"/>
  <c r="D98" i="34"/>
  <c r="J33" i="32"/>
  <c r="I33" i="32" s="1"/>
  <c r="N22" i="34"/>
  <c r="N98" i="34" s="1"/>
  <c r="D33" i="34"/>
  <c r="I64" i="26"/>
  <c r="F32" i="40" s="1"/>
  <c r="J25" i="35"/>
  <c r="F21" i="34"/>
  <c r="M96" i="33"/>
  <c r="F24" i="34"/>
  <c r="F100" i="34" s="1"/>
  <c r="D100" i="34"/>
  <c r="P107" i="32"/>
  <c r="P28" i="33"/>
  <c r="F41" i="34"/>
  <c r="F98" i="34" s="1"/>
  <c r="P27" i="32"/>
  <c r="L98" i="35"/>
  <c r="F107" i="32"/>
  <c r="E107" i="32" s="1"/>
  <c r="J105" i="32"/>
  <c r="I105" i="32" s="1"/>
  <c r="P50" i="32"/>
  <c r="D99" i="34"/>
  <c r="P97" i="33"/>
  <c r="F48" i="35"/>
  <c r="D107" i="34"/>
  <c r="D52" i="34"/>
  <c r="F107" i="34"/>
  <c r="P27" i="33"/>
  <c r="P24" i="32"/>
  <c r="J42" i="35"/>
  <c r="P42" i="35" s="1"/>
  <c r="H99" i="34"/>
  <c r="H52" i="34"/>
  <c r="P42" i="32"/>
  <c r="P102" i="32"/>
  <c r="P103" i="32"/>
  <c r="P43" i="34"/>
  <c r="N100" i="34"/>
  <c r="M100" i="34" s="1"/>
  <c r="N106" i="34"/>
  <c r="M106" i="34" s="1"/>
  <c r="H33" i="34"/>
  <c r="P31" i="33"/>
  <c r="J33" i="33"/>
  <c r="K23" i="26"/>
  <c r="K21" i="26"/>
  <c r="K19" i="26"/>
  <c r="K20" i="26"/>
  <c r="K22" i="26"/>
  <c r="E33" i="33"/>
  <c r="K25" i="26"/>
  <c r="P96" i="33"/>
  <c r="P49" i="35"/>
  <c r="N26" i="35"/>
  <c r="N25" i="35"/>
  <c r="N101" i="35" s="1"/>
  <c r="L101" i="35"/>
  <c r="N20" i="35"/>
  <c r="L96" i="35"/>
  <c r="F25" i="35"/>
  <c r="N31" i="35"/>
  <c r="N107" i="35" s="1"/>
  <c r="L107" i="35"/>
  <c r="F30" i="35"/>
  <c r="D106" i="35"/>
  <c r="J39" i="35"/>
  <c r="L100" i="35"/>
  <c r="N24" i="35"/>
  <c r="N100" i="35" s="1"/>
  <c r="J22" i="35"/>
  <c r="H98" i="35"/>
  <c r="H97" i="35"/>
  <c r="J21" i="35"/>
  <c r="F21" i="35"/>
  <c r="F97" i="35" s="1"/>
  <c r="D97" i="35"/>
  <c r="F28" i="35"/>
  <c r="J30" i="35"/>
  <c r="H106" i="35"/>
  <c r="J27" i="35"/>
  <c r="H103" i="35"/>
  <c r="N27" i="35"/>
  <c r="L103" i="35"/>
  <c r="J26" i="35"/>
  <c r="L105" i="35"/>
  <c r="N29" i="35"/>
  <c r="N105" i="35" s="1"/>
  <c r="F29" i="35"/>
  <c r="N23" i="35"/>
  <c r="N99" i="35" s="1"/>
  <c r="L99" i="35"/>
  <c r="H96" i="35"/>
  <c r="J20" i="35"/>
  <c r="F27" i="35"/>
  <c r="N39" i="35"/>
  <c r="P48" i="35"/>
  <c r="F22" i="35"/>
  <c r="F98" i="35" s="1"/>
  <c r="D98" i="35"/>
  <c r="N30" i="35"/>
  <c r="N106" i="35" s="1"/>
  <c r="L106" i="35"/>
  <c r="F24" i="35"/>
  <c r="F100" i="35" s="1"/>
  <c r="D100" i="35"/>
  <c r="F31" i="35"/>
  <c r="J23" i="35"/>
  <c r="P43" i="35"/>
  <c r="D96" i="35"/>
  <c r="F20" i="35"/>
  <c r="F39" i="35"/>
  <c r="H105" i="35"/>
  <c r="L104" i="35"/>
  <c r="N28" i="35"/>
  <c r="N104" i="35" s="1"/>
  <c r="P50" i="35"/>
  <c r="P41" i="35"/>
  <c r="H104" i="35"/>
  <c r="J28" i="35"/>
  <c r="D102" i="35"/>
  <c r="F26" i="35"/>
  <c r="N22" i="35"/>
  <c r="N98" i="35" s="1"/>
  <c r="F96" i="34"/>
  <c r="P23" i="34"/>
  <c r="J99" i="34"/>
  <c r="P99" i="34" s="1"/>
  <c r="P28" i="34"/>
  <c r="J104" i="34"/>
  <c r="I104" i="34" s="1"/>
  <c r="P39" i="34"/>
  <c r="J100" i="34"/>
  <c r="I100" i="34" s="1"/>
  <c r="P24" i="34"/>
  <c r="J101" i="34"/>
  <c r="P25" i="34"/>
  <c r="J103" i="34"/>
  <c r="I103" i="34" s="1"/>
  <c r="J96" i="34"/>
  <c r="I96" i="34" s="1"/>
  <c r="N96" i="34"/>
  <c r="P30" i="34"/>
  <c r="J106" i="34"/>
  <c r="J97" i="34"/>
  <c r="I97" i="34" s="1"/>
  <c r="P21" i="34"/>
  <c r="J105" i="34"/>
  <c r="P29" i="34"/>
  <c r="J98" i="34"/>
  <c r="I98" i="34" s="1"/>
  <c r="H20" i="29"/>
  <c r="H18" i="31"/>
  <c r="H20" i="30"/>
  <c r="H34" i="30"/>
  <c r="H34" i="27"/>
  <c r="H18" i="29"/>
  <c r="H20" i="28"/>
  <c r="H34" i="28"/>
  <c r="I33" i="33" l="1"/>
  <c r="M103" i="34"/>
  <c r="D99" i="35"/>
  <c r="I101" i="32"/>
  <c r="N109" i="32"/>
  <c r="M109" i="32" s="1"/>
  <c r="I26" i="26"/>
  <c r="J26" i="26" s="1"/>
  <c r="F15" i="40" s="1"/>
  <c r="D104" i="35"/>
  <c r="F109" i="32"/>
  <c r="E109" i="32" s="1"/>
  <c r="J109" i="32"/>
  <c r="I109" i="32" s="1"/>
  <c r="I99" i="32"/>
  <c r="I97" i="32"/>
  <c r="I106" i="32"/>
  <c r="M104" i="32"/>
  <c r="H107" i="34"/>
  <c r="J31" i="34"/>
  <c r="P31" i="34" s="1"/>
  <c r="H107" i="35"/>
  <c r="E33" i="32"/>
  <c r="D101" i="35"/>
  <c r="P101" i="34"/>
  <c r="P100" i="32"/>
  <c r="J52" i="34"/>
  <c r="I52" i="34" s="1"/>
  <c r="F102" i="35"/>
  <c r="E52" i="33"/>
  <c r="F104" i="35"/>
  <c r="E104" i="35" s="1"/>
  <c r="P96" i="32"/>
  <c r="N103" i="35"/>
  <c r="M104" i="35"/>
  <c r="F106" i="35"/>
  <c r="E106" i="35" s="1"/>
  <c r="M98" i="35"/>
  <c r="N104" i="34"/>
  <c r="M104" i="34" s="1"/>
  <c r="I28" i="37"/>
  <c r="H17" i="40" s="1"/>
  <c r="F101" i="35"/>
  <c r="E101" i="35" s="1"/>
  <c r="E102" i="34"/>
  <c r="M106" i="35"/>
  <c r="M98" i="34"/>
  <c r="I25" i="26"/>
  <c r="J25" i="26" s="1"/>
  <c r="F14" i="40" s="1"/>
  <c r="N52" i="34"/>
  <c r="M52" i="34" s="1"/>
  <c r="I27" i="26"/>
  <c r="J27" i="26" s="1"/>
  <c r="F16" i="40" s="1"/>
  <c r="E100" i="34"/>
  <c r="I105" i="34"/>
  <c r="H101" i="35"/>
  <c r="D105" i="35"/>
  <c r="E97" i="35"/>
  <c r="E100" i="35"/>
  <c r="E98" i="35"/>
  <c r="M103" i="35"/>
  <c r="L102" i="35"/>
  <c r="L52" i="35"/>
  <c r="M102" i="34"/>
  <c r="M109" i="33"/>
  <c r="M101" i="35"/>
  <c r="E102" i="35"/>
  <c r="M100" i="35"/>
  <c r="M107" i="35"/>
  <c r="M105" i="35"/>
  <c r="M99" i="35"/>
  <c r="I99" i="34"/>
  <c r="I106" i="34"/>
  <c r="M96" i="34"/>
  <c r="E107" i="34"/>
  <c r="M97" i="34"/>
  <c r="E106" i="34"/>
  <c r="E99" i="34"/>
  <c r="D109" i="34"/>
  <c r="E96" i="34"/>
  <c r="H109" i="34"/>
  <c r="I101" i="34"/>
  <c r="E98" i="34"/>
  <c r="P105" i="34"/>
  <c r="L109" i="34"/>
  <c r="I105" i="33"/>
  <c r="J109" i="33"/>
  <c r="I109" i="33" s="1"/>
  <c r="E109" i="33"/>
  <c r="P109" i="33"/>
  <c r="P113" i="33" s="1"/>
  <c r="I28" i="36"/>
  <c r="G17" i="40" s="1"/>
  <c r="F105" i="35"/>
  <c r="P52" i="32"/>
  <c r="L97" i="35"/>
  <c r="M97" i="35" s="1"/>
  <c r="D33" i="35"/>
  <c r="F103" i="35"/>
  <c r="F33" i="34"/>
  <c r="F105" i="34"/>
  <c r="D103" i="35"/>
  <c r="P98" i="34"/>
  <c r="P27" i="34"/>
  <c r="P98" i="32"/>
  <c r="P33" i="32"/>
  <c r="P105" i="32"/>
  <c r="L33" i="35"/>
  <c r="F52" i="34"/>
  <c r="E52" i="34" s="1"/>
  <c r="P45" i="35"/>
  <c r="J102" i="34"/>
  <c r="P102" i="34" s="1"/>
  <c r="F52" i="35"/>
  <c r="H102" i="35"/>
  <c r="D52" i="35"/>
  <c r="F97" i="34"/>
  <c r="E97" i="34" s="1"/>
  <c r="N52" i="35"/>
  <c r="M52" i="35" s="1"/>
  <c r="H99" i="35"/>
  <c r="N102" i="35"/>
  <c r="D107" i="35"/>
  <c r="P33" i="33"/>
  <c r="F107" i="35"/>
  <c r="H52" i="35"/>
  <c r="P97" i="34"/>
  <c r="H33" i="35"/>
  <c r="H100" i="35"/>
  <c r="N33" i="34"/>
  <c r="M33" i="34" s="1"/>
  <c r="F23" i="35"/>
  <c r="F99" i="35" s="1"/>
  <c r="E99" i="35" s="1"/>
  <c r="I20" i="26"/>
  <c r="J20" i="26" s="1"/>
  <c r="P22" i="34"/>
  <c r="I24" i="26"/>
  <c r="J24" i="26" s="1"/>
  <c r="F13" i="40" s="1"/>
  <c r="P52" i="34"/>
  <c r="P100" i="34"/>
  <c r="P106" i="34"/>
  <c r="P103" i="34"/>
  <c r="J33" i="34"/>
  <c r="I33" i="34" s="1"/>
  <c r="I23" i="26"/>
  <c r="J23" i="26" s="1"/>
  <c r="I22" i="26"/>
  <c r="J22" i="26" s="1"/>
  <c r="I21" i="26"/>
  <c r="J21" i="26" s="1"/>
  <c r="I19" i="26"/>
  <c r="J19" i="26" s="1"/>
  <c r="I18" i="26"/>
  <c r="J18" i="26" s="1"/>
  <c r="P25" i="35"/>
  <c r="J101" i="35"/>
  <c r="P101" i="35" s="1"/>
  <c r="J107" i="35"/>
  <c r="P107" i="35" s="1"/>
  <c r="P31" i="35"/>
  <c r="J100" i="35"/>
  <c r="P100" i="35" s="1"/>
  <c r="P24" i="35"/>
  <c r="J105" i="35"/>
  <c r="P105" i="35" s="1"/>
  <c r="P29" i="35"/>
  <c r="F96" i="35"/>
  <c r="P26" i="35"/>
  <c r="J102" i="35"/>
  <c r="J97" i="35"/>
  <c r="P97" i="35" s="1"/>
  <c r="P21" i="35"/>
  <c r="P22" i="35"/>
  <c r="J98" i="35"/>
  <c r="P98" i="35" s="1"/>
  <c r="J99" i="35"/>
  <c r="P99" i="35" s="1"/>
  <c r="P23" i="35"/>
  <c r="J103" i="35"/>
  <c r="P27" i="35"/>
  <c r="N33" i="35"/>
  <c r="N96" i="35"/>
  <c r="P28" i="35"/>
  <c r="J104" i="35"/>
  <c r="P104" i="35" s="1"/>
  <c r="J96" i="35"/>
  <c r="I96" i="35" s="1"/>
  <c r="J33" i="35"/>
  <c r="I33" i="35" s="1"/>
  <c r="P20" i="35"/>
  <c r="P30" i="35"/>
  <c r="J106" i="35"/>
  <c r="P106" i="35" s="1"/>
  <c r="P39" i="35"/>
  <c r="J52" i="35"/>
  <c r="P96" i="34"/>
  <c r="H19" i="27"/>
  <c r="G20" i="27"/>
  <c r="G43" i="27" s="1"/>
  <c r="H43" i="27" s="1"/>
  <c r="E56" i="26" s="1"/>
  <c r="G56" i="26" l="1"/>
  <c r="L45" i="26"/>
  <c r="P109" i="32"/>
  <c r="P113" i="32" s="1"/>
  <c r="M102" i="35"/>
  <c r="E33" i="34"/>
  <c r="L109" i="35"/>
  <c r="J107" i="34"/>
  <c r="P107" i="34" s="1"/>
  <c r="P33" i="34"/>
  <c r="E52" i="35"/>
  <c r="I44" i="36"/>
  <c r="G32" i="40" s="1"/>
  <c r="D27" i="36"/>
  <c r="G27" i="36" s="1"/>
  <c r="E105" i="35"/>
  <c r="D25" i="36"/>
  <c r="G25" i="36" s="1"/>
  <c r="N109" i="34"/>
  <c r="P104" i="34"/>
  <c r="P109" i="34" s="1"/>
  <c r="P113" i="34" s="1"/>
  <c r="P103" i="35"/>
  <c r="E103" i="35"/>
  <c r="D26" i="36"/>
  <c r="G26" i="36" s="1"/>
  <c r="F33" i="35"/>
  <c r="N109" i="35"/>
  <c r="I97" i="35"/>
  <c r="I28" i="38"/>
  <c r="I17" i="40" s="1"/>
  <c r="I104" i="35"/>
  <c r="D109" i="35"/>
  <c r="I107" i="35"/>
  <c r="F109" i="34"/>
  <c r="E109" i="34" s="1"/>
  <c r="F109" i="35"/>
  <c r="I99" i="35"/>
  <c r="I100" i="35"/>
  <c r="I102" i="35"/>
  <c r="I106" i="35"/>
  <c r="M33" i="35"/>
  <c r="I103" i="35"/>
  <c r="M109" i="35"/>
  <c r="M96" i="35"/>
  <c r="I105" i="35"/>
  <c r="I98" i="35"/>
  <c r="E107" i="35"/>
  <c r="H109" i="35"/>
  <c r="E96" i="35"/>
  <c r="I101" i="35"/>
  <c r="P102" i="35"/>
  <c r="E105" i="34"/>
  <c r="M109" i="34"/>
  <c r="I107" i="34"/>
  <c r="I102" i="34"/>
  <c r="I52" i="35"/>
  <c r="P52" i="35"/>
  <c r="D24" i="36"/>
  <c r="G24" i="36" s="1"/>
  <c r="I44" i="37"/>
  <c r="H32" i="40" s="1"/>
  <c r="F8" i="40"/>
  <c r="F9" i="40"/>
  <c r="F10" i="40"/>
  <c r="F11" i="40"/>
  <c r="F12" i="40" s="1"/>
  <c r="F6" i="40"/>
  <c r="F7" i="40"/>
  <c r="E33" i="35"/>
  <c r="I44" i="38"/>
  <c r="I32" i="40" s="1"/>
  <c r="D17" i="36"/>
  <c r="G17" i="36" s="1"/>
  <c r="D18" i="36"/>
  <c r="G18" i="36" s="1"/>
  <c r="D19" i="36"/>
  <c r="G19" i="36" s="1"/>
  <c r="D20" i="36"/>
  <c r="G20" i="36" s="1"/>
  <c r="D21" i="36"/>
  <c r="G21" i="36" s="1"/>
  <c r="D23" i="36"/>
  <c r="D22" i="36"/>
  <c r="G22" i="36" s="1"/>
  <c r="J109" i="35"/>
  <c r="P96" i="35"/>
  <c r="P33" i="35"/>
  <c r="H20" i="27"/>
  <c r="H21" i="27"/>
  <c r="G64" i="26" l="1"/>
  <c r="H56" i="26" s="1"/>
  <c r="J109" i="34"/>
  <c r="I109" i="34" s="1"/>
  <c r="P109" i="35"/>
  <c r="P113" i="35" s="1"/>
  <c r="I28" i="39"/>
  <c r="J17" i="40" s="1"/>
  <c r="E109" i="35"/>
  <c r="I109" i="35"/>
  <c r="I44" i="39"/>
  <c r="J32" i="40" s="1"/>
  <c r="G28" i="36"/>
  <c r="H27" i="36" s="1"/>
  <c r="H64" i="26" l="1"/>
  <c r="H58" i="26"/>
  <c r="H61" i="26"/>
  <c r="H62" i="26"/>
  <c r="H53" i="26"/>
  <c r="H50" i="26"/>
  <c r="K50" i="26" s="1"/>
  <c r="I50" i="26" s="1"/>
  <c r="J50" i="26" s="1"/>
  <c r="H43" i="26"/>
  <c r="H60" i="26"/>
  <c r="H44" i="26"/>
  <c r="K44" i="26" s="1"/>
  <c r="I44" i="26" s="1"/>
  <c r="J44" i="26" s="1"/>
  <c r="H51" i="26"/>
  <c r="K51" i="26" s="1"/>
  <c r="I51" i="26" s="1"/>
  <c r="J51" i="26" s="1"/>
  <c r="H57" i="26"/>
  <c r="H45" i="26"/>
  <c r="K45" i="26" s="1"/>
  <c r="I45" i="26" s="1"/>
  <c r="J45" i="26" s="1"/>
  <c r="H59" i="26"/>
  <c r="H63" i="26"/>
  <c r="H52" i="26"/>
  <c r="K52" i="26" s="1"/>
  <c r="I52" i="26" s="1"/>
  <c r="J52" i="26" s="1"/>
  <c r="H55" i="26"/>
  <c r="H46" i="26"/>
  <c r="H49" i="26"/>
  <c r="H48" i="26"/>
  <c r="H47" i="26"/>
  <c r="K47" i="26" s="1"/>
  <c r="I47" i="26" s="1"/>
  <c r="J47" i="26" s="1"/>
  <c r="H20" i="36"/>
  <c r="I20" i="36" s="1"/>
  <c r="J20" i="36" s="1"/>
  <c r="H18" i="36"/>
  <c r="I18" i="36" s="1"/>
  <c r="J18" i="36" s="1"/>
  <c r="H19" i="36"/>
  <c r="I19" i="36" s="1"/>
  <c r="J19" i="36" s="1"/>
  <c r="H22" i="36"/>
  <c r="I22" i="36" s="1"/>
  <c r="J22" i="36" s="1"/>
  <c r="H17" i="36"/>
  <c r="I17" i="36" s="1"/>
  <c r="J17" i="36" s="1"/>
  <c r="H25" i="36"/>
  <c r="I25" i="36" s="1"/>
  <c r="J25" i="36" s="1"/>
  <c r="H21" i="36"/>
  <c r="I21" i="36" s="1"/>
  <c r="J21" i="36" s="1"/>
  <c r="H23" i="36"/>
  <c r="I23" i="36" s="1"/>
  <c r="J23" i="36" s="1"/>
  <c r="H28" i="36"/>
  <c r="H26" i="36"/>
  <c r="I26" i="36" s="1"/>
  <c r="J26" i="36" s="1"/>
  <c r="H24" i="36"/>
  <c r="I24" i="36" s="1"/>
  <c r="J24" i="36" s="1"/>
  <c r="I27" i="36"/>
  <c r="J27" i="36" s="1"/>
  <c r="K43" i="26" l="1"/>
  <c r="I43" i="26" s="1"/>
  <c r="J43" i="26" s="1"/>
  <c r="F30" i="40"/>
  <c r="D42" i="36"/>
  <c r="G42" i="36" s="1"/>
  <c r="D41" i="36"/>
  <c r="G41" i="36" s="1"/>
  <c r="F29" i="40"/>
  <c r="F28" i="40"/>
  <c r="D40" i="36"/>
  <c r="G40" i="36" s="1"/>
  <c r="K53" i="26"/>
  <c r="I53" i="26" s="1"/>
  <c r="J53" i="26" s="1"/>
  <c r="K49" i="26"/>
  <c r="I49" i="26" s="1"/>
  <c r="J49" i="26" s="1"/>
  <c r="D39" i="36" s="1"/>
  <c r="D35" i="36"/>
  <c r="G35" i="36" s="1"/>
  <c r="F23" i="40"/>
  <c r="F22" i="40"/>
  <c r="D34" i="36"/>
  <c r="G34" i="36" s="1"/>
  <c r="D37" i="36"/>
  <c r="G37" i="36" s="1"/>
  <c r="F25" i="40"/>
  <c r="K48" i="26"/>
  <c r="I48" i="26" s="1"/>
  <c r="J48" i="26" s="1"/>
  <c r="K46" i="26"/>
  <c r="I46" i="26" s="1"/>
  <c r="J46" i="26" s="1"/>
  <c r="G8" i="40"/>
  <c r="G16" i="40"/>
  <c r="G15" i="40"/>
  <c r="G10" i="40"/>
  <c r="G14" i="40"/>
  <c r="G9" i="40"/>
  <c r="G7" i="40"/>
  <c r="G13" i="40"/>
  <c r="G11" i="40"/>
  <c r="G6" i="40"/>
  <c r="D20" i="37"/>
  <c r="G20" i="37" s="1"/>
  <c r="D18" i="37"/>
  <c r="G18" i="37" s="1"/>
  <c r="D21" i="37"/>
  <c r="G21" i="37" s="1"/>
  <c r="D22" i="37"/>
  <c r="G22" i="37" s="1"/>
  <c r="D26" i="37"/>
  <c r="G26" i="37" s="1"/>
  <c r="D25" i="37"/>
  <c r="G25" i="37" s="1"/>
  <c r="D19" i="37"/>
  <c r="G19" i="37" s="1"/>
  <c r="D27" i="37"/>
  <c r="G27" i="37" s="1"/>
  <c r="D24" i="37"/>
  <c r="G24" i="37" s="1"/>
  <c r="D23" i="37"/>
  <c r="D17" i="37"/>
  <c r="G17" i="37" s="1"/>
  <c r="F31" i="40" l="1"/>
  <c r="D43" i="36"/>
  <c r="G43" i="36" s="1"/>
  <c r="D38" i="36"/>
  <c r="G38" i="36" s="1"/>
  <c r="F26" i="40"/>
  <c r="F24" i="40"/>
  <c r="D36" i="36"/>
  <c r="G36" i="36" s="1"/>
  <c r="D33" i="36"/>
  <c r="G33" i="36" s="1"/>
  <c r="F21" i="40"/>
  <c r="G12" i="40"/>
  <c r="G28" i="37"/>
  <c r="H18" i="37" s="1"/>
  <c r="I18" i="37" s="1"/>
  <c r="J18" i="37" s="1"/>
  <c r="G44" i="36" l="1"/>
  <c r="F27" i="40"/>
  <c r="H38" i="36"/>
  <c r="I38" i="36" s="1"/>
  <c r="J38" i="36" s="1"/>
  <c r="H43" i="36"/>
  <c r="I43" i="36" s="1"/>
  <c r="J43" i="36" s="1"/>
  <c r="H22" i="37"/>
  <c r="I22" i="37" s="1"/>
  <c r="J22" i="37" s="1"/>
  <c r="H11" i="40" s="1"/>
  <c r="H23" i="37"/>
  <c r="I23" i="37" s="1"/>
  <c r="J23" i="37" s="1"/>
  <c r="D23" i="38" s="1"/>
  <c r="H20" i="37"/>
  <c r="I20" i="37" s="1"/>
  <c r="J20" i="37" s="1"/>
  <c r="D20" i="38" s="1"/>
  <c r="G20" i="38" s="1"/>
  <c r="H19" i="37"/>
  <c r="I19" i="37" s="1"/>
  <c r="J19" i="37" s="1"/>
  <c r="D19" i="38" s="1"/>
  <c r="G19" i="38" s="1"/>
  <c r="H27" i="37"/>
  <c r="I27" i="37" s="1"/>
  <c r="J27" i="37" s="1"/>
  <c r="D27" i="38" s="1"/>
  <c r="G27" i="38" s="1"/>
  <c r="H7" i="40"/>
  <c r="H24" i="37"/>
  <c r="I24" i="37" s="1"/>
  <c r="J24" i="37" s="1"/>
  <c r="H25" i="37"/>
  <c r="I25" i="37" s="1"/>
  <c r="J25" i="37" s="1"/>
  <c r="D25" i="38" s="1"/>
  <c r="G25" i="38" s="1"/>
  <c r="H28" i="37"/>
  <c r="H17" i="37"/>
  <c r="I17" i="37" s="1"/>
  <c r="J17" i="37" s="1"/>
  <c r="H26" i="37"/>
  <c r="I26" i="37" s="1"/>
  <c r="J26" i="37" s="1"/>
  <c r="H21" i="37"/>
  <c r="I21" i="37" s="1"/>
  <c r="J21" i="37" s="1"/>
  <c r="D21" i="38" s="1"/>
  <c r="G21" i="38" s="1"/>
  <c r="D18" i="38"/>
  <c r="G18" i="38" s="1"/>
  <c r="H35" i="36" l="1"/>
  <c r="I35" i="36" s="1"/>
  <c r="J35" i="36" s="1"/>
  <c r="H41" i="36"/>
  <c r="I41" i="36" s="1"/>
  <c r="J41" i="36" s="1"/>
  <c r="H44" i="36"/>
  <c r="H39" i="36"/>
  <c r="I39" i="36" s="1"/>
  <c r="J39" i="36" s="1"/>
  <c r="D39" i="37" s="1"/>
  <c r="H42" i="36"/>
  <c r="I42" i="36" s="1"/>
  <c r="J42" i="36" s="1"/>
  <c r="H37" i="36"/>
  <c r="I37" i="36" s="1"/>
  <c r="J37" i="36" s="1"/>
  <c r="H40" i="36"/>
  <c r="I40" i="36" s="1"/>
  <c r="J40" i="36" s="1"/>
  <c r="H34" i="36"/>
  <c r="I34" i="36" s="1"/>
  <c r="J34" i="36" s="1"/>
  <c r="G31" i="40"/>
  <c r="D43" i="37"/>
  <c r="G43" i="37" s="1"/>
  <c r="G26" i="40"/>
  <c r="D38" i="37"/>
  <c r="G38" i="37" s="1"/>
  <c r="H33" i="36"/>
  <c r="I33" i="36" s="1"/>
  <c r="J33" i="36" s="1"/>
  <c r="H36" i="36"/>
  <c r="I36" i="36" s="1"/>
  <c r="J36" i="36" s="1"/>
  <c r="H12" i="40"/>
  <c r="D22" i="38"/>
  <c r="G22" i="38" s="1"/>
  <c r="H9" i="40"/>
  <c r="H16" i="40"/>
  <c r="H8" i="40"/>
  <c r="H6" i="40"/>
  <c r="H13" i="40"/>
  <c r="D24" i="38"/>
  <c r="G24" i="38" s="1"/>
  <c r="H14" i="40"/>
  <c r="D17" i="38"/>
  <c r="G17" i="38" s="1"/>
  <c r="H10" i="40"/>
  <c r="H15" i="40"/>
  <c r="D26" i="38"/>
  <c r="G26" i="38" s="1"/>
  <c r="G30" i="40" l="1"/>
  <c r="D42" i="37"/>
  <c r="G42" i="37" s="1"/>
  <c r="G24" i="40"/>
  <c r="D36" i="37"/>
  <c r="G36" i="37" s="1"/>
  <c r="D37" i="37"/>
  <c r="G37" i="37" s="1"/>
  <c r="G25" i="40"/>
  <c r="G29" i="40"/>
  <c r="D41" i="37"/>
  <c r="G41" i="37" s="1"/>
  <c r="G21" i="40"/>
  <c r="D33" i="37"/>
  <c r="G33" i="37" s="1"/>
  <c r="G27" i="40"/>
  <c r="D34" i="37"/>
  <c r="G34" i="37" s="1"/>
  <c r="G22" i="40"/>
  <c r="D40" i="37"/>
  <c r="G40" i="37" s="1"/>
  <c r="G28" i="40"/>
  <c r="D35" i="37"/>
  <c r="G35" i="37" s="1"/>
  <c r="G23" i="40"/>
  <c r="G28" i="38"/>
  <c r="H17" i="38" s="1"/>
  <c r="I17" i="38" s="1"/>
  <c r="J17" i="38" s="1"/>
  <c r="D17" i="39" s="1"/>
  <c r="G17" i="39" s="1"/>
  <c r="G44" i="37" l="1"/>
  <c r="H33" i="37"/>
  <c r="I33" i="37" s="1"/>
  <c r="J33" i="37" s="1"/>
  <c r="H41" i="37"/>
  <c r="I41" i="37" s="1"/>
  <c r="J41" i="37" s="1"/>
  <c r="H36" i="37"/>
  <c r="I36" i="37" s="1"/>
  <c r="J36" i="37" s="1"/>
  <c r="H42" i="37"/>
  <c r="I42" i="37" s="1"/>
  <c r="J42" i="37" s="1"/>
  <c r="H37" i="37"/>
  <c r="I37" i="37" s="1"/>
  <c r="J37" i="37" s="1"/>
  <c r="H40" i="37"/>
  <c r="I40" i="37" s="1"/>
  <c r="J40" i="37" s="1"/>
  <c r="H19" i="38"/>
  <c r="I19" i="38" s="1"/>
  <c r="J19" i="38" s="1"/>
  <c r="D19" i="39" s="1"/>
  <c r="G19" i="39" s="1"/>
  <c r="H22" i="38"/>
  <c r="I22" i="38" s="1"/>
  <c r="J22" i="38" s="1"/>
  <c r="D22" i="39" s="1"/>
  <c r="G22" i="39" s="1"/>
  <c r="H28" i="38"/>
  <c r="H21" i="38"/>
  <c r="I21" i="38" s="1"/>
  <c r="J21" i="38" s="1"/>
  <c r="D21" i="39" s="1"/>
  <c r="G21" i="39" s="1"/>
  <c r="H24" i="38"/>
  <c r="I24" i="38" s="1"/>
  <c r="J24" i="38" s="1"/>
  <c r="D24" i="39" s="1"/>
  <c r="G24" i="39" s="1"/>
  <c r="H18" i="38"/>
  <c r="I18" i="38" s="1"/>
  <c r="J18" i="38" s="1"/>
  <c r="D18" i="39" s="1"/>
  <c r="G18" i="39" s="1"/>
  <c r="H25" i="38"/>
  <c r="I25" i="38" s="1"/>
  <c r="J25" i="38" s="1"/>
  <c r="D25" i="39" s="1"/>
  <c r="G25" i="39" s="1"/>
  <c r="H26" i="38"/>
  <c r="I26" i="38" s="1"/>
  <c r="J26" i="38" s="1"/>
  <c r="D26" i="39" s="1"/>
  <c r="G26" i="39" s="1"/>
  <c r="H23" i="38"/>
  <c r="I23" i="38" s="1"/>
  <c r="J23" i="38" s="1"/>
  <c r="H27" i="38"/>
  <c r="I27" i="38" s="1"/>
  <c r="J27" i="38" s="1"/>
  <c r="D27" i="39" s="1"/>
  <c r="G27" i="39" s="1"/>
  <c r="H20" i="38"/>
  <c r="I20" i="38" s="1"/>
  <c r="J20" i="38" s="1"/>
  <c r="D20" i="39" s="1"/>
  <c r="G20" i="39" s="1"/>
  <c r="I6" i="40"/>
  <c r="D37" i="38" l="1"/>
  <c r="G37" i="38" s="1"/>
  <c r="H25" i="40"/>
  <c r="D42" i="38"/>
  <c r="G42" i="38" s="1"/>
  <c r="H30" i="40"/>
  <c r="D41" i="38"/>
  <c r="G41" i="38" s="1"/>
  <c r="H29" i="40"/>
  <c r="D40" i="38"/>
  <c r="G40" i="38" s="1"/>
  <c r="H28" i="40"/>
  <c r="D36" i="38"/>
  <c r="G36" i="38" s="1"/>
  <c r="H24" i="40"/>
  <c r="H21" i="40"/>
  <c r="D33" i="38"/>
  <c r="G33" i="38" s="1"/>
  <c r="H34" i="37"/>
  <c r="I34" i="37" s="1"/>
  <c r="J34" i="37" s="1"/>
  <c r="H39" i="37"/>
  <c r="I39" i="37" s="1"/>
  <c r="J39" i="37" s="1"/>
  <c r="D39" i="38" s="1"/>
  <c r="H38" i="37"/>
  <c r="I38" i="37" s="1"/>
  <c r="J38" i="37" s="1"/>
  <c r="H43" i="37"/>
  <c r="I43" i="37" s="1"/>
  <c r="J43" i="37" s="1"/>
  <c r="H35" i="37"/>
  <c r="I35" i="37" s="1"/>
  <c r="J35" i="37" s="1"/>
  <c r="I8" i="40"/>
  <c r="I7" i="40"/>
  <c r="I11" i="40"/>
  <c r="I15" i="40"/>
  <c r="I13" i="40"/>
  <c r="I10" i="40"/>
  <c r="D23" i="39"/>
  <c r="I16" i="40"/>
  <c r="I14" i="40"/>
  <c r="I9" i="40"/>
  <c r="G28" i="39"/>
  <c r="H26" i="39" s="1"/>
  <c r="I26" i="39" s="1"/>
  <c r="J26" i="39" s="1"/>
  <c r="H22" i="40" l="1"/>
  <c r="D34" i="38"/>
  <c r="G34" i="38" s="1"/>
  <c r="D43" i="38"/>
  <c r="G43" i="38" s="1"/>
  <c r="H31" i="40"/>
  <c r="H26" i="40"/>
  <c r="D38" i="38"/>
  <c r="G38" i="38" s="1"/>
  <c r="H23" i="40"/>
  <c r="D35" i="38"/>
  <c r="G35" i="38" s="1"/>
  <c r="I12" i="40"/>
  <c r="H22" i="39"/>
  <c r="I22" i="39" s="1"/>
  <c r="J22" i="39" s="1"/>
  <c r="J11" i="40" s="1"/>
  <c r="H28" i="39"/>
  <c r="H27" i="39"/>
  <c r="I27" i="39" s="1"/>
  <c r="J27" i="39" s="1"/>
  <c r="J16" i="40" s="1"/>
  <c r="H17" i="39"/>
  <c r="I17" i="39" s="1"/>
  <c r="J17" i="39" s="1"/>
  <c r="J6" i="40" s="1"/>
  <c r="H19" i="39"/>
  <c r="I19" i="39" s="1"/>
  <c r="J19" i="39" s="1"/>
  <c r="J8" i="40" s="1"/>
  <c r="H23" i="39"/>
  <c r="I23" i="39" s="1"/>
  <c r="J23" i="39" s="1"/>
  <c r="H20" i="39"/>
  <c r="I20" i="39" s="1"/>
  <c r="J20" i="39" s="1"/>
  <c r="J9" i="40" s="1"/>
  <c r="H21" i="39"/>
  <c r="I21" i="39" s="1"/>
  <c r="J21" i="39" s="1"/>
  <c r="J10" i="40" s="1"/>
  <c r="H18" i="39"/>
  <c r="I18" i="39" s="1"/>
  <c r="J18" i="39" s="1"/>
  <c r="J7" i="40" s="1"/>
  <c r="H25" i="39"/>
  <c r="I25" i="39" s="1"/>
  <c r="J25" i="39" s="1"/>
  <c r="J14" i="40" s="1"/>
  <c r="H24" i="39"/>
  <c r="I24" i="39" s="1"/>
  <c r="J24" i="39" s="1"/>
  <c r="J13" i="40" s="1"/>
  <c r="J15" i="40"/>
  <c r="H27" i="40" l="1"/>
  <c r="G44" i="38"/>
  <c r="H34" i="38"/>
  <c r="I34" i="38" s="1"/>
  <c r="J34" i="38" s="1"/>
  <c r="J12" i="40"/>
  <c r="D34" i="39" l="1"/>
  <c r="G34" i="39" s="1"/>
  <c r="I22" i="40"/>
  <c r="H41" i="38"/>
  <c r="I41" i="38" s="1"/>
  <c r="J41" i="38" s="1"/>
  <c r="H37" i="38"/>
  <c r="I37" i="38" s="1"/>
  <c r="J37" i="38" s="1"/>
  <c r="H42" i="38"/>
  <c r="I42" i="38" s="1"/>
  <c r="J42" i="38" s="1"/>
  <c r="H39" i="38"/>
  <c r="I39" i="38" s="1"/>
  <c r="J39" i="38" s="1"/>
  <c r="D39" i="39" s="1"/>
  <c r="H36" i="38"/>
  <c r="I36" i="38" s="1"/>
  <c r="J36" i="38" s="1"/>
  <c r="H40" i="38"/>
  <c r="I40" i="38" s="1"/>
  <c r="J40" i="38" s="1"/>
  <c r="H33" i="38"/>
  <c r="I33" i="38" s="1"/>
  <c r="J33" i="38" s="1"/>
  <c r="H38" i="38"/>
  <c r="I38" i="38" s="1"/>
  <c r="J38" i="38" s="1"/>
  <c r="H43" i="38"/>
  <c r="I43" i="38" s="1"/>
  <c r="J43" i="38" s="1"/>
  <c r="H35" i="38"/>
  <c r="I35" i="38" s="1"/>
  <c r="J35" i="38" s="1"/>
  <c r="D37" i="39" l="1"/>
  <c r="G37" i="39" s="1"/>
  <c r="I25" i="40"/>
  <c r="D40" i="39"/>
  <c r="G40" i="39" s="1"/>
  <c r="I28" i="40"/>
  <c r="D35" i="39"/>
  <c r="G35" i="39" s="1"/>
  <c r="I23" i="40"/>
  <c r="D33" i="39"/>
  <c r="G33" i="39" s="1"/>
  <c r="I21" i="40"/>
  <c r="I30" i="40"/>
  <c r="D42" i="39"/>
  <c r="G42" i="39" s="1"/>
  <c r="D43" i="39"/>
  <c r="G43" i="39" s="1"/>
  <c r="I31" i="40"/>
  <c r="D38" i="39"/>
  <c r="G38" i="39" s="1"/>
  <c r="I26" i="40"/>
  <c r="D36" i="39"/>
  <c r="G36" i="39" s="1"/>
  <c r="I24" i="40"/>
  <c r="I29" i="40"/>
  <c r="D41" i="39"/>
  <c r="G41" i="39" s="1"/>
  <c r="G44" i="39" l="1"/>
  <c r="H33" i="39" s="1"/>
  <c r="I33" i="39" s="1"/>
  <c r="J33" i="39" s="1"/>
  <c r="J21" i="40" s="1"/>
  <c r="I27" i="40"/>
  <c r="H41" i="39"/>
  <c r="I41" i="39" s="1"/>
  <c r="J41" i="39" s="1"/>
  <c r="J29" i="40" s="1"/>
  <c r="H37" i="39"/>
  <c r="I37" i="39" s="1"/>
  <c r="J37" i="39" s="1"/>
  <c r="J25" i="40" s="1"/>
  <c r="H40" i="39" l="1"/>
  <c r="I40" i="39" s="1"/>
  <c r="J40" i="39" s="1"/>
  <c r="J28" i="40" s="1"/>
  <c r="H36" i="39"/>
  <c r="I36" i="39" s="1"/>
  <c r="J36" i="39" s="1"/>
  <c r="J24" i="40" s="1"/>
  <c r="H38" i="39"/>
  <c r="I38" i="39" s="1"/>
  <c r="J38" i="39" s="1"/>
  <c r="J26" i="40" s="1"/>
  <c r="H35" i="39"/>
  <c r="I35" i="39" s="1"/>
  <c r="J35" i="39" s="1"/>
  <c r="J23" i="40" s="1"/>
  <c r="J27" i="40"/>
  <c r="H42" i="39"/>
  <c r="I42" i="39" s="1"/>
  <c r="J42" i="39" s="1"/>
  <c r="J30" i="40" s="1"/>
  <c r="H39" i="39"/>
  <c r="I39" i="39" s="1"/>
  <c r="J39" i="39" s="1"/>
  <c r="H34" i="39"/>
  <c r="I34" i="39" s="1"/>
  <c r="J34" i="39" s="1"/>
  <c r="J22" i="40" s="1"/>
  <c r="H43" i="39"/>
  <c r="I43" i="39" s="1"/>
  <c r="J43" i="39" s="1"/>
  <c r="J31" i="40" s="1"/>
</calcChain>
</file>

<file path=xl/sharedStrings.xml><?xml version="1.0" encoding="utf-8"?>
<sst xmlns="http://schemas.openxmlformats.org/spreadsheetml/2006/main" count="2104" uniqueCount="233">
  <si>
    <t>Transmitter</t>
  </si>
  <si>
    <t>Revenue Requirement ($)</t>
  </si>
  <si>
    <t>Network</t>
  </si>
  <si>
    <t>Line Connection</t>
  </si>
  <si>
    <t>Transformation Connection</t>
  </si>
  <si>
    <t>Total</t>
  </si>
  <si>
    <t>FNEI</t>
  </si>
  <si>
    <t>CNPI</t>
  </si>
  <si>
    <t>H1N SSM</t>
  </si>
  <si>
    <t>H1N</t>
  </si>
  <si>
    <t>B2MLP</t>
  </si>
  <si>
    <t>NRLP</t>
  </si>
  <si>
    <t>WPLP</t>
  </si>
  <si>
    <t>CLLP</t>
  </si>
  <si>
    <t>All Transmitters</t>
  </si>
  <si>
    <t>Total Annual Charge Determinants (MW)</t>
  </si>
  <si>
    <t>UCT2</t>
  </si>
  <si>
    <t>UCT 2</t>
  </si>
  <si>
    <t>Columns E and F have been populated with data from the most recent RRR filing. Rate classes that have more than one Network or Connection charge will notice that the cells are highlighted in green and unlocked.  
If the data needs to be modified, please make the necessary adjustments and note the changes in your manager's summary. As well, the Loss Factor has been imported from Tab 2.</t>
  </si>
  <si>
    <t>EV Multiplier:</t>
  </si>
  <si>
    <t>Rate Class</t>
  </si>
  <si>
    <t>Rate Description</t>
  </si>
  <si>
    <t>Unit</t>
  </si>
  <si>
    <t>Rate</t>
  </si>
  <si>
    <t>Non-Loss Adjusted Metered kWh</t>
  </si>
  <si>
    <t>Non-Loss Adjusted Metered kW</t>
  </si>
  <si>
    <t>Applicable Loss Factor</t>
  </si>
  <si>
    <t>Loss Adjusted Billed kWh</t>
  </si>
  <si>
    <t>Residential Service Classification</t>
  </si>
  <si>
    <t>Retail Transmission Rate - Network Service Rate</t>
  </si>
  <si>
    <t>$/kWh</t>
  </si>
  <si>
    <t>Retail Transmission Rate - Line and Transformation Connection Service Rate</t>
  </si>
  <si>
    <t>Seasonal Residential Service Classification</t>
  </si>
  <si>
    <t>General Service Less Than 50 kW Service Classification</t>
  </si>
  <si>
    <t>General Service 50 To 2,999 kW Service Classification</t>
  </si>
  <si>
    <t>$/kW</t>
  </si>
  <si>
    <t>Retail Transmission Rate - Network Service Rate - EV CHARGING</t>
  </si>
  <si>
    <t>Retail Transmission Rate - Line and Transformation Connection Service Rate - EV CHARGING</t>
  </si>
  <si>
    <t>General Service 3,000 To 4,999 kW Service Classification</t>
  </si>
  <si>
    <t xml:space="preserve">Retail Transmission Rate - Line and Transformation Connection Service Rate </t>
  </si>
  <si>
    <t>Retail Transmission Rate - Line and Transformation Connection Service Rate  - EV CHARGING</t>
  </si>
  <si>
    <t>Large Use Service Classification</t>
  </si>
  <si>
    <t>Unmetered Scattered Load Service Classification</t>
  </si>
  <si>
    <t>Sentinel Lighting Service Classification</t>
  </si>
  <si>
    <t>Street Lighting Service Classification</t>
  </si>
  <si>
    <t>Uniform Transmission Rates</t>
  </si>
  <si>
    <t>2024
Jan to Jun</t>
  </si>
  <si>
    <t>2024
Jul to Dec</t>
  </si>
  <si>
    <t>2025
Jan to Jun</t>
  </si>
  <si>
    <t>2025
Jul to Dec</t>
  </si>
  <si>
    <t>Network Service Rate</t>
  </si>
  <si>
    <t>kW</t>
  </si>
  <si>
    <t>Line Connection Service Rate</t>
  </si>
  <si>
    <t>Transformation Connection Service Rate</t>
  </si>
  <si>
    <t>Hydro One Sub-Transmission Rates</t>
  </si>
  <si>
    <t>Both Line and Transformation Connection Service Rate</t>
  </si>
  <si>
    <t>If needed, add extra host here. (I)</t>
  </si>
  <si>
    <t>If needed, add extra host here. (II)</t>
  </si>
  <si>
    <t>Low Voltage Switchgear Credit (if applicable, enter as a negative value)</t>
  </si>
  <si>
    <t>$</t>
  </si>
  <si>
    <t xml:space="preserve">In the green shaded cells, enter billing detail for wholesale transmission for the same reporting period as the billing determinants on Tab 10. For Hydro One Sub-transmission Rates, if you are charged a combined Line and Transformer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discrepancy in rates.
</t>
  </si>
  <si>
    <t>IESO</t>
  </si>
  <si>
    <t>Total Connection</t>
  </si>
  <si>
    <t>Month</t>
  </si>
  <si>
    <t>Units Billed</t>
  </si>
  <si>
    <t>Amount</t>
  </si>
  <si>
    <t>January</t>
  </si>
  <si>
    <t>February</t>
  </si>
  <si>
    <t>March</t>
  </si>
  <si>
    <t>April</t>
  </si>
  <si>
    <t>May</t>
  </si>
  <si>
    <t>June</t>
  </si>
  <si>
    <t>July</t>
  </si>
  <si>
    <t>August</t>
  </si>
  <si>
    <t>September</t>
  </si>
  <si>
    <t>October</t>
  </si>
  <si>
    <t>November</t>
  </si>
  <si>
    <t>December</t>
  </si>
  <si>
    <t>Hydro One</t>
  </si>
  <si>
    <t>Add Extra Host Here (I)</t>
  </si>
  <si>
    <t>(if needed)</t>
  </si>
  <si>
    <t>Add Extra Host Here (II)</t>
  </si>
  <si>
    <t>Low Voltage Switchgear Credit (if applicable)</t>
  </si>
  <si>
    <t>Total including deduction for Low Voltage Switchgear Credit</t>
  </si>
  <si>
    <t>The purpose of this sheet is to calculate the expected billing when current 2025 Uniform Transmission Rates are applied against historical 2024 transmission units.</t>
  </si>
  <si>
    <t>The purpose of this table is to re-align the current RTS Network Rates to recover current wholesale network costs.</t>
  </si>
  <si>
    <t>Current RTSR-Network</t>
  </si>
  <si>
    <t>Billed kW</t>
  </si>
  <si>
    <t>Billed Amount</t>
  </si>
  <si>
    <t>Billed Amount %</t>
  </si>
  <si>
    <t>Current Wholesale Billing</t>
  </si>
  <si>
    <t>Adjusted RTSR Network</t>
  </si>
  <si>
    <t>The purpose of this table is to re-align the current RTS Connection Rates to recover current wholesale connection costs.</t>
  </si>
  <si>
    <t>Current RTSR-Connection</t>
  </si>
  <si>
    <t>Adjusted RTSR-Connection</t>
  </si>
  <si>
    <t>General Service 50 To 4,999 kW Service Classification</t>
  </si>
  <si>
    <t>Revenue Requirement</t>
  </si>
  <si>
    <t>RR</t>
  </si>
  <si>
    <t>Connection</t>
  </si>
  <si>
    <t>Transformation</t>
  </si>
  <si>
    <t>MW</t>
  </si>
  <si>
    <t>UTR</t>
  </si>
  <si>
    <t>Line and Transformation</t>
  </si>
  <si>
    <t>Alectra Utilities Corporation-Brampton Rate Zone</t>
  </si>
  <si>
    <t xml:space="preserve">2026 RTSR Workform 
for Electricity Distributors
</t>
  </si>
  <si>
    <t>Alectra Utilities Corporation-Enersource Rate Zone</t>
  </si>
  <si>
    <t xml:space="preserve">v 1.0
</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</si>
  <si>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</si>
  <si>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</si>
  <si>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</si>
  <si>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</si>
  <si>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</si>
  <si>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</si>
  <si>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Burlington Hydro Inc.</t>
  </si>
  <si>
    <t>Canadian Niagara Power Inc.</t>
  </si>
  <si>
    <t>Centre Wellington Hydro Ltd.</t>
  </si>
  <si>
    <t>Chapleau Public Utilities Corporation</t>
  </si>
  <si>
    <t>Drop-down lists are shaded blue; Input cells are shaded green.</t>
  </si>
  <si>
    <t>Cooperative Hydro Embrun Inc.</t>
  </si>
  <si>
    <t>E.L.K. Energy Inc.</t>
  </si>
  <si>
    <t xml:space="preserve">Utility Name   </t>
  </si>
  <si>
    <t>Elexicon Energy Inc.-Whitby Rate Zone</t>
  </si>
  <si>
    <t>Elexicon Energy Inc.-Veridian Rate Zone</t>
  </si>
  <si>
    <t>Assigned EB Number</t>
  </si>
  <si>
    <t>Enova Power Corp.-Kitchener-Wilmot Hydro Rate Zone</t>
  </si>
  <si>
    <t>Enova Power Corp.-Waterloo North Rate Zone</t>
  </si>
  <si>
    <t>Name and Title of Contact</t>
  </si>
  <si>
    <t>Entegrus Powerlines Inc.-For Entegrus-Main Rate Zone</t>
  </si>
  <si>
    <t>Entegrus Powerlines Inc.-For Former St. Thomas Energy Rate Zone</t>
  </si>
  <si>
    <t>Phone Number</t>
  </si>
  <si>
    <t>ENWIN Utilities Ltd.</t>
  </si>
  <si>
    <t>EPCOR Electricity Distribution Ontario Inc.</t>
  </si>
  <si>
    <t>Email Address</t>
  </si>
  <si>
    <t>ERTH Power Corporation - ERTH Power Main Rate Zone</t>
  </si>
  <si>
    <t>ERTH POWER CORPORATION – GODERICH RATE ZONE</t>
  </si>
  <si>
    <t>Last COS Re-based Year</t>
  </si>
  <si>
    <t>Espanola Regional Hydro Distribution Corporation</t>
  </si>
  <si>
    <t>Essex Powerlines Corporation</t>
  </si>
  <si>
    <t>Test Year</t>
  </si>
  <si>
    <t>Festival Hydro Inc.</t>
  </si>
  <si>
    <t>Fort Frances Power Corporation</t>
  </si>
  <si>
    <t xml:space="preserve">GrandBridge Energy Inc.-Brantford Power Rate Zone </t>
  </si>
  <si>
    <t xml:space="preserve">GrandBridge Energy Inc.-Energy+ Rate Zone </t>
  </si>
  <si>
    <t>Greater Sudbury Hydro Inc.</t>
  </si>
  <si>
    <t>Grimsby Power Incorporated</t>
  </si>
  <si>
    <t>Halton Hills Hydro Inc.</t>
  </si>
  <si>
    <t>Hearst Power Distribution Co. Ltd.</t>
  </si>
  <si>
    <t>Hydro 2000 Inc.</t>
  </si>
  <si>
    <t>Hydro Hawkesbury Inc.</t>
  </si>
  <si>
    <t>Hydro One Networks Inc.</t>
  </si>
  <si>
    <t>Hydro One Networks Inc.-Former Orillia Power Distribution Corporation Service Area</t>
  </si>
  <si>
    <t>Hydro One Networks Inc.-Former Peterborough Distribution Inc. Service Area</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</si>
  <si>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</si>
  <si>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</si>
  <si>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</si>
  <si>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</si>
  <si>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Hydro Ottawa Limited</t>
  </si>
  <si>
    <t>InnPower Corporation</t>
  </si>
  <si>
    <t>Kingston Hydro Corporation</t>
  </si>
  <si>
    <t>Lakefront Utilities Inc.</t>
  </si>
  <si>
    <t>Lakeland Power Distribution Ltd.</t>
  </si>
  <si>
    <t>London Hydro Inc.</t>
  </si>
  <si>
    <t>Milton Hydro Distribution Inc.</t>
  </si>
  <si>
    <t>Newmarket-Tay Power Distribution Ltd.-For Former Midland Power Utility Rate Zone</t>
  </si>
  <si>
    <t>Newmarket-Tay Power Distribution Ltd.-For Newmarket-Tay Power Main Rate Zone</t>
  </si>
  <si>
    <t>Niagara Peninsula Energy Inc.</t>
  </si>
  <si>
    <t>Niagara-on-the-Lake Hydro Inc.</t>
  </si>
  <si>
    <t>North Bay Hydro Distribution Limited</t>
  </si>
  <si>
    <t>Northern Ontario Wires Inc.</t>
  </si>
  <si>
    <t>Oakville Hydro Electricity Distribution Inc.</t>
  </si>
  <si>
    <t>Orangeville Hydro Limited</t>
  </si>
  <si>
    <t>Oshawa PUC Networks Inc.</t>
  </si>
  <si>
    <t>Ottawa River Power Corporation</t>
  </si>
  <si>
    <t>PUC Distribution Inc.</t>
  </si>
  <si>
    <t>Renfrew Hydro Inc.</t>
  </si>
  <si>
    <t>Rideau St. Lawrence Distribution Inc.</t>
  </si>
  <si>
    <t>Sioux Lookout Hydro Inc.</t>
  </si>
  <si>
    <t>Synergy North Corporation-Kenora Rate Zone</t>
  </si>
  <si>
    <t xml:space="preserve">Synergy North Corporation-Thunder Bay Rate Zone </t>
  </si>
  <si>
    <t>Tillsonburg Hydro Inc.</t>
  </si>
  <si>
    <t>Toronto Hydro-Electric System Limited</t>
  </si>
  <si>
    <t>Wasaga Distribution Inc.</t>
  </si>
  <si>
    <t>Welland Hydro-Electric System Corp.</t>
  </si>
  <si>
    <t>Wellington North Power Inc.</t>
  </si>
  <si>
    <t>Westario Power Inc.</t>
  </si>
  <si>
    <t>Elexicon Energy Inc.</t>
  </si>
  <si>
    <t>1. Info</t>
  </si>
  <si>
    <t>5. Historical Wholesale</t>
  </si>
  <si>
    <t>2. Table of Contents</t>
  </si>
  <si>
    <t>6. Current Wholesale</t>
  </si>
  <si>
    <t>3. RRR Data</t>
  </si>
  <si>
    <t>7. Forecast Wholesale</t>
  </si>
  <si>
    <t>4. UTRs and Sub-Transmission</t>
  </si>
  <si>
    <t>8. RTSR Rates to Forecast</t>
  </si>
  <si>
    <t>9. LV Rates</t>
  </si>
  <si>
    <t>Forecast UTRs</t>
  </si>
  <si>
    <t>HONI Revenue Requirements</t>
  </si>
  <si>
    <t>Average Increases</t>
  </si>
  <si>
    <t>WRZ</t>
  </si>
  <si>
    <t>VRZ</t>
  </si>
  <si>
    <t>Elexicon</t>
  </si>
  <si>
    <t>By Rate Zone</t>
  </si>
  <si>
    <t>Veridian</t>
  </si>
  <si>
    <t>Total kWh</t>
  </si>
  <si>
    <t>Total kW</t>
  </si>
  <si>
    <t>Harmonized %</t>
  </si>
  <si>
    <t>Whitby</t>
  </si>
  <si>
    <t>Total Billed Amount</t>
  </si>
  <si>
    <t>Residential</t>
  </si>
  <si>
    <t>GS &lt;50</t>
  </si>
  <si>
    <t>GS 50 - 2,999 kW</t>
  </si>
  <si>
    <t>GS 3,000 - 4,999 kW</t>
  </si>
  <si>
    <t>Large Use &gt;5MW</t>
  </si>
  <si>
    <t>Street Light</t>
  </si>
  <si>
    <t>Sentinel</t>
  </si>
  <si>
    <t>Unmetered Scattered Load</t>
  </si>
  <si>
    <t>Seasonal Residential</t>
  </si>
  <si>
    <t>Low Voltage Charge</t>
  </si>
  <si>
    <t>2026 LV Charge</t>
  </si>
  <si>
    <t>2027 Billed kWh/kW</t>
  </si>
  <si>
    <t>2027 LV Charges</t>
  </si>
  <si>
    <t>Allocated 2027 LV Cost</t>
  </si>
  <si>
    <t>Class Share (Connection RTSRs)</t>
  </si>
  <si>
    <t>kWh</t>
  </si>
  <si>
    <t>Billing Unit</t>
  </si>
  <si>
    <t>LV Revenue</t>
  </si>
  <si>
    <t>EB-2021-0110 Settlement Agreement, Attachment 1, Schedule 2.3</t>
  </si>
  <si>
    <t>Veridian Rate Zone</t>
  </si>
  <si>
    <t>Whitby Rate Zone</t>
  </si>
  <si>
    <t>Whibty Rate Zone</t>
  </si>
  <si>
    <t>EB-2025-0312</t>
  </si>
  <si>
    <t>Erin Stevens, Director, Regulatory Affairs</t>
  </si>
  <si>
    <t>estevens@elexiconenergy.com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</si>
</sst>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quot;$&quot;* #,##0_);_(&quot;$&quot;* \(#,##0\);_(&quot;$&quot;* &quot;-&quot;??_);_(@_)"/>
    <numFmt numFmtId="166" formatCode="_(* #,##0.00_);_(* \(#,##0.00\);_(* &quot;-&quot;??_);_(@_)"/>
    <numFmt numFmtId="167" formatCode="&quot;$&quot;#,##0_);[Red]\(&quot;$&quot;#,##0\)"/>
    <numFmt numFmtId="168" formatCode="_(* #,##0_);_(* \(#,##0\);_(* &quot;-&quot;??_);_(@_)"/>
    <numFmt numFmtId="169" formatCode="_(* #,##0.000_);_(* \(#,##0.000\);_(* &quot;-&quot;??_);_(@_)"/>
    <numFmt numFmtId="170" formatCode="0.0000"/>
    <numFmt numFmtId="171" formatCode="0.0%"/>
    <numFmt numFmtId="172" formatCode="#,##0;[Red]\(#,##0\)"/>
    <numFmt numFmtId="173" formatCode="_-&quot;$&quot;* #,##0.0000_-;\-&quot;$&quot;* #,##0.0000_-;_-&quot;$&quot;* &quot;-&quot;??_-;_-@_-"/>
    <numFmt numFmtId="174" formatCode="_-&quot;$&quot;* #,##0_-;\-&quot;$&quot;* #,##0_-;_-&quot;$&quot;* &quot;-&quot;??_-;_-@_-"/>
    <numFmt numFmtId="175" formatCode="_-* #,##0_-;\-* #,##0_-;_-* &quot;-&quot;??_-;_-@_-"/>
    <numFmt numFmtId="176" formatCode="&quot;$&quot;#,##0.00_);\(&quot;$&quot;#,##0.00\)"/>
    <numFmt numFmtId="177" formatCode="&quot;$&quot;#,##0.0000_);\(&quot;$&quot;#,##0.0000\)"/>
    <numFmt numFmtId="178" formatCode="_(&quot;$&quot;* #,##0.0000_);_(&quot;$&quot;* \(#,##0.0000\);_(&quot;$&quot;* &quot;-&quot;??_);_(@_)"/>
    <numFmt numFmtId="179" formatCode="_(* #,##0.0000_);_(* \(#,##0.0000\);_(* &quot;-&quot;??_);_(@_)"/>
    <numFmt numFmtId="180" formatCode="[$-1009]mmmm\ d\,\ yyyy;@"/>
    <numFmt numFmtId="181" formatCode="_-&quot;$&quot;* #,##0.0000000_-;\-&quot;$&quot;* #,##0.0000000_-;_-&quot;$&quot;* &quot;-&quot;??_-;_-@_-"/>
    <numFmt numFmtId="182" formatCode="0.0000%"/>
  </numFmts>
  <fonts count="35"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color theme="1"/>
      <name val="Arial"/>
      <family val="2"/>
    </font>
    <font>
      <sz val="10"/>
      <color rgb="FFFF0000"/>
      <name val="Arial"/>
      <family val="2"/>
    </font>
    <font>
      <sz val="10"/>
      <color theme="0"/>
      <name val="Arial"/>
      <family val="2"/>
    </font>
    <font>
      <b/>
      <sz val="11"/>
      <name val="Arial"/>
      <family val="2"/>
    </font>
    <font>
      <b/>
      <sz val="10"/>
      <name val="Arial"/>
      <family val="2"/>
    </font>
    <font>
      <b/>
      <sz val="14"/>
      <name val="Arial"/>
      <family val="2"/>
    </font>
    <font>
      <b/>
      <sz val="10"/>
      <color theme="0"/>
      <name val="Arial"/>
      <family val="2"/>
    </font>
    <font>
      <b/>
      <sz val="12"/>
      <name val="Arial"/>
      <family val="2"/>
    </font>
    <font>
      <b/>
      <sz val="12"/>
      <color theme="0"/>
      <name val="Arial"/>
      <family val="2"/>
    </font>
    <font>
      <sz val="12"/>
      <color theme="1"/>
      <name val="Arial"/>
      <family val="2"/>
    </font>
    <font>
      <sz val="12"/>
      <name val="Arial"/>
      <family val="2"/>
    </font>
    <font>
      <sz val="12"/>
      <color indexed="8"/>
      <name val="Arial"/>
      <family val="2"/>
    </font>
    <font>
      <sz val="11"/>
      <color theme="1"/>
      <name val="Arial"/>
      <family val="2"/>
    </font>
    <font>
      <sz val="13"/>
      <color indexed="8"/>
      <name val="Arial"/>
      <family val="2"/>
    </font>
    <font>
      <sz val="13"/>
      <name val="Arial"/>
      <family val="2"/>
    </font>
    <font>
      <b/>
      <sz val="12"/>
      <color indexed="8"/>
      <name val="Arial"/>
      <family val="2"/>
    </font>
    <font>
      <b/>
      <sz val="12"/>
      <color theme="1"/>
      <name val="Arial"/>
      <family val="2"/>
    </font>
    <font>
      <sz val="10"/>
      <name val="Book Antiqua"/>
      <family val="1"/>
    </font>
    <font>
      <b/>
      <sz val="10"/>
      <name val="Book Antiqua"/>
      <family val="1"/>
    </font>
    <font>
      <b/>
      <sz val="10"/>
      <color rgb="FFFF0000"/>
      <name val="Arial"/>
      <family val="2"/>
    </font>
    <font>
      <sz val="10"/>
      <color theme="1"/>
      <name val="Aptos Narrow"/>
      <family val="2"/>
      <scheme val="minor"/>
    </font>
    <font>
      <b/>
      <sz val="10"/>
      <color rgb="FF000000"/>
      <name val="Arial"/>
      <family val="2"/>
    </font>
    <font>
      <sz val="11"/>
      <name val="Calibri"/>
      <family val="2"/>
    </font>
    <font>
      <sz val="14"/>
      <name val="Arial"/>
      <family val="2"/>
    </font>
    <font>
      <b/>
      <sz val="20"/>
      <name val="Arial"/>
      <family val="2"/>
    </font>
    <font>
      <b/>
      <sz val="12"/>
      <color indexed="10"/>
      <name val="Arial"/>
      <family val="2"/>
    </font>
    <font>
      <b/>
      <sz val="12"/>
      <name val="Book Antiqua"/>
      <family val="1"/>
    </font>
    <font>
      <b/>
      <sz val="11"/>
      <color indexed="48"/>
      <name val="Arial"/>
      <family val="2"/>
    </font>
    <font>
      <sz val="11"/>
      <name val="Arial"/>
      <family val="2"/>
    </font>
    <font>
      <u/>
      <sz val="11"/>
      <color theme="10"/>
      <name val="Aptos Narrow"/>
      <family val="2"/>
      <scheme val="minor"/>
    </font>
    <font>
      <b/>
      <u/>
      <sz val="12"/>
      <color indexed="12"/>
      <name val="Arial"/>
      <family val="2"/>
    </font>
  </fonts>
  <fills count="10">
    <fill>
      <patternFill patternType="none"/>
    </fill>
    <fill>
      <patternFill patternType="gray125"/>
    </fill>
    <fill>
      <patternFill patternType="solid">
        <fgColor rgb="FFFFFF00"/>
        <bgColor indexed="64"/>
      </patternFill>
    </fill>
    <fill>
      <patternFill patternType="solid">
        <fgColor theme="6" tint="0.79995117038483843"/>
        <bgColor indexed="64"/>
      </patternFill>
    </fill>
    <fill>
      <patternFill patternType="solid">
        <fgColor indexed="9"/>
        <bgColor indexed="64"/>
      </patternFill>
    </fill>
    <fill>
      <patternFill patternType="solid">
        <fgColor theme="3"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thin">
        <color indexed="9"/>
      </left>
      <right style="thin">
        <color indexed="9"/>
      </right>
      <top style="thin">
        <color indexed="9"/>
      </top>
      <bottom style="thin">
        <color indexed="9"/>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theme="0"/>
      </left>
      <right style="thin">
        <color theme="0"/>
      </right>
      <top style="thin">
        <color theme="0"/>
      </top>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6" fontId="3" fillId="0" borderId="0" applyFont="0" applyFill="0" applyBorder="0" applyAlignment="0" applyProtection="0"/>
    <xf numFmtId="0" fontId="3" fillId="0" borderId="0"/>
    <xf numFmtId="164" fontId="3" fillId="0" borderId="0" applyFont="0" applyFill="0" applyBorder="0" applyAlignment="0" applyProtection="0"/>
    <xf numFmtId="166" fontId="3" fillId="0" borderId="0" applyFont="0" applyFill="0" applyBorder="0" applyAlignment="0" applyProtection="0"/>
    <xf numFmtId="0" fontId="3" fillId="0" borderId="0"/>
    <xf numFmtId="0" fontId="33" fillId="0" borderId="0" applyNumberFormat="0" applyFill="0" applyBorder="0" applyAlignment="0" applyProtection="0"/>
  </cellStyleXfs>
  <cellXfs count="275">
    <xf numFmtId="0" fontId="0" fillId="0" borderId="0" xfId="0"/>
    <xf numFmtId="0" fontId="3" fillId="0" borderId="1" xfId="0" applyFont="1" applyBorder="1"/>
    <xf numFmtId="0" fontId="3" fillId="0" borderId="2" xfId="0" applyFont="1" applyBorder="1" applyAlignment="1">
      <alignment horizontal="center"/>
    </xf>
    <xf numFmtId="0" fontId="3" fillId="0" borderId="3" xfId="0" applyFont="1" applyBorder="1" applyAlignment="1">
      <alignment horizontal="center"/>
    </xf>
    <xf numFmtId="165" fontId="5" fillId="2" borderId="0" xfId="2" applyNumberFormat="1" applyFont="1" applyFill="1" applyBorder="1"/>
    <xf numFmtId="169" fontId="4" fillId="2" borderId="0" xfId="4" applyNumberFormat="1" applyFont="1" applyFill="1" applyBorder="1"/>
    <xf numFmtId="169" fontId="4" fillId="2" borderId="5" xfId="4" applyNumberFormat="1" applyFont="1" applyFill="1" applyBorder="1"/>
    <xf numFmtId="0" fontId="4" fillId="0" borderId="4" xfId="0" applyFont="1" applyBorder="1"/>
    <xf numFmtId="0" fontId="3" fillId="0" borderId="0" xfId="0" applyFont="1" applyAlignment="1">
      <alignment horizontal="center"/>
    </xf>
    <xf numFmtId="0" fontId="3" fillId="0" borderId="5" xfId="0" applyFont="1" applyBorder="1" applyAlignment="1">
      <alignment horizontal="center"/>
    </xf>
    <xf numFmtId="0" fontId="3" fillId="0" borderId="4" xfId="0" applyFont="1" applyBorder="1"/>
    <xf numFmtId="165" fontId="4" fillId="0" borderId="0" xfId="2" applyNumberFormat="1" applyFont="1" applyFill="1" applyBorder="1"/>
    <xf numFmtId="166" fontId="4" fillId="0" borderId="0" xfId="4" applyFont="1" applyFill="1" applyBorder="1"/>
    <xf numFmtId="44" fontId="4" fillId="0" borderId="5" xfId="2" applyFont="1" applyFill="1" applyBorder="1"/>
    <xf numFmtId="165" fontId="5" fillId="0" borderId="0" xfId="2" applyNumberFormat="1" applyFont="1" applyFill="1" applyBorder="1"/>
    <xf numFmtId="165" fontId="4" fillId="0" borderId="5" xfId="2" applyNumberFormat="1" applyFont="1" applyFill="1" applyBorder="1"/>
    <xf numFmtId="0" fontId="3" fillId="0" borderId="6" xfId="0" applyFont="1" applyBorder="1"/>
    <xf numFmtId="165" fontId="4" fillId="0" borderId="7" xfId="2" applyNumberFormat="1" applyFont="1" applyFill="1" applyBorder="1"/>
    <xf numFmtId="165" fontId="4" fillId="0" borderId="8" xfId="2" applyNumberFormat="1" applyFont="1" applyFill="1" applyBorder="1"/>
    <xf numFmtId="0" fontId="4" fillId="0" borderId="0" xfId="0" applyFont="1"/>
    <xf numFmtId="167" fontId="4" fillId="0" borderId="0" xfId="0" applyNumberFormat="1" applyFont="1"/>
    <xf numFmtId="168" fontId="4" fillId="0" borderId="0" xfId="4" applyNumberFormat="1" applyFont="1" applyFill="1" applyBorder="1"/>
    <xf numFmtId="168" fontId="4" fillId="0" borderId="5" xfId="4" applyNumberFormat="1" applyFont="1" applyFill="1" applyBorder="1"/>
    <xf numFmtId="169" fontId="4" fillId="0" borderId="0" xfId="4" applyNumberFormat="1" applyFont="1" applyFill="1" applyBorder="1"/>
    <xf numFmtId="169" fontId="4" fillId="0" borderId="5" xfId="4" applyNumberFormat="1" applyFont="1" applyFill="1" applyBorder="1"/>
    <xf numFmtId="169" fontId="4" fillId="0" borderId="7" xfId="4" applyNumberFormat="1" applyFont="1" applyFill="1" applyBorder="1"/>
    <xf numFmtId="169" fontId="4" fillId="0" borderId="8" xfId="4" applyNumberFormat="1" applyFont="1" applyFill="1" applyBorder="1"/>
    <xf numFmtId="165" fontId="5" fillId="0" borderId="5" xfId="2" applyNumberFormat="1" applyFont="1" applyFill="1" applyBorder="1"/>
    <xf numFmtId="0" fontId="4" fillId="0" borderId="5" xfId="0" applyFont="1" applyBorder="1"/>
    <xf numFmtId="44" fontId="0" fillId="0" borderId="0" xfId="2" applyFont="1"/>
    <xf numFmtId="10" fontId="0" fillId="0" borderId="0" xfId="3" applyNumberFormat="1" applyFont="1"/>
    <xf numFmtId="0" fontId="3" fillId="0" borderId="0" xfId="5"/>
    <xf numFmtId="0" fontId="6" fillId="0" borderId="0" xfId="5" applyFont="1"/>
    <xf numFmtId="0" fontId="8" fillId="0" borderId="0" xfId="5" applyFont="1" applyAlignment="1">
      <alignment vertical="center" wrapText="1"/>
    </xf>
    <xf numFmtId="0" fontId="9" fillId="0" borderId="9" xfId="0" applyFont="1" applyBorder="1" applyAlignment="1">
      <alignment horizontal="right"/>
    </xf>
    <xf numFmtId="0" fontId="9" fillId="0" borderId="10" xfId="0" applyFont="1" applyBorder="1" applyAlignment="1">
      <alignment horizontal="left"/>
    </xf>
    <xf numFmtId="0" fontId="7" fillId="0" borderId="0" xfId="5" applyFont="1"/>
    <xf numFmtId="0" fontId="7" fillId="0" borderId="0" xfId="5" applyFont="1" applyAlignment="1">
      <alignment horizontal="center" vertical="center"/>
    </xf>
    <xf numFmtId="170" fontId="7" fillId="0" borderId="0" xfId="5" applyNumberFormat="1" applyFont="1" applyAlignment="1">
      <alignment horizontal="center" vertical="center"/>
    </xf>
    <xf numFmtId="3" fontId="7" fillId="0" borderId="0" xfId="5" applyNumberFormat="1" applyFont="1" applyAlignment="1">
      <alignment horizontal="center" vertical="center" wrapText="1"/>
    </xf>
    <xf numFmtId="170" fontId="7" fillId="0" borderId="0" xfId="5" applyNumberFormat="1" applyFont="1" applyAlignment="1">
      <alignment horizontal="center" vertical="center" wrapText="1"/>
    </xf>
    <xf numFmtId="0" fontId="7" fillId="0" borderId="0" xfId="5" applyFont="1" applyAlignment="1">
      <alignment horizontal="center" vertical="center" wrapText="1"/>
    </xf>
    <xf numFmtId="170" fontId="3" fillId="0" borderId="0" xfId="5" applyNumberFormat="1"/>
    <xf numFmtId="3" fontId="3" fillId="0" borderId="0" xfId="5" applyNumberFormat="1"/>
    <xf numFmtId="0" fontId="3" fillId="0" borderId="0" xfId="5" applyAlignment="1">
      <alignment horizontal="center"/>
    </xf>
    <xf numFmtId="170" fontId="3" fillId="0" borderId="0" xfId="5" applyNumberFormat="1" applyAlignment="1">
      <alignment horizontal="center"/>
    </xf>
    <xf numFmtId="172" fontId="3" fillId="0" borderId="0" xfId="5" applyNumberFormat="1"/>
    <xf numFmtId="170" fontId="3" fillId="0" borderId="0" xfId="5" applyNumberFormat="1" applyProtection="1">
      <protection locked="0"/>
    </xf>
    <xf numFmtId="172" fontId="3" fillId="3" borderId="11" xfId="5" applyNumberFormat="1" applyFill="1" applyBorder="1" applyProtection="1">
      <protection locked="0"/>
    </xf>
    <xf numFmtId="172" fontId="3" fillId="3" borderId="12" xfId="5" applyNumberFormat="1" applyFill="1" applyBorder="1" applyProtection="1">
      <protection locked="0"/>
    </xf>
    <xf numFmtId="172" fontId="3" fillId="3" borderId="13" xfId="5" applyNumberFormat="1" applyFill="1" applyBorder="1" applyProtection="1">
      <protection locked="0"/>
    </xf>
    <xf numFmtId="172" fontId="3" fillId="3" borderId="14" xfId="5" applyNumberFormat="1" applyFill="1" applyBorder="1" applyProtection="1">
      <protection locked="0"/>
    </xf>
    <xf numFmtId="172" fontId="3" fillId="3" borderId="15" xfId="5" applyNumberFormat="1" applyFill="1" applyBorder="1" applyProtection="1">
      <protection locked="0"/>
    </xf>
    <xf numFmtId="172" fontId="3" fillId="3" borderId="16" xfId="5" applyNumberFormat="1" applyFill="1" applyBorder="1" applyProtection="1">
      <protection locked="0"/>
    </xf>
    <xf numFmtId="0" fontId="10" fillId="0" borderId="0" xfId="5" applyFont="1" applyAlignment="1">
      <alignment horizontal="left" vertical="center"/>
    </xf>
    <xf numFmtId="0" fontId="10" fillId="0" borderId="0" xfId="5" applyFont="1" applyAlignment="1">
      <alignment horizontal="center" vertical="center" wrapText="1"/>
    </xf>
    <xf numFmtId="0" fontId="3" fillId="4" borderId="0" xfId="5" applyFill="1"/>
    <xf numFmtId="0" fontId="3" fillId="4" borderId="0" xfId="5" applyFill="1" applyAlignment="1">
      <alignment horizontal="center"/>
    </xf>
    <xf numFmtId="0" fontId="11" fillId="4" borderId="0" xfId="5" applyFont="1" applyFill="1" applyAlignment="1">
      <alignment horizontal="center" wrapText="1"/>
    </xf>
    <xf numFmtId="0" fontId="12" fillId="5" borderId="0" xfId="0" applyFont="1" applyFill="1" applyAlignment="1">
      <alignment horizontal="left" vertical="center"/>
    </xf>
    <xf numFmtId="0" fontId="12" fillId="5" borderId="0" xfId="0" applyFont="1" applyFill="1" applyAlignment="1">
      <alignment horizontal="center" vertical="center" wrapText="1"/>
    </xf>
    <xf numFmtId="0" fontId="13" fillId="0" borderId="0" xfId="0" applyFont="1"/>
    <xf numFmtId="0" fontId="12" fillId="0" borderId="0" xfId="0" applyFont="1" applyAlignment="1">
      <alignment horizontal="center" vertical="center" wrapText="1"/>
    </xf>
    <xf numFmtId="0" fontId="11" fillId="0" borderId="0" xfId="0" applyFont="1"/>
    <xf numFmtId="0" fontId="14" fillId="0" borderId="0" xfId="0" applyFont="1"/>
    <xf numFmtId="0" fontId="11" fillId="0" borderId="0" xfId="0" applyFont="1" applyAlignment="1">
      <alignment horizontal="center"/>
    </xf>
    <xf numFmtId="0" fontId="15" fillId="4" borderId="0" xfId="0" applyFont="1" applyFill="1" applyAlignment="1">
      <alignment horizontal="left"/>
    </xf>
    <xf numFmtId="0" fontId="14" fillId="4" borderId="0" xfId="0" applyFont="1" applyFill="1" applyAlignment="1">
      <alignment horizontal="center"/>
    </xf>
    <xf numFmtId="0" fontId="14" fillId="4" borderId="0" xfId="0" applyFont="1" applyFill="1"/>
    <xf numFmtId="164" fontId="11" fillId="6" borderId="0" xfId="6" applyFont="1" applyFill="1" applyProtection="1"/>
    <xf numFmtId="164" fontId="11" fillId="6" borderId="0" xfId="6" applyFont="1" applyFill="1" applyProtection="1">
      <protection locked="0"/>
    </xf>
    <xf numFmtId="164" fontId="11" fillId="0" borderId="0" xfId="6" applyFont="1" applyFill="1" applyProtection="1">
      <protection locked="0"/>
    </xf>
    <xf numFmtId="164" fontId="11" fillId="7" borderId="0" xfId="6" applyFont="1" applyFill="1" applyProtection="1">
      <protection locked="0"/>
    </xf>
    <xf numFmtId="164" fontId="11" fillId="4" borderId="0" xfId="6" applyFont="1" applyFill="1" applyProtection="1"/>
    <xf numFmtId="164" fontId="11" fillId="0" borderId="0" xfId="6" applyFont="1" applyFill="1" applyProtection="1"/>
    <xf numFmtId="0" fontId="11" fillId="4" borderId="0" xfId="0" applyFont="1" applyFill="1"/>
    <xf numFmtId="0" fontId="13" fillId="4" borderId="0" xfId="0" applyFont="1" applyFill="1" applyAlignment="1">
      <alignment horizontal="center"/>
    </xf>
    <xf numFmtId="49" fontId="10" fillId="0" borderId="0" xfId="0" applyNumberFormat="1" applyFont="1" applyAlignment="1">
      <alignment horizontal="center"/>
    </xf>
    <xf numFmtId="0" fontId="4" fillId="4" borderId="0" xfId="0" applyFont="1" applyFill="1"/>
    <xf numFmtId="0" fontId="10" fillId="0" borderId="0" xfId="0" applyFont="1" applyAlignment="1">
      <alignment horizontal="center"/>
    </xf>
    <xf numFmtId="0" fontId="13" fillId="4" borderId="0" xfId="0" applyFont="1" applyFill="1"/>
    <xf numFmtId="0" fontId="11" fillId="4" borderId="0" xfId="0" applyFont="1" applyFill="1" applyAlignment="1">
      <alignment horizontal="center" wrapText="1"/>
    </xf>
    <xf numFmtId="173" fontId="11" fillId="6" borderId="0" xfId="6" applyNumberFormat="1" applyFont="1" applyFill="1" applyProtection="1">
      <protection locked="0"/>
    </xf>
    <xf numFmtId="173" fontId="11" fillId="7" borderId="0" xfId="6" applyNumberFormat="1" applyFont="1" applyFill="1" applyProtection="1">
      <protection locked="0"/>
    </xf>
    <xf numFmtId="173" fontId="11" fillId="4" borderId="0" xfId="6" applyNumberFormat="1" applyFont="1" applyFill="1" applyProtection="1"/>
    <xf numFmtId="0" fontId="0" fillId="4" borderId="0" xfId="0" applyFill="1"/>
    <xf numFmtId="0" fontId="12" fillId="8" borderId="0" xfId="0" applyFont="1" applyFill="1" applyAlignment="1" applyProtection="1">
      <alignment horizontal="left" vertical="center"/>
      <protection locked="0"/>
    </xf>
    <xf numFmtId="0" fontId="10" fillId="8" borderId="0" xfId="0" applyFont="1" applyFill="1" applyAlignment="1">
      <alignment horizontal="center" vertical="center" wrapText="1"/>
    </xf>
    <xf numFmtId="0" fontId="12" fillId="8" borderId="0" xfId="0" applyFont="1" applyFill="1" applyAlignment="1">
      <alignment horizontal="center" vertical="center" wrapText="1"/>
    </xf>
    <xf numFmtId="0" fontId="0" fillId="4" borderId="0" xfId="0" applyFill="1" applyAlignment="1">
      <alignment horizontal="center"/>
    </xf>
    <xf numFmtId="0" fontId="3" fillId="0" borderId="0" xfId="0" applyFont="1"/>
    <xf numFmtId="0" fontId="16" fillId="0" borderId="0" xfId="0" applyFont="1"/>
    <xf numFmtId="0" fontId="17" fillId="4" borderId="0" xfId="0" applyFont="1" applyFill="1" applyAlignment="1">
      <alignment horizontal="left"/>
    </xf>
    <xf numFmtId="0" fontId="18" fillId="4" borderId="0" xfId="0" applyFont="1" applyFill="1" applyAlignment="1">
      <alignment horizontal="center"/>
    </xf>
    <xf numFmtId="0" fontId="18" fillId="4" borderId="0" xfId="0" applyFont="1" applyFill="1"/>
    <xf numFmtId="0" fontId="16" fillId="4" borderId="0" xfId="0" applyFont="1" applyFill="1"/>
    <xf numFmtId="0" fontId="19" fillId="0" borderId="0" xfId="0" applyFont="1" applyAlignment="1">
      <alignment horizontal="center" vertical="center"/>
    </xf>
    <xf numFmtId="0" fontId="19" fillId="0" borderId="0" xfId="0" applyFont="1" applyAlignment="1">
      <alignment horizontal="left" wrapText="1"/>
    </xf>
    <xf numFmtId="0" fontId="14" fillId="0" borderId="0" xfId="0" applyFont="1" applyAlignment="1">
      <alignment horizontal="center"/>
    </xf>
    <xf numFmtId="173" fontId="11" fillId="0" borderId="0" xfId="6" applyNumberFormat="1" applyFont="1" applyFill="1" applyProtection="1"/>
    <xf numFmtId="174" fontId="11" fillId="7" borderId="0" xfId="6" applyNumberFormat="1" applyFont="1" applyFill="1" applyProtection="1">
      <protection locked="0"/>
    </xf>
    <xf numFmtId="0" fontId="10" fillId="5" borderId="0" xfId="5" applyFont="1" applyFill="1" applyAlignment="1">
      <alignment horizontal="center" vertical="center"/>
    </xf>
    <xf numFmtId="0" fontId="8" fillId="0" borderId="0" xfId="5" applyFont="1" applyAlignment="1">
      <alignment horizontal="center" vertical="center"/>
    </xf>
    <xf numFmtId="0" fontId="11" fillId="4" borderId="0" xfId="5" applyFont="1" applyFill="1" applyAlignment="1">
      <alignment wrapText="1"/>
    </xf>
    <xf numFmtId="0" fontId="8" fillId="0" borderId="0" xfId="5" applyFont="1" applyAlignment="1">
      <alignment horizontal="center" wrapText="1"/>
    </xf>
    <xf numFmtId="0" fontId="21" fillId="4" borderId="0" xfId="5" applyFont="1" applyFill="1"/>
    <xf numFmtId="0" fontId="22" fillId="4" borderId="0" xfId="5" applyFont="1" applyFill="1" applyAlignment="1">
      <alignment horizontal="center" wrapText="1"/>
    </xf>
    <xf numFmtId="175" fontId="3" fillId="7" borderId="17" xfId="7" applyNumberFormat="1" applyFont="1" applyFill="1" applyBorder="1" applyProtection="1">
      <protection locked="0"/>
    </xf>
    <xf numFmtId="176" fontId="3" fillId="7" borderId="17" xfId="6" applyNumberFormat="1" applyFont="1" applyFill="1" applyBorder="1" applyAlignment="1" applyProtection="1">
      <alignment horizontal="center"/>
      <protection locked="0"/>
    </xf>
    <xf numFmtId="174" fontId="3" fillId="7" borderId="17" xfId="6" applyNumberFormat="1" applyFont="1" applyFill="1" applyBorder="1" applyProtection="1">
      <protection locked="0"/>
    </xf>
    <xf numFmtId="174" fontId="3" fillId="4" borderId="0" xfId="6" applyNumberFormat="1" applyFont="1" applyFill="1" applyProtection="1"/>
    <xf numFmtId="175" fontId="3" fillId="4" borderId="18" xfId="7" applyNumberFormat="1" applyFont="1" applyFill="1" applyBorder="1" applyProtection="1"/>
    <xf numFmtId="164" fontId="3" fillId="4" borderId="18" xfId="6" applyFont="1" applyFill="1" applyBorder="1" applyProtection="1"/>
    <xf numFmtId="174" fontId="3" fillId="4" borderId="18" xfId="6" applyNumberFormat="1" applyFont="1" applyFill="1" applyBorder="1" applyProtection="1"/>
    <xf numFmtId="177" fontId="3" fillId="3" borderId="17" xfId="6" applyNumberFormat="1" applyFont="1" applyFill="1" applyBorder="1" applyAlignment="1" applyProtection="1">
      <alignment horizontal="center"/>
      <protection locked="0"/>
    </xf>
    <xf numFmtId="178" fontId="3" fillId="4" borderId="18" xfId="6" applyNumberFormat="1" applyFont="1" applyFill="1" applyBorder="1" applyProtection="1"/>
    <xf numFmtId="0" fontId="10" fillId="5" borderId="0" xfId="5" applyFont="1" applyFill="1" applyAlignment="1" applyProtection="1">
      <alignment horizontal="center" vertical="center"/>
      <protection locked="0"/>
    </xf>
    <xf numFmtId="0" fontId="23" fillId="0" borderId="0" xfId="5" applyFont="1" applyAlignment="1">
      <alignment horizontal="center" wrapText="1"/>
    </xf>
    <xf numFmtId="173" fontId="3" fillId="7" borderId="17" xfId="6" applyNumberFormat="1" applyFont="1" applyFill="1" applyBorder="1" applyAlignment="1" applyProtection="1">
      <alignment horizontal="center"/>
      <protection locked="0"/>
    </xf>
    <xf numFmtId="174" fontId="24" fillId="7" borderId="17" xfId="6" applyNumberFormat="1" applyFont="1" applyFill="1" applyBorder="1" applyProtection="1">
      <protection locked="0"/>
    </xf>
    <xf numFmtId="0" fontId="8" fillId="4" borderId="0" xfId="5" applyFont="1" applyFill="1" applyAlignment="1">
      <alignment horizontal="center" wrapText="1"/>
    </xf>
    <xf numFmtId="175" fontId="3" fillId="4" borderId="0" xfId="7" applyNumberFormat="1" applyFont="1" applyFill="1" applyProtection="1"/>
    <xf numFmtId="173" fontId="3" fillId="4" borderId="17" xfId="6" applyNumberFormat="1" applyFont="1" applyFill="1" applyBorder="1" applyProtection="1"/>
    <xf numFmtId="0" fontId="3" fillId="0" borderId="0" xfId="5" applyAlignment="1">
      <alignment vertical="top"/>
    </xf>
    <xf numFmtId="0" fontId="8" fillId="0" borderId="0" xfId="5" applyFont="1" applyAlignment="1">
      <alignment horizontal="right" vertical="top"/>
    </xf>
    <xf numFmtId="174" fontId="3" fillId="6" borderId="0" xfId="6" applyNumberFormat="1" applyFont="1" applyFill="1" applyProtection="1"/>
    <xf numFmtId="0" fontId="8" fillId="0" borderId="0" xfId="5" applyFont="1" applyAlignment="1">
      <alignment horizontal="right"/>
    </xf>
    <xf numFmtId="175" fontId="3" fillId="4" borderId="17" xfId="7" applyNumberFormat="1" applyFont="1" applyFill="1" applyBorder="1" applyProtection="1"/>
    <xf numFmtId="174" fontId="3" fillId="4" borderId="17" xfId="6" applyNumberFormat="1" applyFont="1" applyFill="1" applyBorder="1" applyProtection="1"/>
    <xf numFmtId="0" fontId="3" fillId="0" borderId="0" xfId="5" applyAlignment="1">
      <alignment horizontal="center" vertical="center"/>
    </xf>
    <xf numFmtId="170" fontId="3" fillId="0" borderId="0" xfId="5" applyNumberFormat="1" applyAlignment="1">
      <alignment horizontal="center" vertical="center"/>
    </xf>
    <xf numFmtId="175" fontId="3" fillId="0" borderId="0" xfId="5" applyNumberFormat="1" applyAlignment="1">
      <alignment horizontal="center" vertical="center"/>
    </xf>
    <xf numFmtId="171" fontId="3" fillId="0" borderId="0" xfId="5" applyNumberFormat="1" applyAlignment="1">
      <alignment horizontal="center" vertical="center"/>
    </xf>
    <xf numFmtId="0" fontId="11" fillId="0" borderId="0" xfId="5" applyFont="1"/>
    <xf numFmtId="0" fontId="11" fillId="0" borderId="0" xfId="5" applyFont="1" applyAlignment="1">
      <alignment horizontal="left" vertical="center" wrapText="1"/>
    </xf>
    <xf numFmtId="0" fontId="11" fillId="0" borderId="0" xfId="5" applyFont="1" applyAlignment="1">
      <alignment horizontal="center" vertical="center" wrapText="1"/>
    </xf>
    <xf numFmtId="170" fontId="11" fillId="0" borderId="0" xfId="5" applyNumberFormat="1" applyFont="1" applyAlignment="1">
      <alignment horizontal="center" vertical="center" wrapText="1"/>
    </xf>
    <xf numFmtId="175" fontId="11" fillId="0" borderId="0" xfId="5" applyNumberFormat="1" applyFont="1" applyAlignment="1">
      <alignment horizontal="center" vertical="center" wrapText="1"/>
    </xf>
    <xf numFmtId="175" fontId="11" fillId="6" borderId="0" xfId="5" applyNumberFormat="1" applyFont="1" applyFill="1" applyAlignment="1">
      <alignment horizontal="center" vertical="center" wrapText="1"/>
    </xf>
    <xf numFmtId="3" fontId="11" fillId="6" borderId="0" xfId="5" applyNumberFormat="1" applyFont="1" applyFill="1" applyAlignment="1">
      <alignment horizontal="center" vertical="center" wrapText="1"/>
    </xf>
    <xf numFmtId="171" fontId="11" fillId="6" borderId="0" xfId="5" applyNumberFormat="1" applyFont="1" applyFill="1" applyAlignment="1">
      <alignment horizontal="center" vertical="center" wrapText="1"/>
    </xf>
    <xf numFmtId="170" fontId="11" fillId="6" borderId="0" xfId="5" applyNumberFormat="1" applyFont="1" applyFill="1" applyAlignment="1">
      <alignment horizontal="center" vertical="center" wrapText="1"/>
    </xf>
    <xf numFmtId="3" fontId="3" fillId="0" borderId="0" xfId="5" applyNumberFormat="1" applyAlignment="1">
      <alignment horizontal="center" vertical="center"/>
    </xf>
    <xf numFmtId="171" fontId="3" fillId="0" borderId="0" xfId="3" applyNumberFormat="1" applyFont="1" applyAlignment="1" applyProtection="1">
      <alignment horizontal="center" vertical="center"/>
    </xf>
    <xf numFmtId="170" fontId="8" fillId="0" borderId="0" xfId="5" applyNumberFormat="1" applyFont="1" applyAlignment="1">
      <alignment horizontal="center" vertical="center"/>
    </xf>
    <xf numFmtId="2" fontId="14" fillId="0" borderId="0" xfId="0" applyNumberFormat="1" applyFont="1" applyAlignment="1">
      <alignment horizontal="center"/>
    </xf>
    <xf numFmtId="0" fontId="0" fillId="6" borderId="0" xfId="0" applyFill="1"/>
    <xf numFmtId="0" fontId="2" fillId="6" borderId="0" xfId="0" applyFont="1" applyFill="1"/>
    <xf numFmtId="175" fontId="3" fillId="0" borderId="0" xfId="1" applyNumberFormat="1" applyFont="1"/>
    <xf numFmtId="171" fontId="3" fillId="0" borderId="0" xfId="3" applyNumberFormat="1" applyFont="1"/>
    <xf numFmtId="175" fontId="3" fillId="0" borderId="0" xfId="5" applyNumberFormat="1"/>
    <xf numFmtId="171" fontId="3" fillId="0" borderId="0" xfId="5" applyNumberFormat="1"/>
    <xf numFmtId="44" fontId="3" fillId="0" borderId="0" xfId="5" applyNumberFormat="1"/>
    <xf numFmtId="173" fontId="3" fillId="0" borderId="0" xfId="5" applyNumberFormat="1"/>
    <xf numFmtId="10" fontId="3" fillId="0" borderId="0" xfId="3" applyNumberFormat="1" applyFont="1"/>
    <xf numFmtId="0" fontId="2" fillId="6" borderId="0" xfId="0" applyFont="1" applyFill="1" applyAlignment="1">
      <alignment horizontal="center"/>
    </xf>
    <xf numFmtId="0" fontId="8" fillId="0" borderId="0" xfId="5" applyFont="1"/>
    <xf numFmtId="0" fontId="11" fillId="0" borderId="22" xfId="0" applyFont="1" applyBorder="1" applyAlignment="1">
      <alignment horizontal="center"/>
    </xf>
    <xf numFmtId="0" fontId="0" fillId="7" borderId="23" xfId="0" applyFill="1" applyBorder="1" applyAlignment="1" applyProtection="1">
      <alignment vertical="center"/>
      <protection locked="0"/>
    </xf>
    <xf numFmtId="0" fontId="11" fillId="0" borderId="26" xfId="0" applyFont="1" applyBorder="1" applyAlignment="1">
      <alignment horizontal="center"/>
    </xf>
    <xf numFmtId="0" fontId="7" fillId="9" borderId="23" xfId="0" applyFont="1" applyFill="1" applyBorder="1" applyAlignment="1" applyProtection="1">
      <alignment horizontal="center" vertical="center" wrapText="1"/>
      <protection locked="0"/>
    </xf>
    <xf numFmtId="0" fontId="3" fillId="6" borderId="0" xfId="0" applyFont="1" applyFill="1"/>
    <xf numFmtId="0" fontId="8" fillId="6" borderId="0" xfId="0" applyFont="1" applyFill="1"/>
    <xf numFmtId="0" fontId="34" fillId="6" borderId="0" xfId="9" applyFont="1" applyFill="1" applyAlignment="1" applyProtection="1"/>
    <xf numFmtId="0" fontId="11" fillId="6" borderId="0" xfId="0" applyFont="1" applyFill="1"/>
    <xf numFmtId="0" fontId="11" fillId="6" borderId="0" xfId="0" applyFont="1" applyFill="1" applyAlignment="1">
      <alignment horizontal="center"/>
    </xf>
    <xf numFmtId="0" fontId="0" fillId="6" borderId="0" xfId="0" applyFill="1" applyAlignment="1">
      <alignment horizontal="left"/>
    </xf>
    <xf numFmtId="0" fontId="0" fillId="6" borderId="19" xfId="0" applyFill="1" applyBorder="1"/>
    <xf numFmtId="0" fontId="26" fillId="6" borderId="0" xfId="0" applyFont="1" applyFill="1" applyAlignment="1">
      <alignment wrapText="1"/>
    </xf>
    <xf numFmtId="0" fontId="0" fillId="6" borderId="0" xfId="0" applyFill="1" applyAlignment="1">
      <alignment horizontal="center"/>
    </xf>
    <xf numFmtId="0" fontId="0" fillId="6" borderId="0" xfId="0" applyFill="1" applyAlignment="1">
      <alignment horizontal="left" wrapText="1"/>
    </xf>
    <xf numFmtId="0" fontId="28" fillId="6" borderId="0" xfId="0" applyFont="1" applyFill="1"/>
    <xf numFmtId="0" fontId="2" fillId="6" borderId="0" xfId="0" applyFont="1" applyFill="1" applyAlignment="1">
      <alignment horizontal="right" vertical="center"/>
    </xf>
    <xf numFmtId="0" fontId="0" fillId="6" borderId="22" xfId="0" applyFill="1" applyBorder="1"/>
    <xf numFmtId="0" fontId="2" fillId="6" borderId="22" xfId="0" applyFont="1" applyFill="1" applyBorder="1" applyAlignment="1">
      <alignment horizontal="right" vertical="center" indent="1"/>
    </xf>
    <xf numFmtId="0" fontId="29" fillId="6" borderId="22" xfId="0" applyFont="1" applyFill="1" applyBorder="1" applyAlignment="1">
      <alignment horizontal="left" vertical="center" wrapText="1"/>
    </xf>
    <xf numFmtId="0" fontId="29" fillId="6" borderId="0" xfId="0" applyFont="1" applyFill="1" applyAlignment="1">
      <alignment horizontal="left" vertical="center" wrapText="1"/>
    </xf>
    <xf numFmtId="0" fontId="0" fillId="6" borderId="26" xfId="0" applyFill="1" applyBorder="1"/>
    <xf numFmtId="0" fontId="8" fillId="6" borderId="0" xfId="0" applyFont="1" applyFill="1" applyAlignment="1">
      <alignment horizontal="left"/>
    </xf>
    <xf numFmtId="0" fontId="8" fillId="6" borderId="0" xfId="0" applyFont="1" applyFill="1" applyAlignment="1">
      <alignment horizontal="center"/>
    </xf>
    <xf numFmtId="0" fontId="2" fillId="6" borderId="0" xfId="0" applyFont="1" applyFill="1" applyAlignment="1">
      <alignment horizontal="right" vertical="center" indent="1"/>
    </xf>
    <xf numFmtId="0" fontId="0" fillId="6" borderId="0" xfId="1" applyNumberFormat="1" applyFont="1" applyFill="1" applyAlignment="1" applyProtection="1">
      <alignment horizontal="center"/>
    </xf>
    <xf numFmtId="22" fontId="0" fillId="6" borderId="0" xfId="0" applyNumberFormat="1" applyFill="1" applyAlignment="1">
      <alignment horizontal="center"/>
    </xf>
    <xf numFmtId="180" fontId="11" fillId="6" borderId="0" xfId="0" applyNumberFormat="1" applyFont="1" applyFill="1" applyAlignment="1">
      <alignment horizontal="center"/>
    </xf>
    <xf numFmtId="49" fontId="0" fillId="6" borderId="0" xfId="0" applyNumberFormat="1" applyFill="1"/>
    <xf numFmtId="0" fontId="30" fillId="6" borderId="0" xfId="0" applyFont="1" applyFill="1"/>
    <xf numFmtId="0" fontId="30" fillId="6" borderId="0" xfId="0" applyFont="1" applyFill="1" applyAlignment="1">
      <alignment horizontal="left" indent="4"/>
    </xf>
    <xf numFmtId="0" fontId="31" fillId="6" borderId="0" xfId="0" applyFont="1" applyFill="1"/>
    <xf numFmtId="0" fontId="7" fillId="6" borderId="0" xfId="0" applyFont="1" applyFill="1" applyAlignment="1">
      <alignment horizontal="left"/>
    </xf>
    <xf numFmtId="0" fontId="32" fillId="6" borderId="0" xfId="0" applyFont="1" applyFill="1" applyAlignment="1">
      <alignment horizontal="left"/>
    </xf>
    <xf numFmtId="0" fontId="30" fillId="6" borderId="0" xfId="0" applyFont="1" applyFill="1" applyAlignment="1">
      <alignment horizontal="left"/>
    </xf>
    <xf numFmtId="180" fontId="31" fillId="6" borderId="0" xfId="0" applyNumberFormat="1" applyFont="1" applyFill="1"/>
    <xf numFmtId="0" fontId="30" fillId="6" borderId="0" xfId="0" applyFont="1" applyFill="1" applyAlignment="1">
      <alignment vertical="top" wrapText="1"/>
    </xf>
    <xf numFmtId="0" fontId="30" fillId="6" borderId="0" xfId="0" applyFont="1" applyFill="1" applyAlignment="1">
      <alignment horizontal="left" vertical="top" wrapText="1"/>
    </xf>
    <xf numFmtId="180" fontId="31" fillId="6" borderId="0" xfId="0" applyNumberFormat="1" applyFont="1" applyFill="1" applyAlignment="1">
      <alignment vertical="center"/>
    </xf>
    <xf numFmtId="22" fontId="0" fillId="6" borderId="0" xfId="0" applyNumberFormat="1" applyFill="1" applyAlignment="1">
      <alignment horizontal="left"/>
    </xf>
    <xf numFmtId="0" fontId="0" fillId="0" borderId="27" xfId="0" applyBorder="1"/>
    <xf numFmtId="0" fontId="0" fillId="0" borderId="28" xfId="0" applyBorder="1"/>
    <xf numFmtId="0" fontId="0" fillId="0" borderId="29" xfId="0" applyBorder="1"/>
    <xf numFmtId="0" fontId="0" fillId="0" borderId="30" xfId="0" applyBorder="1"/>
    <xf numFmtId="166" fontId="0" fillId="0" borderId="0" xfId="4" applyFont="1" applyBorder="1"/>
    <xf numFmtId="166" fontId="0" fillId="0" borderId="31" xfId="4" applyFont="1" applyBorder="1"/>
    <xf numFmtId="0" fontId="0" fillId="0" borderId="31" xfId="0" applyBorder="1"/>
    <xf numFmtId="168" fontId="0" fillId="0" borderId="0" xfId="4" applyNumberFormat="1" applyFont="1" applyBorder="1"/>
    <xf numFmtId="168" fontId="0" fillId="0" borderId="31" xfId="4" applyNumberFormat="1" applyFont="1" applyBorder="1"/>
    <xf numFmtId="43" fontId="0" fillId="0" borderId="31" xfId="0" applyNumberFormat="1" applyBorder="1"/>
    <xf numFmtId="171" fontId="3" fillId="0" borderId="0" xfId="3" applyNumberFormat="1" applyFont="1" applyBorder="1"/>
    <xf numFmtId="171" fontId="3" fillId="0" borderId="31" xfId="3" applyNumberFormat="1" applyFont="1" applyBorder="1"/>
    <xf numFmtId="179" fontId="0" fillId="0" borderId="0" xfId="4" applyNumberFormat="1" applyFont="1" applyBorder="1"/>
    <xf numFmtId="179" fontId="0" fillId="0" borderId="31" xfId="4" applyNumberFormat="1" applyFont="1" applyBorder="1"/>
    <xf numFmtId="0" fontId="0" fillId="0" borderId="32" xfId="0" applyBorder="1"/>
    <xf numFmtId="0" fontId="0" fillId="0" borderId="33" xfId="0" applyBorder="1"/>
    <xf numFmtId="171" fontId="3" fillId="0" borderId="33" xfId="3" applyNumberFormat="1" applyFont="1" applyBorder="1"/>
    <xf numFmtId="171" fontId="3" fillId="0" borderId="34" xfId="3" applyNumberFormat="1" applyFont="1" applyBorder="1"/>
    <xf numFmtId="170" fontId="0" fillId="6" borderId="0" xfId="0" applyNumberFormat="1" applyFill="1"/>
    <xf numFmtId="175" fontId="0" fillId="6" borderId="0" xfId="1" applyNumberFormat="1" applyFont="1" applyFill="1"/>
    <xf numFmtId="173" fontId="0" fillId="6" borderId="0" xfId="2" applyNumberFormat="1" applyFont="1" applyFill="1"/>
    <xf numFmtId="43" fontId="0" fillId="0" borderId="0" xfId="0" applyNumberFormat="1"/>
    <xf numFmtId="0" fontId="2" fillId="0" borderId="0" xfId="0" applyFont="1"/>
    <xf numFmtId="174" fontId="0" fillId="6" borderId="19" xfId="2" applyNumberFormat="1" applyFont="1" applyFill="1" applyBorder="1"/>
    <xf numFmtId="171" fontId="0" fillId="6" borderId="0" xfId="3" applyNumberFormat="1" applyFont="1" applyFill="1"/>
    <xf numFmtId="173" fontId="0" fillId="6" borderId="19" xfId="2" applyNumberFormat="1" applyFont="1" applyFill="1" applyBorder="1"/>
    <xf numFmtId="0" fontId="2" fillId="6" borderId="19" xfId="0" applyFont="1" applyFill="1" applyBorder="1" applyAlignment="1">
      <alignment horizontal="center"/>
    </xf>
    <xf numFmtId="0" fontId="2" fillId="6" borderId="19" xfId="0" applyFont="1" applyFill="1" applyBorder="1" applyAlignment="1">
      <alignment horizontal="center" vertical="center" wrapText="1"/>
    </xf>
    <xf numFmtId="178" fontId="0" fillId="6" borderId="19" xfId="2" applyNumberFormat="1" applyFont="1" applyFill="1" applyBorder="1"/>
    <xf numFmtId="168" fontId="0" fillId="6" borderId="19" xfId="4" applyNumberFormat="1" applyFont="1" applyFill="1" applyBorder="1"/>
    <xf numFmtId="165" fontId="0" fillId="6" borderId="19" xfId="2" applyNumberFormat="1" applyFont="1" applyFill="1" applyBorder="1"/>
    <xf numFmtId="165" fontId="0" fillId="6" borderId="19" xfId="0" applyNumberFormat="1" applyFill="1" applyBorder="1"/>
    <xf numFmtId="0" fontId="2" fillId="6" borderId="19" xfId="0" applyFont="1" applyFill="1" applyBorder="1"/>
    <xf numFmtId="165" fontId="2" fillId="6" borderId="19" xfId="0" applyNumberFormat="1" applyFont="1" applyFill="1" applyBorder="1"/>
    <xf numFmtId="0" fontId="0" fillId="6" borderId="29" xfId="0" applyFill="1" applyBorder="1"/>
    <xf numFmtId="171" fontId="0" fillId="6" borderId="19" xfId="3" applyNumberFormat="1" applyFont="1" applyFill="1" applyBorder="1"/>
    <xf numFmtId="168" fontId="0" fillId="6" borderId="19" xfId="0" applyNumberFormat="1" applyFill="1" applyBorder="1"/>
    <xf numFmtId="171" fontId="0" fillId="6" borderId="0" xfId="0" applyNumberFormat="1" applyFill="1"/>
    <xf numFmtId="171" fontId="2" fillId="6" borderId="19" xfId="3" applyNumberFormat="1" applyFont="1" applyFill="1" applyBorder="1"/>
    <xf numFmtId="6" fontId="0" fillId="6" borderId="0" xfId="0" applyNumberFormat="1" applyFill="1"/>
    <xf numFmtId="0" fontId="0" fillId="6" borderId="19" xfId="0" applyFill="1" applyBorder="1" applyAlignment="1">
      <alignment horizontal="center"/>
    </xf>
    <xf numFmtId="168" fontId="0" fillId="6" borderId="19" xfId="0" applyNumberFormat="1" applyFill="1" applyBorder="1" applyAlignment="1">
      <alignment horizontal="center"/>
    </xf>
    <xf numFmtId="173" fontId="0" fillId="6" borderId="19" xfId="0" applyNumberFormat="1" applyFill="1" applyBorder="1"/>
    <xf numFmtId="174" fontId="2" fillId="6" borderId="19" xfId="2" applyNumberFormat="1" applyFont="1" applyFill="1" applyBorder="1"/>
    <xf numFmtId="181" fontId="0" fillId="6" borderId="0" xfId="0" applyNumberFormat="1" applyFill="1"/>
    <xf numFmtId="182" fontId="0" fillId="6" borderId="0" xfId="0" applyNumberFormat="1" applyFill="1"/>
    <xf numFmtId="175" fontId="0" fillId="6" borderId="19" xfId="1" applyNumberFormat="1" applyFont="1" applyFill="1" applyBorder="1"/>
    <xf numFmtId="44" fontId="0" fillId="6" borderId="0" xfId="0" applyNumberFormat="1" applyFill="1"/>
    <xf numFmtId="0" fontId="3" fillId="7" borderId="24" xfId="0" applyFont="1" applyFill="1" applyBorder="1" applyAlignment="1" applyProtection="1">
      <alignment horizontal="left" vertical="center"/>
      <protection locked="0"/>
    </xf>
    <xf numFmtId="0" fontId="3" fillId="7" borderId="25" xfId="0" applyFont="1" applyFill="1" applyBorder="1" applyAlignment="1" applyProtection="1">
      <alignment horizontal="left" vertical="center"/>
      <protection locked="0"/>
    </xf>
    <xf numFmtId="0" fontId="27" fillId="6" borderId="0" xfId="0" applyFont="1" applyFill="1"/>
    <xf numFmtId="0" fontId="0" fillId="9" borderId="20"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7" fillId="0" borderId="0" xfId="5" applyFont="1" applyAlignment="1">
      <alignment horizontal="left" vertical="top" wrapText="1"/>
    </xf>
    <xf numFmtId="174" fontId="20" fillId="7" borderId="0" xfId="0" applyNumberFormat="1" applyFont="1" applyFill="1" applyAlignment="1">
      <alignment horizontal="center"/>
    </xf>
    <xf numFmtId="164" fontId="11" fillId="7" borderId="0" xfId="6" applyFont="1" applyFill="1" applyAlignment="1" applyProtection="1">
      <alignment horizontal="center"/>
      <protection locked="0"/>
    </xf>
    <xf numFmtId="164" fontId="11" fillId="7" borderId="0" xfId="0" applyNumberFormat="1" applyFont="1" applyFill="1" applyAlignment="1">
      <alignment horizontal="center"/>
    </xf>
    <xf numFmtId="164" fontId="11" fillId="4" borderId="0" xfId="6" applyFont="1" applyFill="1" applyAlignment="1" applyProtection="1">
      <alignment horizontal="center"/>
    </xf>
    <xf numFmtId="0" fontId="19" fillId="0" borderId="0" xfId="0" applyFont="1" applyAlignment="1">
      <alignment horizontal="center" vertical="center"/>
    </xf>
    <xf numFmtId="0" fontId="11" fillId="0" borderId="0" xfId="0" applyFont="1" applyAlignment="1">
      <alignment horizontal="center"/>
    </xf>
    <xf numFmtId="0" fontId="0" fillId="0" borderId="0" xfId="0"/>
    <xf numFmtId="164" fontId="11" fillId="7" borderId="0" xfId="0" applyNumberFormat="1" applyFont="1" applyFill="1" applyAlignment="1" applyProtection="1">
      <alignment horizontal="center"/>
      <protection locked="0"/>
    </xf>
    <xf numFmtId="0" fontId="10" fillId="8" borderId="0" xfId="0" applyFont="1" applyFill="1" applyAlignment="1">
      <alignment horizontal="center" vertical="center" wrapText="1"/>
    </xf>
    <xf numFmtId="0" fontId="12" fillId="8" borderId="0" xfId="0" applyFont="1" applyFill="1" applyAlignment="1">
      <alignment horizontal="center" vertical="center" wrapText="1"/>
    </xf>
    <xf numFmtId="173" fontId="11" fillId="4" borderId="0" xfId="6" applyNumberFormat="1" applyFont="1" applyFill="1" applyAlignment="1" applyProtection="1">
      <alignment horizontal="right"/>
    </xf>
    <xf numFmtId="173" fontId="11" fillId="6" borderId="0" xfId="6" applyNumberFormat="1" applyFont="1" applyFill="1" applyAlignment="1" applyProtection="1">
      <alignment horizontal="center"/>
    </xf>
    <xf numFmtId="164" fontId="11" fillId="4" borderId="0" xfId="6" applyFont="1" applyFill="1" applyAlignment="1" applyProtection="1"/>
    <xf numFmtId="173" fontId="11" fillId="4" borderId="0" xfId="6" applyNumberFormat="1" applyFont="1" applyFill="1" applyAlignment="1" applyProtection="1"/>
    <xf numFmtId="0" fontId="12" fillId="5" borderId="0" xfId="0" applyFont="1" applyFill="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10" fillId="5" borderId="0" xfId="5" applyFont="1" applyFill="1" applyAlignment="1">
      <alignment horizontal="center" vertical="center"/>
    </xf>
    <xf numFmtId="0" fontId="8" fillId="4" borderId="0" xfId="5" applyFont="1" applyFill="1" applyAlignment="1">
      <alignment horizontal="center" wrapText="1"/>
    </xf>
    <xf numFmtId="0" fontId="8" fillId="0" borderId="0" xfId="5" applyFont="1" applyAlignment="1">
      <alignment horizontal="left" vertical="top" wrapText="1"/>
    </xf>
    <xf numFmtId="0" fontId="0" fillId="0" borderId="0" xfId="0" applyAlignment="1">
      <alignment wrapText="1"/>
    </xf>
    <xf numFmtId="0" fontId="25" fillId="0" borderId="0" xfId="5" applyFont="1" applyAlignment="1">
      <alignment horizontal="left" vertical="top" wrapText="1"/>
    </xf>
    <xf numFmtId="175" fontId="8" fillId="0" borderId="0" xfId="5" applyNumberFormat="1" applyFont="1" applyAlignment="1">
      <alignment horizontal="center" vertical="center"/>
    </xf>
    <xf numFmtId="0" fontId="2" fillId="6" borderId="19" xfId="0" applyFont="1" applyFill="1" applyBorder="1" applyAlignment="1">
      <alignment horizontal="center"/>
    </xf>
    <xf numFmtId="0" fontId="33" fillId="7" borderId="24" xfId="9" applyFill="1" applyBorder="1" applyAlignment="1" applyProtection="1">
      <alignment horizontal="left" vertical="center"/>
      <protection locked="0"/>
    </xf>
  </cellXfs>
  <cellStyles count="10">
    <cellStyle name="Comma" xfId="1" builtinId="3"/>
    <cellStyle name="Comma 2" xfId="4" xr:uid="{C35F8854-0603-41AD-9C3C-046795FAD5A6}"/>
    <cellStyle name="Comma 4" xfId="7" xr:uid="{DAA626F2-90EB-44C2-853D-85C7339DFF6D}"/>
    <cellStyle name="Currency" xfId="2" builtinId="4"/>
    <cellStyle name="Currency 2" xfId="6" xr:uid="{673D4685-675C-4B0F-9770-09CB055D4D58}"/>
    <cellStyle name="Hyperlink" xfId="9" builtinId="8"/>
    <cellStyle name="Normal" xfId="0" builtinId="0"/>
    <cellStyle name="Normal 2" xfId="5" xr:uid="{744F9B0C-A8F2-4670-A74A-4EF43021B24E}"/>
    <cellStyle name="Normal 2 2 2 2 2" xfId="8" xr:uid="{8ED9CCDA-8BB9-4A33-8D1D-1758C22514C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2" name="Text Box 13">
          <a:extLst>
            <a:ext uri="{FF2B5EF4-FFF2-40B4-BE49-F238E27FC236}">
              <a16:creationId xmlns:a16="http://schemas.microsoft.com/office/drawing/2014/main" id="{30D97225-71CE-4A06-BDA5-419ECB59B4FB}"/>
            </a:ext>
          </a:extLst>
        </xdr:cNvPr>
        <xdr:cNvSpPr txBox="1">
          <a:spLocks noChangeArrowheads="1" noTextEdit="1"/>
        </xdr:cNvSpPr>
      </xdr:nvSpPr>
      <xdr:spPr bwMode="auto">
        <a:xfrm>
          <a:off x="10597515" y="2539365"/>
          <a:ext cx="110871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v 1.0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3" name="Text Box 15">
          <a:extLst>
            <a:ext uri="{FF2B5EF4-FFF2-40B4-BE49-F238E27FC236}">
              <a16:creationId xmlns:a16="http://schemas.microsoft.com/office/drawing/2014/main" id="{3A8161DB-EEE4-4E54-A71B-C1BA70DCF549}"/>
            </a:ext>
          </a:extLst>
        </xdr:cNvPr>
        <xdr:cNvSpPr txBox="1">
          <a:spLocks noChangeArrowheads="1" noTextEdit="1"/>
        </xdr:cNvSpPr>
      </xdr:nvSpPr>
      <xdr:spPr bwMode="auto">
        <a:xfrm>
          <a:off x="14133195" y="2535555"/>
          <a:ext cx="107823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197783</xdr:colOff>
      <xdr:row>13</xdr:row>
      <xdr:rowOff>10645</xdr:rowOff>
    </xdr:from>
    <xdr:to>
      <xdr:col>17</xdr:col>
      <xdr:colOff>8404</xdr:colOff>
      <xdr:row>14</xdr:row>
      <xdr:rowOff>58270</xdr:rowOff>
    </xdr:to>
    <xdr:sp macro="" textlink="$AE$2">
      <xdr:nvSpPr>
        <xdr:cNvPr id="4" name="Text Box 16">
          <a:extLst>
            <a:ext uri="{FF2B5EF4-FFF2-40B4-BE49-F238E27FC236}">
              <a16:creationId xmlns:a16="http://schemas.microsoft.com/office/drawing/2014/main" id="{B7BF41EC-DD2B-4645-8746-48C0141223AB}"/>
            </a:ext>
          </a:extLst>
        </xdr:cNvPr>
        <xdr:cNvSpPr txBox="1">
          <a:spLocks noChangeArrowheads="1" noTextEdit="1"/>
        </xdr:cNvSpPr>
      </xdr:nvSpPr>
      <xdr:spPr bwMode="auto">
        <a:xfrm>
          <a:off x="14188103" y="2746225"/>
          <a:ext cx="1090781"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5" name="Text Box 17">
          <a:extLst>
            <a:ext uri="{FF2B5EF4-FFF2-40B4-BE49-F238E27FC236}">
              <a16:creationId xmlns:a16="http://schemas.microsoft.com/office/drawing/2014/main" id="{BEBE4694-4AD1-4407-8812-3D0931E62EF1}"/>
            </a:ext>
          </a:extLst>
        </xdr:cNvPr>
        <xdr:cNvSpPr txBox="1">
          <a:spLocks noChangeArrowheads="1" noTextEdit="1"/>
        </xdr:cNvSpPr>
      </xdr:nvSpPr>
      <xdr:spPr bwMode="auto">
        <a:xfrm>
          <a:off x="10597515" y="2773680"/>
          <a:ext cx="1108710"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27</xdr:row>
      <xdr:rowOff>19049</xdr:rowOff>
    </xdr:from>
    <xdr:to>
      <xdr:col>4</xdr:col>
      <xdr:colOff>2065020</xdr:colOff>
      <xdr:row>34</xdr:row>
      <xdr:rowOff>142874</xdr:rowOff>
    </xdr:to>
    <xdr:sp macro="" textlink="">
      <xdr:nvSpPr>
        <xdr:cNvPr id="6" name="Text Box 50">
          <a:extLst>
            <a:ext uri="{FF2B5EF4-FFF2-40B4-BE49-F238E27FC236}">
              <a16:creationId xmlns:a16="http://schemas.microsoft.com/office/drawing/2014/main" id="{C524F8A5-8DED-4277-BC79-EC8099AD2AB1}"/>
            </a:ext>
          </a:extLst>
        </xdr:cNvPr>
        <xdr:cNvSpPr txBox="1">
          <a:spLocks noChangeArrowheads="1"/>
        </xdr:cNvSpPr>
      </xdr:nvSpPr>
      <xdr:spPr bwMode="auto">
        <a:xfrm>
          <a:off x="0" y="5604509"/>
          <a:ext cx="7261860" cy="151066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9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9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9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900" b="1" i="1" u="none" strike="noStrike" baseline="0">
            <a:solidFill>
              <a:srgbClr val="000000"/>
            </a:solidFill>
            <a:latin typeface="Arial" pitchFamily="34" charset="0"/>
            <a:cs typeface="Arial" pitchFamily="34" charset="0"/>
          </a:endParaRPr>
        </a:p>
      </xdr:txBody>
    </xdr:sp>
    <xdr:clientData/>
  </xdr:twoCellAnchor>
  <xdr:twoCellAnchor>
    <xdr:from>
      <xdr:col>0</xdr:col>
      <xdr:colOff>0</xdr:colOff>
      <xdr:row>0</xdr:row>
      <xdr:rowOff>0</xdr:rowOff>
    </xdr:from>
    <xdr:to>
      <xdr:col>7</xdr:col>
      <xdr:colOff>244280</xdr:colOff>
      <xdr:row>9</xdr:row>
      <xdr:rowOff>1241</xdr:rowOff>
    </xdr:to>
    <xdr:grpSp>
      <xdr:nvGrpSpPr>
        <xdr:cNvPr id="7" name="Group 6">
          <a:extLst>
            <a:ext uri="{FF2B5EF4-FFF2-40B4-BE49-F238E27FC236}">
              <a16:creationId xmlns:a16="http://schemas.microsoft.com/office/drawing/2014/main" id="{B1093A39-9B77-47C6-968D-06421C6D0A5B}"/>
            </a:ext>
          </a:extLst>
        </xdr:cNvPr>
        <xdr:cNvGrpSpPr/>
      </xdr:nvGrpSpPr>
      <xdr:grpSpPr>
        <a:xfrm>
          <a:off x="0" y="0"/>
          <a:ext cx="8873930" cy="2268191"/>
          <a:chOff x="7801016" y="4233022"/>
          <a:chExt cx="8857415" cy="1915766"/>
        </a:xfrm>
      </xdr:grpSpPr>
      <xdr:pic>
        <xdr:nvPicPr>
          <xdr:cNvPr id="8" name="Picture 7">
            <a:extLst>
              <a:ext uri="{FF2B5EF4-FFF2-40B4-BE49-F238E27FC236}">
                <a16:creationId xmlns:a16="http://schemas.microsoft.com/office/drawing/2014/main" id="{E68C9A44-C34F-0D28-9E32-D873C2838DF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01016" y="4233022"/>
            <a:ext cx="8857415" cy="1915766"/>
          </a:xfrm>
          <a:prstGeom prst="rect">
            <a:avLst/>
          </a:prstGeom>
          <a:ln>
            <a:noFill/>
          </a:ln>
          <a:effectLst>
            <a:softEdge rad="112500"/>
          </a:effectLst>
        </xdr:spPr>
      </xdr:pic>
      <xdr:sp macro="" textlink="$AC$2">
        <xdr:nvSpPr>
          <xdr:cNvPr id="9" name="TextBox 8">
            <a:extLst>
              <a:ext uri="{FF2B5EF4-FFF2-40B4-BE49-F238E27FC236}">
                <a16:creationId xmlns:a16="http://schemas.microsoft.com/office/drawing/2014/main" id="{03D465CF-5E52-1AA3-D070-0D2F7E273B66}"/>
              </a:ext>
            </a:extLst>
          </xdr:cNvPr>
          <xdr:cNvSpPr txBox="1"/>
        </xdr:nvSpPr>
        <xdr:spPr>
          <a:xfrm>
            <a:off x="15840066"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3E85EEF-DD87-4B9A-A504-157995BC64C1}" type="TxLink">
              <a:rPr lang="en-US" sz="1400" b="0" i="0" u="none" strike="noStrike">
                <a:solidFill>
                  <a:srgbClr val="000000"/>
                </a:solidFill>
                <a:latin typeface="Arial"/>
                <a:cs typeface="Arial"/>
              </a:rPr>
              <a:pPr/>
              <a:t>v 1.0
</a:t>
            </a:fld>
            <a:endParaRPr lang="en-CA" sz="2400" b="1"/>
          </a:p>
        </xdr:txBody>
      </xdr:sp>
      <xdr:sp macro="" textlink="$AC$1">
        <xdr:nvSpPr>
          <xdr:cNvPr id="10" name="Rectangle 9">
            <a:extLst>
              <a:ext uri="{FF2B5EF4-FFF2-40B4-BE49-F238E27FC236}">
                <a16:creationId xmlns:a16="http://schemas.microsoft.com/office/drawing/2014/main" id="{248EC41A-87A9-26AE-8EBD-2227902245B3}"/>
              </a:ext>
            </a:extLst>
          </xdr:cNvPr>
          <xdr:cNvSpPr/>
        </xdr:nvSpPr>
        <xdr:spPr>
          <a:xfrm>
            <a:off x="7801016" y="4660974"/>
            <a:ext cx="856656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E3B1A34D-5963-474D-8AFE-4B9EA71F55BE}" type="TxLink">
              <a:rPr lang="en-US" sz="44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2026 RTSR Workform 
for Electricity Distributors
</a:t>
            </a:fld>
            <a:endParaRPr lang="en-CA" sz="71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1" name="Rectangle 10">
            <a:extLst>
              <a:ext uri="{FF2B5EF4-FFF2-40B4-BE49-F238E27FC236}">
                <a16:creationId xmlns:a16="http://schemas.microsoft.com/office/drawing/2014/main" id="{84499A78-E061-4F6D-92B8-885D791EF634}"/>
              </a:ext>
            </a:extLst>
          </xdr:cNvPr>
          <xdr:cNvSpPr/>
        </xdr:nvSpPr>
        <xdr:spPr>
          <a:xfrm>
            <a:off x="8394964" y="4415895"/>
            <a:ext cx="2583212"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2" name="Picture 11">
            <a:extLst>
              <a:ext uri="{FF2B5EF4-FFF2-40B4-BE49-F238E27FC236}">
                <a16:creationId xmlns:a16="http://schemas.microsoft.com/office/drawing/2014/main" id="{F7D15057-6F41-A843-BA2A-9218F6C5F4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22859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52C412D8-55B2-4D8E-864D-428487F0DE17}"/>
            </a:ext>
          </a:extLst>
        </xdr:cNvPr>
        <xdr:cNvGrpSpPr/>
      </xdr:nvGrpSpPr>
      <xdr:grpSpPr>
        <a:xfrm>
          <a:off x="22859" y="0"/>
          <a:ext cx="16687800" cy="1819275"/>
          <a:chOff x="200024" y="4499942"/>
          <a:chExt cx="9312502" cy="1915766"/>
        </a:xfrm>
      </xdr:grpSpPr>
      <xdr:pic>
        <xdr:nvPicPr>
          <xdr:cNvPr id="3" name="Picture 2">
            <a:extLst>
              <a:ext uri="{FF2B5EF4-FFF2-40B4-BE49-F238E27FC236}">
                <a16:creationId xmlns:a16="http://schemas.microsoft.com/office/drawing/2014/main" id="{5887754C-21CA-82E2-ECF3-BEAC89E4A86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7097783D-5CF4-094F-76F6-A4E34A05DC02}"/>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D4CE7DAE-99E5-40AB-80F7-A7B2CBA52EEE}"/>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CF1A047A-BF22-44CB-7CEE-DDE6386597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9B88D2A0-0106-6EC3-CFDC-7AF092EBF8D1}"/>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130781</xdr:rowOff>
    </xdr:to>
    <xdr:grpSp>
      <xdr:nvGrpSpPr>
        <xdr:cNvPr id="2" name="Group 1">
          <a:extLst>
            <a:ext uri="{FF2B5EF4-FFF2-40B4-BE49-F238E27FC236}">
              <a16:creationId xmlns:a16="http://schemas.microsoft.com/office/drawing/2014/main" id="{3CDF89CA-5CC6-4335-97EF-25B0601C7AF0}"/>
            </a:ext>
          </a:extLst>
        </xdr:cNvPr>
        <xdr:cNvGrpSpPr/>
      </xdr:nvGrpSpPr>
      <xdr:grpSpPr>
        <a:xfrm>
          <a:off x="0" y="0"/>
          <a:ext cx="11953875" cy="1911956"/>
          <a:chOff x="200024" y="4499942"/>
          <a:chExt cx="8857420" cy="1915766"/>
        </a:xfrm>
      </xdr:grpSpPr>
      <xdr:pic>
        <xdr:nvPicPr>
          <xdr:cNvPr id="3" name="Picture 2">
            <a:extLst>
              <a:ext uri="{FF2B5EF4-FFF2-40B4-BE49-F238E27FC236}">
                <a16:creationId xmlns:a16="http://schemas.microsoft.com/office/drawing/2014/main" id="{9DFFC043-49B4-DA8C-0FC3-D66F3FB0A1F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C026E007-8440-7B6D-13AE-F6ECF25A1442}"/>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ED2136-E4C6-AF13-C2B7-28937662D5DF}"/>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D3B73EA2-9847-80CF-3C2D-4CBBBE4E8B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5DCC92CE-82B9-671C-7837-402908110E8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19049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5FB40331-F2E6-4933-B716-8984A5B0F753}"/>
            </a:ext>
          </a:extLst>
        </xdr:cNvPr>
        <xdr:cNvGrpSpPr/>
      </xdr:nvGrpSpPr>
      <xdr:grpSpPr>
        <a:xfrm>
          <a:off x="19049" y="0"/>
          <a:ext cx="16691610" cy="1819275"/>
          <a:chOff x="200024" y="4499942"/>
          <a:chExt cx="9312502" cy="1915766"/>
        </a:xfrm>
      </xdr:grpSpPr>
      <xdr:pic>
        <xdr:nvPicPr>
          <xdr:cNvPr id="3" name="Picture 2">
            <a:extLst>
              <a:ext uri="{FF2B5EF4-FFF2-40B4-BE49-F238E27FC236}">
                <a16:creationId xmlns:a16="http://schemas.microsoft.com/office/drawing/2014/main" id="{B27448EA-5CEA-6688-6D0D-FE61593808F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109FD3F7-638D-C499-31B4-D9C59D6DE5F7}"/>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3F73A60B-38B1-651A-3612-B67FEEF69A60}"/>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9B40DDFF-95AF-C0F4-B607-6B0D8688BD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15CCFA5E-81CD-5E52-5FDF-10DF8116BE18}"/>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134591</xdr:rowOff>
    </xdr:to>
    <xdr:grpSp>
      <xdr:nvGrpSpPr>
        <xdr:cNvPr id="2" name="Group 1">
          <a:extLst>
            <a:ext uri="{FF2B5EF4-FFF2-40B4-BE49-F238E27FC236}">
              <a16:creationId xmlns:a16="http://schemas.microsoft.com/office/drawing/2014/main" id="{5CA59E44-240C-47AC-8A14-154D65E9CBAF}"/>
            </a:ext>
          </a:extLst>
        </xdr:cNvPr>
        <xdr:cNvGrpSpPr/>
      </xdr:nvGrpSpPr>
      <xdr:grpSpPr>
        <a:xfrm>
          <a:off x="0" y="0"/>
          <a:ext cx="11953875" cy="1915766"/>
          <a:chOff x="200024" y="4499942"/>
          <a:chExt cx="8857420" cy="1915766"/>
        </a:xfrm>
      </xdr:grpSpPr>
      <xdr:pic>
        <xdr:nvPicPr>
          <xdr:cNvPr id="3" name="Picture 2">
            <a:extLst>
              <a:ext uri="{FF2B5EF4-FFF2-40B4-BE49-F238E27FC236}">
                <a16:creationId xmlns:a16="http://schemas.microsoft.com/office/drawing/2014/main" id="{F1564120-0578-2AA3-E63E-14768379E80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A8ADE1A6-DEBD-F480-C6E4-B0AE12A11F7D}"/>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EE58DC85-7C52-E1BD-02D3-D349EBCDDC43}"/>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BC056D39-8729-1904-F3E2-F872589354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C530F7CA-495C-5F3D-C812-13BB0935B219}"/>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22859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38D6489F-4814-4B76-B86C-6F28B04618D6}"/>
            </a:ext>
          </a:extLst>
        </xdr:cNvPr>
        <xdr:cNvGrpSpPr/>
      </xdr:nvGrpSpPr>
      <xdr:grpSpPr>
        <a:xfrm>
          <a:off x="22859" y="0"/>
          <a:ext cx="16687800" cy="1819275"/>
          <a:chOff x="200024" y="4499942"/>
          <a:chExt cx="9312502" cy="1915766"/>
        </a:xfrm>
      </xdr:grpSpPr>
      <xdr:pic>
        <xdr:nvPicPr>
          <xdr:cNvPr id="3" name="Picture 2">
            <a:extLst>
              <a:ext uri="{FF2B5EF4-FFF2-40B4-BE49-F238E27FC236}">
                <a16:creationId xmlns:a16="http://schemas.microsoft.com/office/drawing/2014/main" id="{BD1F47CC-216A-0098-69C8-F222D6B31BC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C1AECC92-31EB-4E9B-15FF-FC889F64F8E6}"/>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1B37EA50-226F-C74C-B520-9E419D0EA511}"/>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E49DE636-EABB-CE5A-D37E-9FB4312F0A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7F68703-2163-6701-BC63-D71E5312C981}"/>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134591</xdr:rowOff>
    </xdr:to>
    <xdr:pic>
      <xdr:nvPicPr>
        <xdr:cNvPr id="7" name="Picture 6">
          <a:extLst>
            <a:ext uri="{FF2B5EF4-FFF2-40B4-BE49-F238E27FC236}">
              <a16:creationId xmlns:a16="http://schemas.microsoft.com/office/drawing/2014/main" id="{15F10CB8-8A43-4B68-96DC-6ED8E13513C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78631"/>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
      <xdr:nvSpPr>
        <xdr:cNvPr id="8" name="TextBox 7">
          <a:extLst>
            <a:ext uri="{FF2B5EF4-FFF2-40B4-BE49-F238E27FC236}">
              <a16:creationId xmlns:a16="http://schemas.microsoft.com/office/drawing/2014/main" id="{ABE7CC2F-A064-40D1-A1FF-C977EE7D4056}"/>
            </a:ext>
          </a:extLst>
        </xdr:cNvPr>
        <xdr:cNvSpPr txBox="1"/>
      </xdr:nvSpPr>
      <xdr:spPr>
        <a:xfrm>
          <a:off x="7991475" y="186690"/>
          <a:ext cx="540148" cy="3229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14</xdr:col>
      <xdr:colOff>169381</xdr:colOff>
      <xdr:row>9</xdr:row>
      <xdr:rowOff>142875</xdr:rowOff>
    </xdr:to>
    <xdr:sp macro="" textlink="">
      <xdr:nvSpPr>
        <xdr:cNvPr id="9" name="Rectangle 8">
          <a:extLst>
            <a:ext uri="{FF2B5EF4-FFF2-40B4-BE49-F238E27FC236}">
              <a16:creationId xmlns:a16="http://schemas.microsoft.com/office/drawing/2014/main" id="{F8944023-1843-4EDA-8DDC-A734AD99CE33}"/>
            </a:ext>
          </a:extLst>
        </xdr:cNvPr>
        <xdr:cNvSpPr/>
      </xdr:nvSpPr>
      <xdr:spPr>
        <a:xfrm>
          <a:off x="137211" y="455816"/>
          <a:ext cx="8566570" cy="119581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fld id="{BDC1165C-D6C2-4690-BF94-A3754D73B883}" type="TxLink">
            <a:rPr lang="en-US" sz="36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pPr algn="ctr" rtl="0"/>
            <a:t>2026 RTSR Workform 
for Electricity Distributors
</a:t>
          </a:fld>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81585</xdr:colOff>
      <xdr:row>3</xdr:row>
      <xdr:rowOff>8696</xdr:rowOff>
    </xdr:to>
    <xdr:sp macro="" textlink="">
      <xdr:nvSpPr>
        <xdr:cNvPr id="10" name="Rectangle 9">
          <a:extLst>
            <a:ext uri="{FF2B5EF4-FFF2-40B4-BE49-F238E27FC236}">
              <a16:creationId xmlns:a16="http://schemas.microsoft.com/office/drawing/2014/main" id="{35A5AFDA-1DF0-4019-974D-9B076A1D548D}"/>
            </a:ext>
          </a:extLst>
        </xdr:cNvPr>
        <xdr:cNvSpPr/>
      </xdr:nvSpPr>
      <xdr:spPr>
        <a:xfrm>
          <a:off x="546371" y="158221"/>
          <a:ext cx="2583214" cy="35339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17025</xdr:rowOff>
    </xdr:from>
    <xdr:to>
      <xdr:col>0</xdr:col>
      <xdr:colOff>585581</xdr:colOff>
      <xdr:row>3</xdr:row>
      <xdr:rowOff>71320</xdr:rowOff>
    </xdr:to>
    <xdr:pic>
      <xdr:nvPicPr>
        <xdr:cNvPr id="11" name="Picture 10">
          <a:extLst>
            <a:ext uri="{FF2B5EF4-FFF2-40B4-BE49-F238E27FC236}">
              <a16:creationId xmlns:a16="http://schemas.microsoft.com/office/drawing/2014/main" id="{C35C4584-49B8-42AD-9F52-DF7C0FA26F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84665"/>
          <a:ext cx="389282" cy="38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17357</xdr:colOff>
      <xdr:row>0</xdr:row>
      <xdr:rowOff>17356</xdr:rowOff>
    </xdr:from>
    <xdr:to>
      <xdr:col>11</xdr:col>
      <xdr:colOff>606686</xdr:colOff>
      <xdr:row>13</xdr:row>
      <xdr:rowOff>18600</xdr:rowOff>
    </xdr:to>
    <xdr:grpSp>
      <xdr:nvGrpSpPr>
        <xdr:cNvPr id="2" name="Group 1">
          <a:extLst>
            <a:ext uri="{FF2B5EF4-FFF2-40B4-BE49-F238E27FC236}">
              <a16:creationId xmlns:a16="http://schemas.microsoft.com/office/drawing/2014/main" id="{EB2D56D7-5BC7-479E-B174-C7BAC0994EA3}"/>
            </a:ext>
          </a:extLst>
        </xdr:cNvPr>
        <xdr:cNvGrpSpPr/>
      </xdr:nvGrpSpPr>
      <xdr:grpSpPr>
        <a:xfrm>
          <a:off x="798407" y="17356"/>
          <a:ext cx="13305204" cy="2191994"/>
          <a:chOff x="200024" y="4499942"/>
          <a:chExt cx="8857420" cy="1915766"/>
        </a:xfrm>
      </xdr:grpSpPr>
      <xdr:pic>
        <xdr:nvPicPr>
          <xdr:cNvPr id="3" name="Picture 2">
            <a:extLst>
              <a:ext uri="{FF2B5EF4-FFF2-40B4-BE49-F238E27FC236}">
                <a16:creationId xmlns:a16="http://schemas.microsoft.com/office/drawing/2014/main" id="{2DDEE3F4-3FCF-773A-58F1-D616FCD9935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D15CE587-9BBB-4999-1B57-35F5F42347B8}"/>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12448F6-A6E7-CED3-C844-48631C7323C3}"/>
              </a:ext>
            </a:extLst>
          </xdr:cNvPr>
          <xdr:cNvSpPr/>
        </xdr:nvSpPr>
        <xdr:spPr>
          <a:xfrm>
            <a:off x="337235" y="4917469"/>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D9AE6D39-ACC5-4824-506A-DF77E4657F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6C1C54F4-FCAD-9D29-0B41-AE7B7E64319F}"/>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38099</xdr:colOff>
      <xdr:row>0</xdr:row>
      <xdr:rowOff>20955</xdr:rowOff>
    </xdr:from>
    <xdr:to>
      <xdr:col>16</xdr:col>
      <xdr:colOff>76199</xdr:colOff>
      <xdr:row>11</xdr:row>
      <xdr:rowOff>57151</xdr:rowOff>
    </xdr:to>
    <xdr:grpSp>
      <xdr:nvGrpSpPr>
        <xdr:cNvPr id="2" name="Group 1">
          <a:extLst>
            <a:ext uri="{FF2B5EF4-FFF2-40B4-BE49-F238E27FC236}">
              <a16:creationId xmlns:a16="http://schemas.microsoft.com/office/drawing/2014/main" id="{834ADEBC-0FBE-4367-83B6-8E6FC94FB420}"/>
            </a:ext>
          </a:extLst>
        </xdr:cNvPr>
        <xdr:cNvGrpSpPr/>
      </xdr:nvGrpSpPr>
      <xdr:grpSpPr>
        <a:xfrm>
          <a:off x="38099" y="20955"/>
          <a:ext cx="11715750" cy="1817371"/>
          <a:chOff x="200024" y="4499942"/>
          <a:chExt cx="8857420" cy="1915766"/>
        </a:xfrm>
      </xdr:grpSpPr>
      <xdr:pic>
        <xdr:nvPicPr>
          <xdr:cNvPr id="3" name="Picture 2">
            <a:extLst>
              <a:ext uri="{FF2B5EF4-FFF2-40B4-BE49-F238E27FC236}">
                <a16:creationId xmlns:a16="http://schemas.microsoft.com/office/drawing/2014/main" id="{63C1C1D8-CC8E-4FAF-E01E-772F5C270C5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0DFCC27D-E07D-A031-6DA9-FA987310EB63}"/>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724780CA-D472-4E88-5BBA-D69D0293222D}"/>
              </a:ext>
            </a:extLst>
          </xdr:cNvPr>
          <xdr:cNvSpPr/>
        </xdr:nvSpPr>
        <xdr:spPr>
          <a:xfrm>
            <a:off x="322821" y="495823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2BF14B40-8352-B35D-5ED6-6F69EC5ED3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7610040F-4903-6FB5-BD31-7120B6724573}"/>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130781</xdr:rowOff>
    </xdr:to>
    <xdr:grpSp>
      <xdr:nvGrpSpPr>
        <xdr:cNvPr id="2" name="Group 1">
          <a:extLst>
            <a:ext uri="{FF2B5EF4-FFF2-40B4-BE49-F238E27FC236}">
              <a16:creationId xmlns:a16="http://schemas.microsoft.com/office/drawing/2014/main" id="{7F1744C7-7D1C-44E6-BEA4-7E731A4EC3A3}"/>
            </a:ext>
          </a:extLst>
        </xdr:cNvPr>
        <xdr:cNvGrpSpPr/>
      </xdr:nvGrpSpPr>
      <xdr:grpSpPr>
        <a:xfrm>
          <a:off x="0" y="0"/>
          <a:ext cx="11953875" cy="1911956"/>
          <a:chOff x="200024" y="4499942"/>
          <a:chExt cx="8857420" cy="1915766"/>
        </a:xfrm>
      </xdr:grpSpPr>
      <xdr:pic>
        <xdr:nvPicPr>
          <xdr:cNvPr id="3" name="Picture 2">
            <a:extLst>
              <a:ext uri="{FF2B5EF4-FFF2-40B4-BE49-F238E27FC236}">
                <a16:creationId xmlns:a16="http://schemas.microsoft.com/office/drawing/2014/main" id="{ECCA8482-560A-105E-4CD0-2980DEBCE4F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BDDDE1E0-BBAE-84FC-F1BE-346FC9B53424}"/>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4B90111A-4B15-02A2-BD55-C2141622ACE4}"/>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8E28DF9B-7C7F-F9D5-A7CD-6CD1DECC79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F3B536A9-719F-4903-CEB0-593417BF682C}"/>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22859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57974039-ACC8-4898-B34C-D09202619B99}"/>
            </a:ext>
          </a:extLst>
        </xdr:cNvPr>
        <xdr:cNvGrpSpPr/>
      </xdr:nvGrpSpPr>
      <xdr:grpSpPr>
        <a:xfrm>
          <a:off x="22859" y="0"/>
          <a:ext cx="16687800" cy="1819275"/>
          <a:chOff x="200024" y="4499942"/>
          <a:chExt cx="9312502" cy="1915766"/>
        </a:xfrm>
      </xdr:grpSpPr>
      <xdr:pic>
        <xdr:nvPicPr>
          <xdr:cNvPr id="3" name="Picture 2">
            <a:extLst>
              <a:ext uri="{FF2B5EF4-FFF2-40B4-BE49-F238E27FC236}">
                <a16:creationId xmlns:a16="http://schemas.microsoft.com/office/drawing/2014/main" id="{646AAE25-A73A-1AF0-C943-0D6AB0276A9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E49DCB0C-25B5-875A-7E21-7AE4DDF8B007}"/>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B40D8552-0236-91FC-BEEF-A5D384FFDD58}"/>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D11E5A0B-72F2-B4E7-D1AA-CF76E0D271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882CC536-723D-8108-3924-D6016844D7E5}"/>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134591</xdr:rowOff>
    </xdr:to>
    <xdr:grpSp>
      <xdr:nvGrpSpPr>
        <xdr:cNvPr id="2" name="Group 1">
          <a:extLst>
            <a:ext uri="{FF2B5EF4-FFF2-40B4-BE49-F238E27FC236}">
              <a16:creationId xmlns:a16="http://schemas.microsoft.com/office/drawing/2014/main" id="{43929D3E-34F2-4665-9B37-5C048512AB8B}"/>
            </a:ext>
          </a:extLst>
        </xdr:cNvPr>
        <xdr:cNvGrpSpPr/>
      </xdr:nvGrpSpPr>
      <xdr:grpSpPr>
        <a:xfrm>
          <a:off x="0" y="0"/>
          <a:ext cx="11953875" cy="1915766"/>
          <a:chOff x="200024" y="4499942"/>
          <a:chExt cx="8857420" cy="1915766"/>
        </a:xfrm>
      </xdr:grpSpPr>
      <xdr:pic>
        <xdr:nvPicPr>
          <xdr:cNvPr id="3" name="Picture 2">
            <a:extLst>
              <a:ext uri="{FF2B5EF4-FFF2-40B4-BE49-F238E27FC236}">
                <a16:creationId xmlns:a16="http://schemas.microsoft.com/office/drawing/2014/main" id="{95195A94-4595-8F59-4F59-E18FB077440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2774F49F-DD7B-C661-F0AA-A1E046EF3C9A}"/>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00BB6060-4379-8331-26D0-D594E65CCF2A}"/>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1D8637-6898-C61C-7EEB-D10109E66E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DB25EAC2-AC0A-3F9F-074E-27F4A1AFF895}"/>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19049</xdr:colOff>
      <xdr:row>0</xdr:row>
      <xdr:rowOff>0</xdr:rowOff>
    </xdr:from>
    <xdr:to>
      <xdr:col>10</xdr:col>
      <xdr:colOff>3809</xdr:colOff>
      <xdr:row>11</xdr:row>
      <xdr:rowOff>38100</xdr:rowOff>
    </xdr:to>
    <xdr:grpSp>
      <xdr:nvGrpSpPr>
        <xdr:cNvPr id="2" name="Group 1">
          <a:extLst>
            <a:ext uri="{FF2B5EF4-FFF2-40B4-BE49-F238E27FC236}">
              <a16:creationId xmlns:a16="http://schemas.microsoft.com/office/drawing/2014/main" id="{4FD8600C-D43D-45C9-9F17-8B879B8795DD}"/>
            </a:ext>
          </a:extLst>
        </xdr:cNvPr>
        <xdr:cNvGrpSpPr/>
      </xdr:nvGrpSpPr>
      <xdr:grpSpPr>
        <a:xfrm>
          <a:off x="19049" y="0"/>
          <a:ext cx="16691610" cy="1819275"/>
          <a:chOff x="200024" y="4499942"/>
          <a:chExt cx="9312502" cy="1915766"/>
        </a:xfrm>
      </xdr:grpSpPr>
      <xdr:pic>
        <xdr:nvPicPr>
          <xdr:cNvPr id="3" name="Picture 2">
            <a:extLst>
              <a:ext uri="{FF2B5EF4-FFF2-40B4-BE49-F238E27FC236}">
                <a16:creationId xmlns:a16="http://schemas.microsoft.com/office/drawing/2014/main" id="{239C72E5-FF25-F36D-2C5C-EF91C811167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9312502"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5B50DCC5-E3CD-0156-4D9C-EF0EDA9EA626}"/>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FBF89DAE-404B-52CD-C735-9C640D225977}"/>
              </a:ext>
            </a:extLst>
          </xdr:cNvPr>
          <xdr:cNvSpPr/>
        </xdr:nvSpPr>
        <xdr:spPr>
          <a:xfrm>
            <a:off x="310336" y="4930688"/>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2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CDFB1E08-701C-111B-B9D1-643D7FEBC64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1FF6F658-0914-52FE-FB13-AF65814D05A8}"/>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0</xdr:colOff>
      <xdr:row>11</xdr:row>
      <xdr:rowOff>134591</xdr:rowOff>
    </xdr:to>
    <xdr:grpSp>
      <xdr:nvGrpSpPr>
        <xdr:cNvPr id="2" name="Group 1">
          <a:extLst>
            <a:ext uri="{FF2B5EF4-FFF2-40B4-BE49-F238E27FC236}">
              <a16:creationId xmlns:a16="http://schemas.microsoft.com/office/drawing/2014/main" id="{2A26B785-32C4-4FF6-AB5C-A2FA99B8A6C1}"/>
            </a:ext>
          </a:extLst>
        </xdr:cNvPr>
        <xdr:cNvGrpSpPr/>
      </xdr:nvGrpSpPr>
      <xdr:grpSpPr>
        <a:xfrm>
          <a:off x="0" y="0"/>
          <a:ext cx="11953875" cy="1915766"/>
          <a:chOff x="200024" y="4499942"/>
          <a:chExt cx="8857420" cy="1915766"/>
        </a:xfrm>
      </xdr:grpSpPr>
      <xdr:pic>
        <xdr:nvPicPr>
          <xdr:cNvPr id="3" name="Picture 2">
            <a:extLst>
              <a:ext uri="{FF2B5EF4-FFF2-40B4-BE49-F238E27FC236}">
                <a16:creationId xmlns:a16="http://schemas.microsoft.com/office/drawing/2014/main" id="{A892F170-1F23-3E05-1DCF-0F02F81F42CD}"/>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REF!" fLocksText="0">
        <xdr:nvSpPr>
          <xdr:cNvPr id="4" name="TextBox 3">
            <a:extLst>
              <a:ext uri="{FF2B5EF4-FFF2-40B4-BE49-F238E27FC236}">
                <a16:creationId xmlns:a16="http://schemas.microsoft.com/office/drawing/2014/main" id="{172D3F4E-7DB8-375D-99FA-34AA218175A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a:extLst>
              <a:ext uri="{FF2B5EF4-FFF2-40B4-BE49-F238E27FC236}">
                <a16:creationId xmlns:a16="http://schemas.microsoft.com/office/drawing/2014/main" id="{43F1E028-FE3E-AAEC-B1D6-9B55297380B8}"/>
              </a:ext>
            </a:extLst>
          </xdr:cNvPr>
          <xdr:cNvSpPr/>
        </xdr:nvSpPr>
        <xdr:spPr>
          <a:xfrm>
            <a:off x="424072" y="487765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2026 Filers</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4BC773AC-2171-9391-FA3C-FC8C0F2557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5DDC2E09-6ABC-D6DA-E094-BCFCEC37699C}"/>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stevens@elexiconenergy.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6CACF-7793-47CD-932D-2F815714CDDF}">
  <dimension ref="A1:AH108"/>
  <sheetViews>
    <sheetView tabSelected="1" workbookViewId="0">
      <selection activeCell="K26" sqref="K26"/>
    </sheetView>
  </sheetViews>
  <sheetFormatPr defaultColWidth="9.28515625" defaultRowHeight="15.75" zeroHeight="1" x14ac:dyDescent="0.25"/>
  <cols>
    <col min="1" max="1" width="14.7109375" style="146" customWidth="1"/>
    <col min="2" max="2" width="11.42578125" style="146" hidden="1" customWidth="1"/>
    <col min="3" max="3" width="26.7109375" style="146" customWidth="1"/>
    <col min="4" max="4" width="34.42578125" style="146" customWidth="1"/>
    <col min="5" max="5" width="30.7109375" style="165" customWidth="1"/>
    <col min="6" max="6" width="13.5703125" style="146" customWidth="1"/>
    <col min="7" max="25" width="9.28515625" style="146"/>
    <col min="26" max="26" width="8.5703125" style="146" customWidth="1"/>
    <col min="27" max="27" width="3.7109375" style="166" customWidth="1"/>
    <col min="28" max="28" width="67.7109375" style="166" hidden="1" customWidth="1"/>
    <col min="29" max="29" width="36" style="166" hidden="1" customWidth="1"/>
    <col min="30" max="31" width="16.28515625" style="166" customWidth="1"/>
    <col min="32" max="32" width="13.7109375" style="169" customWidth="1"/>
    <col min="33" max="33" width="24.42578125" style="169" customWidth="1"/>
    <col min="34" max="34" width="6.28515625" style="146" customWidth="1"/>
    <col min="35" max="35" width="9.28515625" style="146"/>
    <col min="36" max="36" width="45.28515625" style="146" customWidth="1"/>
    <col min="37" max="16384" width="9.28515625" style="146"/>
  </cols>
  <sheetData>
    <row r="1" spans="1:34" ht="31.5" customHeight="1" x14ac:dyDescent="0.25">
      <c r="AB1" s="167" t="s">
        <v>103</v>
      </c>
      <c r="AC1" s="168" t="s">
        <v>104</v>
      </c>
    </row>
    <row r="2" spans="1:34" ht="30" x14ac:dyDescent="0.25">
      <c r="C2" s="246"/>
      <c r="D2" s="246"/>
      <c r="E2" s="246"/>
      <c r="F2" s="246"/>
      <c r="G2" s="246"/>
      <c r="H2" s="246"/>
      <c r="I2" s="246"/>
      <c r="J2" s="246"/>
      <c r="AB2" s="167" t="s">
        <v>105</v>
      </c>
      <c r="AC2" s="170" t="s">
        <v>106</v>
      </c>
      <c r="AF2" s="166"/>
      <c r="AG2" s="166"/>
      <c r="AH2" s="166"/>
    </row>
    <row r="3" spans="1:34" ht="18" x14ac:dyDescent="0.25">
      <c r="C3" s="246"/>
      <c r="D3" s="246"/>
      <c r="E3" s="246"/>
      <c r="F3" s="246"/>
      <c r="G3" s="246"/>
      <c r="H3" s="246"/>
      <c r="I3" s="246"/>
      <c r="J3" s="246"/>
      <c r="AB3" s="167" t="s">
        <v>107</v>
      </c>
    </row>
    <row r="4" spans="1:34" ht="18" x14ac:dyDescent="0.25">
      <c r="C4" s="246"/>
      <c r="D4" s="246"/>
      <c r="E4" s="246"/>
      <c r="F4" s="246"/>
      <c r="G4" s="246"/>
      <c r="H4" s="246"/>
      <c r="I4" s="246"/>
      <c r="J4" s="246"/>
      <c r="AB4" s="167" t="s">
        <v>108</v>
      </c>
    </row>
    <row r="5" spans="1:34" ht="18" x14ac:dyDescent="0.25">
      <c r="C5" s="246"/>
      <c r="D5" s="246"/>
      <c r="E5" s="246"/>
      <c r="F5" s="246"/>
      <c r="G5" s="246"/>
      <c r="H5" s="246"/>
      <c r="I5" s="246"/>
      <c r="J5" s="246"/>
      <c r="AB5" s="167" t="s">
        <v>109</v>
      </c>
    </row>
    <row r="6" spans="1:34" x14ac:dyDescent="0.25">
      <c r="AB6" s="167" t="s">
        <v>110</v>
      </c>
    </row>
    <row r="7" spans="1:34" x14ac:dyDescent="0.25">
      <c r="AB7" s="167" t="s">
        <v>111</v>
      </c>
    </row>
    <row r="8" spans="1:34" x14ac:dyDescent="0.25">
      <c r="AB8" s="167" t="s">
        <v>112</v>
      </c>
    </row>
    <row r="9" spans="1:34" x14ac:dyDescent="0.25">
      <c r="AB9" s="167" t="s">
        <v>113</v>
      </c>
    </row>
    <row r="10" spans="1:34" ht="9" customHeight="1" x14ac:dyDescent="0.4">
      <c r="C10" s="171"/>
      <c r="AB10" s="167" t="s">
        <v>114</v>
      </c>
    </row>
    <row r="11" spans="1:34" ht="9" customHeight="1" x14ac:dyDescent="0.25">
      <c r="AB11" s="167" t="s">
        <v>115</v>
      </c>
    </row>
    <row r="12" spans="1:34" ht="9" customHeight="1" x14ac:dyDescent="0.25">
      <c r="AB12" s="167" t="s">
        <v>116</v>
      </c>
    </row>
    <row r="13" spans="1:34" x14ac:dyDescent="0.25">
      <c r="A13" s="164" t="s">
        <v>117</v>
      </c>
      <c r="AB13" s="167" t="s">
        <v>118</v>
      </c>
    </row>
    <row r="14" spans="1:34" ht="16.5" thickBot="1" x14ac:dyDescent="0.3">
      <c r="F14" s="165"/>
      <c r="G14" s="165"/>
      <c r="H14" s="165"/>
      <c r="AB14" s="167" t="s">
        <v>119</v>
      </c>
    </row>
    <row r="15" spans="1:34" ht="17.25" thickTop="1" thickBot="1" x14ac:dyDescent="0.3">
      <c r="C15" s="172" t="s">
        <v>120</v>
      </c>
      <c r="D15" s="247" t="s">
        <v>185</v>
      </c>
      <c r="E15" s="248"/>
      <c r="F15" s="165"/>
      <c r="G15" s="165"/>
      <c r="H15" s="165"/>
      <c r="AB15" s="167" t="s">
        <v>121</v>
      </c>
    </row>
    <row r="16" spans="1:34" ht="16.5" thickBot="1" x14ac:dyDescent="0.3">
      <c r="C16" s="173"/>
      <c r="D16"/>
      <c r="E16" s="157"/>
      <c r="G16" s="173"/>
      <c r="I16" s="173"/>
      <c r="AB16" s="167" t="s">
        <v>122</v>
      </c>
    </row>
    <row r="17" spans="3:33" ht="16.5" thickTop="1" x14ac:dyDescent="0.25">
      <c r="C17" s="174" t="s">
        <v>123</v>
      </c>
      <c r="D17" s="158" t="s">
        <v>230</v>
      </c>
      <c r="E17" s="157"/>
      <c r="G17" s="173"/>
      <c r="I17" s="173"/>
      <c r="AB17" s="167" t="s">
        <v>124</v>
      </c>
    </row>
    <row r="18" spans="3:33" ht="16.5" thickBot="1" x14ac:dyDescent="0.3">
      <c r="C18" s="173"/>
      <c r="D18"/>
      <c r="E18" s="157"/>
      <c r="G18" s="173"/>
      <c r="I18" s="173"/>
      <c r="AB18" s="167" t="s">
        <v>125</v>
      </c>
    </row>
    <row r="19" spans="3:33" ht="16.5" thickTop="1" x14ac:dyDescent="0.25">
      <c r="C19" s="174" t="s">
        <v>126</v>
      </c>
      <c r="D19" s="244" t="s">
        <v>231</v>
      </c>
      <c r="E19" s="245"/>
      <c r="G19" s="175"/>
      <c r="H19" s="176"/>
      <c r="I19" s="173"/>
      <c r="AB19" s="167" t="s">
        <v>127</v>
      </c>
    </row>
    <row r="20" spans="3:33" ht="16.5" thickBot="1" x14ac:dyDescent="0.3">
      <c r="C20" s="177"/>
      <c r="D20"/>
      <c r="E20" s="159"/>
      <c r="G20" s="177"/>
      <c r="I20" s="177"/>
      <c r="AA20" s="178"/>
      <c r="AB20" s="167" t="s">
        <v>128</v>
      </c>
      <c r="AD20" s="178"/>
      <c r="AE20" s="178"/>
      <c r="AF20" s="179"/>
      <c r="AG20" s="179"/>
    </row>
    <row r="21" spans="3:33" ht="16.5" thickTop="1" x14ac:dyDescent="0.25">
      <c r="C21" s="180" t="s">
        <v>129</v>
      </c>
      <c r="D21" s="158"/>
      <c r="AB21" s="167" t="s">
        <v>130</v>
      </c>
      <c r="AE21" s="146"/>
      <c r="AF21" s="181"/>
      <c r="AG21" s="182"/>
    </row>
    <row r="22" spans="3:33" ht="16.5" thickBot="1" x14ac:dyDescent="0.3">
      <c r="E22" s="176"/>
      <c r="AB22" s="167" t="s">
        <v>131</v>
      </c>
      <c r="AE22" s="146"/>
      <c r="AF22" s="181"/>
      <c r="AG22" s="182"/>
    </row>
    <row r="23" spans="3:33" thickTop="1" x14ac:dyDescent="0.25">
      <c r="C23" s="180" t="s">
        <v>132</v>
      </c>
      <c r="D23" s="274" t="s">
        <v>232</v>
      </c>
      <c r="E23" s="245"/>
      <c r="AB23" s="167" t="s">
        <v>133</v>
      </c>
      <c r="AE23" s="146"/>
      <c r="AF23" s="181"/>
      <c r="AG23" s="182"/>
    </row>
    <row r="24" spans="3:33" ht="16.5" thickBot="1" x14ac:dyDescent="0.3">
      <c r="D24" s="183"/>
      <c r="I24" s="184"/>
      <c r="AB24" s="167" t="s">
        <v>134</v>
      </c>
      <c r="AE24" s="146"/>
      <c r="AF24" s="181"/>
      <c r="AG24" s="182"/>
    </row>
    <row r="25" spans="3:33" ht="15.75" customHeight="1" thickTop="1" x14ac:dyDescent="0.25">
      <c r="C25" s="180" t="s">
        <v>135</v>
      </c>
      <c r="D25" s="160"/>
      <c r="AB25" s="167" t="s">
        <v>136</v>
      </c>
      <c r="AE25" s="146"/>
      <c r="AF25" s="181"/>
      <c r="AG25" s="182"/>
    </row>
    <row r="26" spans="3:33" ht="15.75" customHeight="1" thickBot="1" x14ac:dyDescent="0.3">
      <c r="AB26" s="167" t="s">
        <v>137</v>
      </c>
      <c r="AE26" s="146"/>
      <c r="AF26" s="181"/>
      <c r="AG26" s="182"/>
    </row>
    <row r="27" spans="3:33" ht="15.75" customHeight="1" thickTop="1" x14ac:dyDescent="0.25">
      <c r="C27" s="180" t="s">
        <v>138</v>
      </c>
      <c r="D27" s="160">
        <v>2027</v>
      </c>
      <c r="AB27" s="167" t="s">
        <v>139</v>
      </c>
      <c r="AE27" s="146"/>
      <c r="AF27" s="181"/>
      <c r="AG27" s="182"/>
    </row>
    <row r="28" spans="3:33" ht="15.75" customHeight="1" x14ac:dyDescent="0.3">
      <c r="C28" s="185"/>
      <c r="AB28" s="167" t="s">
        <v>140</v>
      </c>
      <c r="AE28" s="146"/>
      <c r="AF28" s="181"/>
      <c r="AG28" s="182"/>
    </row>
    <row r="29" spans="3:33" ht="15.75" customHeight="1" x14ac:dyDescent="0.3">
      <c r="C29" s="185"/>
      <c r="AB29" s="167" t="s">
        <v>141</v>
      </c>
      <c r="AE29" s="146"/>
      <c r="AF29" s="181"/>
      <c r="AG29" s="182"/>
    </row>
    <row r="30" spans="3:33" ht="15.75" customHeight="1" x14ac:dyDescent="0.25">
      <c r="AB30" s="167" t="s">
        <v>142</v>
      </c>
      <c r="AE30" s="146"/>
      <c r="AF30" s="181"/>
      <c r="AG30" s="182"/>
    </row>
    <row r="31" spans="3:33" x14ac:dyDescent="0.25">
      <c r="AB31" s="167" t="s">
        <v>143</v>
      </c>
      <c r="AE31" s="146"/>
      <c r="AF31" s="181"/>
      <c r="AG31" s="182"/>
    </row>
    <row r="32" spans="3:33" x14ac:dyDescent="0.25">
      <c r="F32" s="166"/>
      <c r="G32" s="166"/>
      <c r="H32" s="166"/>
      <c r="I32" s="166"/>
      <c r="J32" s="166"/>
      <c r="K32" s="166"/>
      <c r="AB32" s="167" t="s">
        <v>144</v>
      </c>
      <c r="AE32" s="146"/>
      <c r="AF32" s="181"/>
      <c r="AG32" s="182"/>
    </row>
    <row r="33" spans="3:33" x14ac:dyDescent="0.25">
      <c r="F33" s="166"/>
      <c r="G33" s="166"/>
      <c r="H33" s="166"/>
      <c r="I33" s="166"/>
      <c r="J33" s="166"/>
      <c r="K33" s="166"/>
      <c r="AB33" s="167" t="s">
        <v>145</v>
      </c>
      <c r="AE33" s="146"/>
      <c r="AF33" s="181"/>
      <c r="AG33" s="182"/>
    </row>
    <row r="34" spans="3:33" x14ac:dyDescent="0.25">
      <c r="F34" s="166"/>
      <c r="G34" s="166"/>
      <c r="H34" s="166"/>
      <c r="I34" s="166"/>
      <c r="J34" s="166"/>
      <c r="K34" s="166"/>
      <c r="AB34" s="167" t="s">
        <v>146</v>
      </c>
      <c r="AE34" s="146"/>
      <c r="AF34" s="181"/>
      <c r="AG34" s="182"/>
    </row>
    <row r="35" spans="3:33" ht="16.5" x14ac:dyDescent="0.3">
      <c r="D35" s="186"/>
      <c r="E35" s="146"/>
      <c r="F35" s="187"/>
      <c r="G35" s="187"/>
      <c r="H35" s="187"/>
      <c r="I35" s="187"/>
      <c r="J35" s="187"/>
      <c r="K35" s="187"/>
      <c r="AB35" s="167" t="s">
        <v>147</v>
      </c>
      <c r="AE35" s="146"/>
      <c r="AF35" s="181"/>
      <c r="AG35" s="182"/>
    </row>
    <row r="36" spans="3:33" ht="15.75" customHeight="1" x14ac:dyDescent="0.3">
      <c r="D36" s="185"/>
      <c r="E36" s="146"/>
      <c r="F36" s="188"/>
      <c r="G36" s="166"/>
      <c r="H36" s="166"/>
      <c r="I36" s="166"/>
      <c r="J36" s="166"/>
      <c r="K36" s="166"/>
      <c r="AB36" s="167" t="s">
        <v>148</v>
      </c>
      <c r="AE36" s="146"/>
      <c r="AF36" s="181"/>
      <c r="AG36" s="182"/>
    </row>
    <row r="37" spans="3:33" ht="15.75" customHeight="1" x14ac:dyDescent="0.3">
      <c r="D37" s="186"/>
      <c r="E37" s="146"/>
      <c r="F37" s="187"/>
      <c r="G37" s="187"/>
      <c r="H37" s="187"/>
      <c r="I37" s="187"/>
      <c r="J37" s="187"/>
      <c r="K37" s="187"/>
      <c r="AB37" s="167" t="s">
        <v>149</v>
      </c>
      <c r="AE37" s="146"/>
      <c r="AF37" s="181"/>
      <c r="AG37" s="182"/>
    </row>
    <row r="38" spans="3:33" ht="15.75" customHeight="1" x14ac:dyDescent="0.3">
      <c r="D38" s="185"/>
      <c r="E38" s="146"/>
      <c r="F38" s="188"/>
      <c r="G38" s="166"/>
      <c r="H38" s="166"/>
      <c r="I38" s="166"/>
      <c r="J38" s="166"/>
      <c r="K38" s="166"/>
      <c r="AB38" s="167" t="s">
        <v>150</v>
      </c>
      <c r="AE38" s="146"/>
      <c r="AF38" s="181"/>
      <c r="AG38" s="182"/>
    </row>
    <row r="39" spans="3:33" ht="15.75" customHeight="1" x14ac:dyDescent="0.3">
      <c r="D39" s="186"/>
      <c r="E39" s="186"/>
      <c r="F39" s="187"/>
      <c r="G39" s="187"/>
      <c r="H39" s="187"/>
      <c r="I39" s="187"/>
      <c r="J39" s="187"/>
      <c r="K39" s="187"/>
      <c r="AB39" s="167" t="s">
        <v>151</v>
      </c>
      <c r="AE39" s="146"/>
      <c r="AF39" s="181"/>
      <c r="AG39" s="182"/>
    </row>
    <row r="40" spans="3:33" ht="16.5" x14ac:dyDescent="0.3">
      <c r="D40" s="185"/>
      <c r="E40" s="146"/>
      <c r="F40" s="189"/>
      <c r="G40" s="166"/>
      <c r="H40" s="166"/>
      <c r="I40" s="166"/>
      <c r="J40" s="166"/>
      <c r="K40" s="166"/>
      <c r="AB40" s="167" t="s">
        <v>152</v>
      </c>
      <c r="AE40" s="146"/>
      <c r="AF40" s="181"/>
      <c r="AG40" s="182"/>
    </row>
    <row r="41" spans="3:33" ht="16.5" x14ac:dyDescent="0.3">
      <c r="D41" s="185"/>
      <c r="E41" s="185"/>
      <c r="F41" s="187"/>
      <c r="G41" s="187"/>
      <c r="H41" s="187"/>
      <c r="I41" s="187"/>
      <c r="J41" s="187"/>
      <c r="K41" s="187"/>
      <c r="AB41" s="167" t="s">
        <v>153</v>
      </c>
      <c r="AE41" s="146"/>
      <c r="AF41" s="181"/>
      <c r="AG41" s="182"/>
    </row>
    <row r="42" spans="3:33" ht="15" x14ac:dyDescent="0.25">
      <c r="E42" s="146"/>
      <c r="F42" s="166"/>
      <c r="G42" s="166"/>
      <c r="H42" s="166"/>
      <c r="I42" s="166"/>
      <c r="J42" s="166"/>
      <c r="K42" s="166"/>
      <c r="AB42" s="167" t="s">
        <v>154</v>
      </c>
      <c r="AE42" s="146"/>
      <c r="AF42" s="181"/>
      <c r="AG42" s="182"/>
    </row>
    <row r="43" spans="3:33" ht="16.5" x14ac:dyDescent="0.3">
      <c r="D43" s="185"/>
      <c r="E43" s="185"/>
      <c r="F43" s="190"/>
      <c r="G43" s="190"/>
      <c r="H43" s="191"/>
      <c r="I43" s="191"/>
      <c r="J43" s="191"/>
      <c r="K43" s="191"/>
      <c r="AB43" s="167" t="s">
        <v>155</v>
      </c>
      <c r="AE43" s="146"/>
      <c r="AF43" s="181"/>
      <c r="AG43" s="182"/>
    </row>
    <row r="44" spans="3:33" ht="15" x14ac:dyDescent="0.25">
      <c r="E44" s="146"/>
      <c r="F44" s="166"/>
      <c r="G44" s="166"/>
      <c r="H44" s="166"/>
      <c r="I44" s="166"/>
      <c r="J44" s="166"/>
      <c r="K44" s="166"/>
      <c r="AB44" s="167" t="s">
        <v>156</v>
      </c>
      <c r="AE44" s="146"/>
      <c r="AF44" s="181"/>
      <c r="AG44" s="182"/>
    </row>
    <row r="45" spans="3:33" ht="15" customHeight="1" x14ac:dyDescent="0.25">
      <c r="D45" s="192"/>
      <c r="E45" s="192"/>
      <c r="F45" s="193"/>
      <c r="G45" s="193"/>
      <c r="H45" s="193"/>
      <c r="I45" s="194"/>
      <c r="J45" s="194"/>
      <c r="K45" s="194"/>
      <c r="AB45" s="167" t="s">
        <v>157</v>
      </c>
      <c r="AE45" s="146"/>
      <c r="AF45" s="181"/>
      <c r="AG45" s="182"/>
    </row>
    <row r="46" spans="3:33" ht="15" customHeight="1" x14ac:dyDescent="0.25">
      <c r="C46" s="192"/>
      <c r="D46" s="192"/>
      <c r="E46" s="192"/>
      <c r="F46" s="193"/>
      <c r="G46" s="193"/>
      <c r="H46" s="193"/>
      <c r="I46" s="194"/>
      <c r="J46" s="194"/>
      <c r="K46" s="194"/>
      <c r="AB46" s="167" t="s">
        <v>158</v>
      </c>
      <c r="AE46" s="146"/>
      <c r="AF46" s="181"/>
      <c r="AG46" s="182"/>
    </row>
    <row r="47" spans="3:33" x14ac:dyDescent="0.25">
      <c r="F47" s="166"/>
      <c r="G47" s="166"/>
      <c r="H47" s="166"/>
      <c r="I47" s="166"/>
      <c r="J47" s="166"/>
      <c r="K47" s="166"/>
      <c r="AB47" s="167" t="s">
        <v>159</v>
      </c>
      <c r="AE47" s="146"/>
      <c r="AF47" s="181"/>
      <c r="AG47" s="182"/>
    </row>
    <row r="48" spans="3:33" x14ac:dyDescent="0.25">
      <c r="F48" s="166"/>
      <c r="G48" s="166"/>
      <c r="H48" s="166"/>
      <c r="I48" s="166"/>
      <c r="J48" s="166"/>
      <c r="K48" s="166"/>
      <c r="AB48" s="167" t="s">
        <v>160</v>
      </c>
      <c r="AE48" s="146"/>
      <c r="AF48" s="181"/>
      <c r="AG48" s="182"/>
    </row>
    <row r="49" spans="28:33" x14ac:dyDescent="0.25">
      <c r="AB49" s="167" t="s">
        <v>161</v>
      </c>
      <c r="AE49" s="146"/>
      <c r="AF49" s="181"/>
      <c r="AG49" s="182"/>
    </row>
    <row r="50" spans="28:33" x14ac:dyDescent="0.25">
      <c r="AB50" s="167" t="s">
        <v>162</v>
      </c>
      <c r="AE50" s="146"/>
      <c r="AF50" s="181"/>
      <c r="AG50" s="182"/>
    </row>
    <row r="51" spans="28:33" x14ac:dyDescent="0.25">
      <c r="AB51" s="167" t="s">
        <v>163</v>
      </c>
      <c r="AE51" s="146"/>
      <c r="AF51" s="181"/>
      <c r="AG51" s="182"/>
    </row>
    <row r="52" spans="28:33" x14ac:dyDescent="0.25">
      <c r="AB52" s="167" t="s">
        <v>164</v>
      </c>
      <c r="AE52" s="146"/>
      <c r="AF52" s="181"/>
      <c r="AG52" s="182"/>
    </row>
    <row r="53" spans="28:33" x14ac:dyDescent="0.25">
      <c r="AB53" s="167" t="s">
        <v>165</v>
      </c>
      <c r="AE53" s="146"/>
      <c r="AF53" s="181"/>
      <c r="AG53" s="182"/>
    </row>
    <row r="54" spans="28:33" x14ac:dyDescent="0.25">
      <c r="AB54" s="167" t="s">
        <v>166</v>
      </c>
      <c r="AE54" s="146"/>
      <c r="AF54" s="181"/>
      <c r="AG54" s="182"/>
    </row>
    <row r="55" spans="28:33" x14ac:dyDescent="0.25">
      <c r="AB55" s="167" t="s">
        <v>167</v>
      </c>
      <c r="AE55" s="146"/>
      <c r="AF55" s="181"/>
      <c r="AG55" s="182"/>
    </row>
    <row r="56" spans="28:33" x14ac:dyDescent="0.25">
      <c r="AB56" s="167" t="s">
        <v>168</v>
      </c>
      <c r="AE56" s="146"/>
      <c r="AF56" s="181"/>
      <c r="AG56" s="182"/>
    </row>
    <row r="57" spans="28:33" x14ac:dyDescent="0.25">
      <c r="AB57" s="167" t="s">
        <v>169</v>
      </c>
      <c r="AE57" s="146"/>
      <c r="AF57" s="181"/>
      <c r="AG57" s="182"/>
    </row>
    <row r="58" spans="28:33" x14ac:dyDescent="0.25">
      <c r="AB58" s="167" t="s">
        <v>170</v>
      </c>
      <c r="AE58" s="146"/>
      <c r="AF58" s="181"/>
      <c r="AG58" s="182"/>
    </row>
    <row r="59" spans="28:33" x14ac:dyDescent="0.25">
      <c r="AB59" s="167" t="s">
        <v>171</v>
      </c>
      <c r="AE59" s="146"/>
      <c r="AF59" s="181"/>
      <c r="AG59" s="182"/>
    </row>
    <row r="60" spans="28:33" x14ac:dyDescent="0.25">
      <c r="AB60" s="167" t="s">
        <v>172</v>
      </c>
      <c r="AE60" s="146"/>
      <c r="AF60" s="181"/>
      <c r="AG60" s="182"/>
    </row>
    <row r="61" spans="28:33" x14ac:dyDescent="0.25">
      <c r="AB61" s="167" t="s">
        <v>173</v>
      </c>
      <c r="AE61" s="146"/>
      <c r="AF61" s="181"/>
      <c r="AG61" s="182"/>
    </row>
    <row r="62" spans="28:33" x14ac:dyDescent="0.25">
      <c r="AB62" s="167" t="s">
        <v>174</v>
      </c>
      <c r="AE62" s="146"/>
      <c r="AF62" s="181"/>
      <c r="AG62" s="182"/>
    </row>
    <row r="63" spans="28:33" x14ac:dyDescent="0.25">
      <c r="AB63" s="167" t="s">
        <v>175</v>
      </c>
      <c r="AE63" s="146"/>
      <c r="AF63" s="181"/>
      <c r="AG63" s="182"/>
    </row>
    <row r="64" spans="28:33" x14ac:dyDescent="0.25">
      <c r="AB64" s="167" t="s">
        <v>176</v>
      </c>
      <c r="AE64" s="146"/>
      <c r="AF64" s="181"/>
      <c r="AG64" s="182"/>
    </row>
    <row r="65" spans="28:33" x14ac:dyDescent="0.25">
      <c r="AB65" s="167" t="s">
        <v>177</v>
      </c>
      <c r="AE65" s="146"/>
      <c r="AF65" s="181"/>
      <c r="AG65" s="182"/>
    </row>
    <row r="66" spans="28:33" x14ac:dyDescent="0.25">
      <c r="AB66" s="167" t="s">
        <v>178</v>
      </c>
      <c r="AE66" s="146"/>
      <c r="AF66" s="181"/>
      <c r="AG66" s="182"/>
    </row>
    <row r="67" spans="28:33" x14ac:dyDescent="0.25">
      <c r="AB67" s="167" t="s">
        <v>179</v>
      </c>
      <c r="AE67" s="146"/>
      <c r="AF67" s="181"/>
      <c r="AG67" s="182"/>
    </row>
    <row r="68" spans="28:33" x14ac:dyDescent="0.25">
      <c r="AB68" s="167" t="s">
        <v>180</v>
      </c>
      <c r="AE68" s="146"/>
      <c r="AF68" s="181"/>
      <c r="AG68" s="182"/>
    </row>
    <row r="69" spans="28:33" x14ac:dyDescent="0.25">
      <c r="AB69" s="167" t="s">
        <v>181</v>
      </c>
      <c r="AE69" s="146"/>
      <c r="AF69" s="181"/>
      <c r="AG69" s="182"/>
    </row>
    <row r="70" spans="28:33" x14ac:dyDescent="0.25">
      <c r="AB70" s="167" t="s">
        <v>182</v>
      </c>
      <c r="AE70" s="146"/>
      <c r="AF70" s="181"/>
      <c r="AG70" s="182"/>
    </row>
    <row r="71" spans="28:33" x14ac:dyDescent="0.25">
      <c r="AB71" s="167" t="s">
        <v>183</v>
      </c>
      <c r="AE71" s="146"/>
      <c r="AF71" s="181"/>
      <c r="AG71" s="182"/>
    </row>
    <row r="72" spans="28:33" x14ac:dyDescent="0.25">
      <c r="AB72" s="167" t="s">
        <v>184</v>
      </c>
      <c r="AC72" s="146"/>
      <c r="AE72" s="146"/>
      <c r="AF72" s="181"/>
      <c r="AG72" s="182"/>
    </row>
    <row r="73" spans="28:33" x14ac:dyDescent="0.25">
      <c r="AC73" s="146"/>
      <c r="AE73" s="146"/>
      <c r="AF73" s="181"/>
      <c r="AG73" s="182"/>
    </row>
    <row r="74" spans="28:33" x14ac:dyDescent="0.25">
      <c r="AC74" s="146"/>
      <c r="AE74" s="146"/>
      <c r="AF74" s="181"/>
      <c r="AG74" s="182"/>
    </row>
    <row r="75" spans="28:33" x14ac:dyDescent="0.25">
      <c r="AC75" s="146"/>
      <c r="AE75" s="146"/>
      <c r="AF75" s="181"/>
      <c r="AG75" s="182"/>
    </row>
    <row r="76" spans="28:33" x14ac:dyDescent="0.25">
      <c r="AC76" s="146"/>
      <c r="AE76" s="146"/>
      <c r="AF76" s="181"/>
      <c r="AG76" s="182"/>
    </row>
    <row r="77" spans="28:33" x14ac:dyDescent="0.25">
      <c r="AC77" s="146"/>
      <c r="AE77" s="146"/>
      <c r="AF77" s="181"/>
      <c r="AG77" s="182"/>
    </row>
    <row r="78" spans="28:33" x14ac:dyDescent="0.25">
      <c r="AC78" s="146"/>
      <c r="AE78" s="146"/>
      <c r="AF78" s="181"/>
      <c r="AG78" s="182"/>
    </row>
    <row r="79" spans="28:33" x14ac:dyDescent="0.25">
      <c r="AC79" s="146"/>
      <c r="AE79" s="146"/>
      <c r="AF79" s="181"/>
      <c r="AG79" s="182"/>
    </row>
    <row r="80" spans="28:33" x14ac:dyDescent="0.25">
      <c r="AC80" s="146"/>
      <c r="AE80" s="146"/>
      <c r="AF80" s="181"/>
      <c r="AG80" s="182"/>
    </row>
    <row r="81" spans="29:33" x14ac:dyDescent="0.25">
      <c r="AC81" s="146"/>
      <c r="AE81" s="146"/>
      <c r="AF81" s="181"/>
      <c r="AG81" s="182"/>
    </row>
    <row r="82" spans="29:33" x14ac:dyDescent="0.25">
      <c r="AC82" s="146"/>
      <c r="AE82" s="146"/>
      <c r="AF82" s="181"/>
      <c r="AG82" s="182"/>
    </row>
    <row r="83" spans="29:33" x14ac:dyDescent="0.25">
      <c r="AC83" s="146"/>
      <c r="AE83" s="146"/>
      <c r="AF83" s="181"/>
      <c r="AG83" s="182"/>
    </row>
    <row r="84" spans="29:33" x14ac:dyDescent="0.25">
      <c r="AC84" s="146"/>
      <c r="AE84" s="146"/>
      <c r="AF84" s="181"/>
      <c r="AG84" s="182"/>
    </row>
    <row r="85" spans="29:33" x14ac:dyDescent="0.25">
      <c r="AC85" s="146"/>
      <c r="AE85" s="146"/>
      <c r="AF85" s="182"/>
      <c r="AG85" s="182"/>
    </row>
    <row r="86" spans="29:33" x14ac:dyDescent="0.25">
      <c r="AC86" s="146"/>
      <c r="AE86" s="146"/>
      <c r="AF86" s="182"/>
      <c r="AG86" s="182"/>
    </row>
    <row r="87" spans="29:33" x14ac:dyDescent="0.25">
      <c r="AC87" s="146"/>
      <c r="AE87" s="146"/>
      <c r="AF87" s="182"/>
      <c r="AG87" s="182"/>
    </row>
    <row r="88" spans="29:33" x14ac:dyDescent="0.25">
      <c r="AC88" s="195"/>
      <c r="AF88" s="182"/>
      <c r="AG88" s="182"/>
    </row>
    <row r="89" spans="29:33" x14ac:dyDescent="0.25">
      <c r="AC89" s="195"/>
      <c r="AF89" s="182"/>
      <c r="AG89" s="182"/>
    </row>
    <row r="90" spans="29:33" x14ac:dyDescent="0.25">
      <c r="AC90" s="195"/>
      <c r="AF90" s="182"/>
      <c r="AG90" s="182"/>
    </row>
    <row r="91" spans="29:33" x14ac:dyDescent="0.25">
      <c r="AC91" s="195"/>
      <c r="AF91" s="182"/>
      <c r="AG91" s="182"/>
    </row>
    <row r="92" spans="29:33" x14ac:dyDescent="0.25">
      <c r="AC92" s="195"/>
      <c r="AF92" s="182"/>
      <c r="AG92" s="182"/>
    </row>
    <row r="93" spans="29:33" x14ac:dyDescent="0.25">
      <c r="AC93" s="195"/>
      <c r="AF93" s="182"/>
      <c r="AG93" s="182"/>
    </row>
    <row r="94" spans="29:33" x14ac:dyDescent="0.25">
      <c r="AC94" s="195"/>
      <c r="AF94" s="182"/>
      <c r="AG94" s="182"/>
    </row>
    <row r="95" spans="29:33" x14ac:dyDescent="0.25">
      <c r="AC95" s="195"/>
      <c r="AF95" s="182"/>
      <c r="AG95" s="182"/>
    </row>
    <row r="96" spans="29:33" x14ac:dyDescent="0.25">
      <c r="AC96" s="195"/>
      <c r="AF96" s="182"/>
      <c r="AG96" s="182"/>
    </row>
    <row r="97" spans="29:33" x14ac:dyDescent="0.25">
      <c r="AC97" s="195"/>
      <c r="AF97" s="182"/>
      <c r="AG97" s="182"/>
    </row>
    <row r="98" spans="29:33" x14ac:dyDescent="0.25">
      <c r="AC98" s="195"/>
      <c r="AF98" s="182"/>
      <c r="AG98" s="182"/>
    </row>
    <row r="99" spans="29:33" x14ac:dyDescent="0.25">
      <c r="AC99" s="195"/>
      <c r="AF99" s="182"/>
      <c r="AG99" s="182"/>
    </row>
    <row r="100" spans="29:33" x14ac:dyDescent="0.25">
      <c r="AC100" s="195"/>
      <c r="AF100" s="182"/>
      <c r="AG100" s="182"/>
    </row>
    <row r="101" spans="29:33" x14ac:dyDescent="0.25">
      <c r="AC101" s="195"/>
      <c r="AF101" s="182"/>
      <c r="AG101" s="182"/>
    </row>
    <row r="102" spans="29:33" x14ac:dyDescent="0.25">
      <c r="AC102" s="195"/>
      <c r="AF102" s="182"/>
      <c r="AG102" s="182"/>
    </row>
    <row r="103" spans="29:33" x14ac:dyDescent="0.25">
      <c r="AC103" s="195"/>
      <c r="AF103" s="182"/>
      <c r="AG103" s="182"/>
    </row>
    <row r="104" spans="29:33" x14ac:dyDescent="0.25">
      <c r="AC104" s="195"/>
      <c r="AF104" s="182"/>
      <c r="AG104" s="182"/>
    </row>
    <row r="105" spans="29:33" hidden="1" x14ac:dyDescent="0.25">
      <c r="AC105" s="195"/>
      <c r="AF105" s="182"/>
      <c r="AG105" s="182"/>
    </row>
    <row r="106" spans="29:33" hidden="1" x14ac:dyDescent="0.25">
      <c r="AC106" s="195"/>
      <c r="AF106" s="182"/>
      <c r="AG106" s="182"/>
    </row>
    <row r="107" spans="29:33" x14ac:dyDescent="0.25"/>
    <row r="108" spans="29:33" x14ac:dyDescent="0.25"/>
  </sheetData>
  <mergeCells count="7">
    <mergeCell ref="D23:E23"/>
    <mergeCell ref="C2:J2"/>
    <mergeCell ref="C3:J3"/>
    <mergeCell ref="C4:J4"/>
    <mergeCell ref="C5:J5"/>
    <mergeCell ref="D15:E15"/>
    <mergeCell ref="D19:E19"/>
  </mergeCells>
  <dataValidations count="4">
    <dataValidation type="list" allowBlank="1" showInputMessage="1" showErrorMessage="1" sqref="D27" xr:uid="{379A6C1E-3386-4C51-9457-EE67BBEBFFAA}">
      <formula1>"2026,2027,2028"</formula1>
    </dataValidation>
    <dataValidation type="list" allowBlank="1" showInputMessage="1" showErrorMessage="1" sqref="I45:K46" xr:uid="{72BB161A-4EC7-47BD-90D2-540F1486E76F}">
      <formula1>"Excel 2000, Excel 2003, Excel 2007, Excel 2010"</formula1>
    </dataValidation>
    <dataValidation allowBlank="1" showInputMessage="1" showErrorMessage="1" promptTitle="Inputting Date" prompt="Please Use the following format:_x000a__x000a_E.g:  May 1, 2012" sqref="H43:K43" xr:uid="{8C2F61B2-C735-4B30-A76E-C4E1DD0330F0}"/>
    <dataValidation type="list" allowBlank="1" showInputMessage="1" showErrorMessage="1" sqref="D25" xr:uid="{C526A2D0-0FA8-4700-A401-F82C75D45BA2}">
      <formula1>"2009,2010,2011,2012, 2013, 2014, 2015, 2016, 2017,2018,2019,2020,2021,2022,2023"</formula1>
    </dataValidation>
  </dataValidations>
  <hyperlinks>
    <hyperlink ref="D23" r:id="rId1" xr:uid="{ED6DDB92-CFDF-4CDC-8E90-F0DB1C475DC4}"/>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154FF-58EF-4170-B217-BFA6D90E3919}">
  <dimension ref="A13:Q112"/>
  <sheetViews>
    <sheetView topLeftCell="B3" workbookViewId="0">
      <selection activeCell="P111" sqref="P111"/>
    </sheetView>
  </sheetViews>
  <sheetFormatPr defaultColWidth="9.28515625" defaultRowHeight="12.75" x14ac:dyDescent="0.2"/>
  <cols>
    <col min="1" max="1" width="11.7109375" style="31" hidden="1" customWidth="1"/>
    <col min="2" max="2" width="30.28515625" style="31" customWidth="1"/>
    <col min="3" max="3" width="3.7109375" style="31" customWidth="1"/>
    <col min="4" max="4" width="13.28515625" style="31" customWidth="1"/>
    <col min="5" max="5" width="15.28515625" style="31" customWidth="1"/>
    <col min="6" max="6" width="13.28515625" style="31" customWidth="1"/>
    <col min="7" max="7" width="2.7109375" style="31" customWidth="1"/>
    <col min="8" max="8" width="13.28515625" style="31" customWidth="1"/>
    <col min="9" max="9" width="9.42578125" style="31" bestFit="1" customWidth="1"/>
    <col min="10" max="10" width="13.28515625" style="31" customWidth="1"/>
    <col min="11" max="11" width="3.28515625" style="31" customWidth="1"/>
    <col min="12" max="12" width="13.28515625" style="31" customWidth="1"/>
    <col min="13" max="13" width="9.42578125" style="31" bestFit="1" customWidth="1"/>
    <col min="14" max="14" width="13.28515625" style="31" customWidth="1"/>
    <col min="15" max="15" width="3.7109375" style="31" customWidth="1"/>
    <col min="16" max="16" width="17.5703125" style="31" customWidth="1"/>
    <col min="17" max="16384" width="9.28515625" style="31"/>
  </cols>
  <sheetData>
    <row r="13" spans="2:17" ht="68.25" customHeight="1" x14ac:dyDescent="0.25">
      <c r="B13" s="269" t="s">
        <v>60</v>
      </c>
      <c r="C13" s="270"/>
      <c r="D13" s="270"/>
      <c r="E13" s="270"/>
      <c r="F13" s="270"/>
      <c r="G13" s="270"/>
      <c r="H13" s="270"/>
      <c r="I13" s="270"/>
      <c r="J13" s="270"/>
      <c r="K13" s="270"/>
      <c r="L13" s="270"/>
      <c r="M13" s="270"/>
      <c r="N13" s="270"/>
      <c r="O13" s="270"/>
      <c r="P13" s="270"/>
    </row>
    <row r="16" spans="2:17" ht="15.75" x14ac:dyDescent="0.25">
      <c r="B16" s="101" t="s">
        <v>61</v>
      </c>
      <c r="C16" s="102"/>
      <c r="D16" s="267" t="s">
        <v>2</v>
      </c>
      <c r="E16" s="267"/>
      <c r="F16" s="267"/>
      <c r="G16" s="102"/>
      <c r="H16" s="267" t="s">
        <v>3</v>
      </c>
      <c r="I16" s="267"/>
      <c r="J16" s="267"/>
      <c r="K16" s="102"/>
      <c r="L16" s="267" t="s">
        <v>4</v>
      </c>
      <c r="M16" s="267"/>
      <c r="N16" s="267"/>
      <c r="O16" s="102"/>
      <c r="P16" s="101" t="s">
        <v>62</v>
      </c>
      <c r="Q16" s="103"/>
    </row>
    <row r="17" spans="2:17" ht="15" x14ac:dyDescent="0.3">
      <c r="B17" s="104" t="s">
        <v>63</v>
      </c>
      <c r="C17" s="105"/>
      <c r="D17" s="106" t="s">
        <v>64</v>
      </c>
      <c r="E17" s="106" t="s">
        <v>23</v>
      </c>
      <c r="F17" s="106" t="s">
        <v>65</v>
      </c>
      <c r="G17" s="105"/>
      <c r="H17" s="106" t="s">
        <v>64</v>
      </c>
      <c r="I17" s="106" t="s">
        <v>23</v>
      </c>
      <c r="J17" s="106" t="s">
        <v>65</v>
      </c>
      <c r="K17" s="105"/>
      <c r="L17" s="106" t="s">
        <v>64</v>
      </c>
      <c r="M17" s="106" t="s">
        <v>23</v>
      </c>
      <c r="N17" s="106" t="s">
        <v>65</v>
      </c>
      <c r="O17" s="105"/>
      <c r="P17" s="106" t="s">
        <v>65</v>
      </c>
      <c r="Q17" s="56"/>
    </row>
    <row r="18" spans="2:17" x14ac:dyDescent="0.2">
      <c r="C18" s="56"/>
      <c r="D18" s="56"/>
      <c r="E18" s="56"/>
      <c r="F18" s="56"/>
      <c r="G18" s="56"/>
      <c r="H18" s="56"/>
      <c r="I18" s="56"/>
      <c r="J18" s="56"/>
      <c r="K18" s="56"/>
      <c r="L18" s="56"/>
      <c r="M18" s="56"/>
      <c r="N18" s="56"/>
      <c r="O18" s="56"/>
      <c r="P18" s="56"/>
      <c r="Q18" s="56"/>
    </row>
    <row r="19" spans="2:17" x14ac:dyDescent="0.2">
      <c r="B19" s="57" t="s">
        <v>66</v>
      </c>
      <c r="C19" s="56"/>
      <c r="D19" s="107">
        <v>322519.17178770527</v>
      </c>
      <c r="E19" s="108">
        <f>'4. UTRs &amp; Sub-Transmission'!L22</f>
        <v>6.4067368248038639</v>
      </c>
      <c r="F19" s="109">
        <f>D19*E19</f>
        <v>2066295.4545975348</v>
      </c>
      <c r="G19" s="56"/>
      <c r="H19" s="107">
        <v>166885.45529512444</v>
      </c>
      <c r="I19" s="108">
        <f>'4. UTRs &amp; Sub-Transmission'!L24</f>
        <v>1.026711930254592</v>
      </c>
      <c r="J19" s="109">
        <f>H19*I19</f>
        <v>171343.28793747362</v>
      </c>
      <c r="K19" s="56"/>
      <c r="L19" s="107">
        <v>343627.68474942876</v>
      </c>
      <c r="M19" s="108">
        <f>'4. UTRs &amp; Sub-Transmission'!L26</f>
        <v>3.4729310443507568</v>
      </c>
      <c r="N19" s="109">
        <f>L19*M19</f>
        <v>1193395.2540646663</v>
      </c>
      <c r="O19" s="56"/>
      <c r="P19" s="110">
        <f t="shared" ref="P19:P30" si="0">J19+N19</f>
        <v>1364738.5420021401</v>
      </c>
      <c r="Q19" s="56"/>
    </row>
    <row r="20" spans="2:17" x14ac:dyDescent="0.2">
      <c r="B20" s="57" t="s">
        <v>67</v>
      </c>
      <c r="C20" s="56"/>
      <c r="D20" s="107">
        <v>316456.19952217105</v>
      </c>
      <c r="E20" s="108">
        <f>E19</f>
        <v>6.4067368248038639</v>
      </c>
      <c r="F20" s="109">
        <f t="shared" ref="F20:F30" si="1">D20*E20</f>
        <v>2027451.5869161722</v>
      </c>
      <c r="G20" s="56"/>
      <c r="H20" s="107">
        <v>175277.20286858283</v>
      </c>
      <c r="I20" s="108">
        <f>I19</f>
        <v>1.026711930254592</v>
      </c>
      <c r="J20" s="109">
        <f t="shared" ref="J20:J30" si="2">H20*I20</f>
        <v>179959.19528682838</v>
      </c>
      <c r="K20" s="56"/>
      <c r="L20" s="107">
        <v>336223.07857277349</v>
      </c>
      <c r="M20" s="108">
        <f>M19</f>
        <v>3.4729310443507568</v>
      </c>
      <c r="N20" s="109">
        <f t="shared" ref="N20:N30" si="3">L20*M20</f>
        <v>1167679.5674025689</v>
      </c>
      <c r="O20" s="56"/>
      <c r="P20" s="110">
        <f t="shared" si="0"/>
        <v>1347638.7626893972</v>
      </c>
      <c r="Q20" s="56"/>
    </row>
    <row r="21" spans="2:17" x14ac:dyDescent="0.2">
      <c r="B21" s="57" t="s">
        <v>68</v>
      </c>
      <c r="C21" s="56"/>
      <c r="D21" s="107">
        <v>311299.84970476007</v>
      </c>
      <c r="E21" s="108">
        <f t="shared" ref="E21:E30" si="4">E20</f>
        <v>6.4067368248038639</v>
      </c>
      <c r="F21" s="109">
        <f t="shared" si="1"/>
        <v>1994416.2106593945</v>
      </c>
      <c r="G21" s="56"/>
      <c r="H21" s="107">
        <v>167608.03443197923</v>
      </c>
      <c r="I21" s="108">
        <f t="shared" ref="I21:I30" si="5">I20</f>
        <v>1.026711930254592</v>
      </c>
      <c r="J21" s="109">
        <f t="shared" si="2"/>
        <v>172085.16855783551</v>
      </c>
      <c r="K21" s="56"/>
      <c r="L21" s="107">
        <v>320168.43676650472</v>
      </c>
      <c r="M21" s="108">
        <f t="shared" ref="M21:M30" si="6">M20</f>
        <v>3.4729310443507568</v>
      </c>
      <c r="N21" s="109">
        <f t="shared" si="3"/>
        <v>1111922.9034676466</v>
      </c>
      <c r="O21" s="56"/>
      <c r="P21" s="110">
        <f t="shared" si="0"/>
        <v>1284008.0720254821</v>
      </c>
      <c r="Q21" s="56"/>
    </row>
    <row r="22" spans="2:17" x14ac:dyDescent="0.2">
      <c r="B22" s="57" t="s">
        <v>69</v>
      </c>
      <c r="C22" s="56"/>
      <c r="D22" s="107">
        <v>302910.19353256607</v>
      </c>
      <c r="E22" s="108">
        <f t="shared" si="4"/>
        <v>6.4067368248038639</v>
      </c>
      <c r="F22" s="109">
        <f t="shared" si="1"/>
        <v>1940665.8915135562</v>
      </c>
      <c r="G22" s="56"/>
      <c r="H22" s="107">
        <v>160178.33144015094</v>
      </c>
      <c r="I22" s="108">
        <f t="shared" si="5"/>
        <v>1.026711930254592</v>
      </c>
      <c r="J22" s="109">
        <f t="shared" si="2"/>
        <v>164457.00385787716</v>
      </c>
      <c r="K22" s="56"/>
      <c r="L22" s="107">
        <v>305289.16247083619</v>
      </c>
      <c r="M22" s="108">
        <f t="shared" si="6"/>
        <v>3.4729310443507568</v>
      </c>
      <c r="N22" s="109">
        <f t="shared" si="3"/>
        <v>1060248.2098488091</v>
      </c>
      <c r="O22" s="56"/>
      <c r="P22" s="110">
        <f t="shared" si="0"/>
        <v>1224705.2137066862</v>
      </c>
      <c r="Q22" s="56"/>
    </row>
    <row r="23" spans="2:17" x14ac:dyDescent="0.2">
      <c r="B23" s="57" t="s">
        <v>70</v>
      </c>
      <c r="C23" s="56"/>
      <c r="D23" s="107">
        <v>371990.22299676988</v>
      </c>
      <c r="E23" s="108">
        <f t="shared" si="4"/>
        <v>6.4067368248038639</v>
      </c>
      <c r="F23" s="109">
        <f t="shared" si="1"/>
        <v>2383243.4601404066</v>
      </c>
      <c r="G23" s="56"/>
      <c r="H23" s="107">
        <v>213561.34871430066</v>
      </c>
      <c r="I23" s="108">
        <f t="shared" si="5"/>
        <v>1.026711930254592</v>
      </c>
      <c r="J23" s="109">
        <f t="shared" si="2"/>
        <v>219265.98456623364</v>
      </c>
      <c r="K23" s="56"/>
      <c r="L23" s="107">
        <v>383533.71227569913</v>
      </c>
      <c r="M23" s="108">
        <f t="shared" si="6"/>
        <v>3.4729310443507568</v>
      </c>
      <c r="N23" s="109">
        <f t="shared" si="3"/>
        <v>1331986.1359173665</v>
      </c>
      <c r="O23" s="56"/>
      <c r="P23" s="110">
        <f t="shared" si="0"/>
        <v>1551252.1204836001</v>
      </c>
      <c r="Q23" s="56"/>
    </row>
    <row r="24" spans="2:17" x14ac:dyDescent="0.2">
      <c r="B24" s="57" t="s">
        <v>71</v>
      </c>
      <c r="C24" s="56"/>
      <c r="D24" s="107">
        <v>423419.87148995756</v>
      </c>
      <c r="E24" s="108">
        <f t="shared" si="4"/>
        <v>6.4067368248038639</v>
      </c>
      <c r="F24" s="109">
        <f t="shared" si="1"/>
        <v>2712739.6830284307</v>
      </c>
      <c r="G24" s="56"/>
      <c r="H24" s="107">
        <v>266395.3731565419</v>
      </c>
      <c r="I24" s="108">
        <f t="shared" si="5"/>
        <v>1.026711930254592</v>
      </c>
      <c r="J24" s="109">
        <f t="shared" si="2"/>
        <v>273511.30778444547</v>
      </c>
      <c r="K24" s="56"/>
      <c r="L24" s="107">
        <v>457883.02722559229</v>
      </c>
      <c r="M24" s="108">
        <f t="shared" si="6"/>
        <v>3.4729310443507568</v>
      </c>
      <c r="N24" s="109">
        <f t="shared" si="3"/>
        <v>1590196.1799330623</v>
      </c>
      <c r="O24" s="56"/>
      <c r="P24" s="110">
        <f t="shared" si="0"/>
        <v>1863707.4877175079</v>
      </c>
      <c r="Q24" s="56"/>
    </row>
    <row r="25" spans="2:17" x14ac:dyDescent="0.2">
      <c r="B25" s="57" t="s">
        <v>72</v>
      </c>
      <c r="C25" s="56"/>
      <c r="D25" s="107">
        <v>463231.78595932934</v>
      </c>
      <c r="E25" s="108">
        <f t="shared" si="4"/>
        <v>6.4067368248038639</v>
      </c>
      <c r="F25" s="109">
        <f t="shared" si="1"/>
        <v>2967804.141525297</v>
      </c>
      <c r="G25" s="56"/>
      <c r="H25" s="107">
        <v>278999.20287652873</v>
      </c>
      <c r="I25" s="108">
        <f t="shared" si="5"/>
        <v>1.026711930254592</v>
      </c>
      <c r="J25" s="109">
        <f t="shared" si="2"/>
        <v>286451.81012485333</v>
      </c>
      <c r="K25" s="56"/>
      <c r="L25" s="107">
        <v>475056.56870832219</v>
      </c>
      <c r="M25" s="108">
        <f t="shared" si="6"/>
        <v>3.4729310443507568</v>
      </c>
      <c r="N25" s="109">
        <f t="shared" si="3"/>
        <v>1649838.7052898805</v>
      </c>
      <c r="O25" s="56"/>
      <c r="P25" s="110">
        <f t="shared" si="0"/>
        <v>1936290.5154147339</v>
      </c>
      <c r="Q25" s="56"/>
    </row>
    <row r="26" spans="2:17" x14ac:dyDescent="0.2">
      <c r="B26" s="57" t="s">
        <v>73</v>
      </c>
      <c r="C26" s="56"/>
      <c r="D26" s="107">
        <v>450432.41022111988</v>
      </c>
      <c r="E26" s="108">
        <f t="shared" si="4"/>
        <v>6.4067368248038639</v>
      </c>
      <c r="F26" s="109">
        <f t="shared" si="1"/>
        <v>2885801.9096488091</v>
      </c>
      <c r="G26" s="56"/>
      <c r="H26" s="107">
        <v>270546.80466640228</v>
      </c>
      <c r="I26" s="108">
        <f t="shared" si="5"/>
        <v>1.026711930254592</v>
      </c>
      <c r="J26" s="109">
        <f t="shared" si="2"/>
        <v>277773.63204325392</v>
      </c>
      <c r="K26" s="56"/>
      <c r="L26" s="107">
        <v>467563.07797792926</v>
      </c>
      <c r="M26" s="108">
        <f t="shared" si="6"/>
        <v>3.4729310443507568</v>
      </c>
      <c r="N26" s="109">
        <f t="shared" si="3"/>
        <v>1623814.3287017443</v>
      </c>
      <c r="O26" s="56"/>
      <c r="P26" s="110">
        <f t="shared" si="0"/>
        <v>1901587.9607449982</v>
      </c>
      <c r="Q26" s="56"/>
    </row>
    <row r="27" spans="2:17" x14ac:dyDescent="0.2">
      <c r="B27" s="57" t="s">
        <v>74</v>
      </c>
      <c r="C27" s="56"/>
      <c r="D27" s="107">
        <v>391580.37864052935</v>
      </c>
      <c r="E27" s="108">
        <f t="shared" si="4"/>
        <v>6.4067368248038639</v>
      </c>
      <c r="F27" s="109">
        <f t="shared" si="1"/>
        <v>2508752.4317069198</v>
      </c>
      <c r="G27" s="56"/>
      <c r="H27" s="107">
        <v>220548.72033870552</v>
      </c>
      <c r="I27" s="108">
        <f t="shared" si="5"/>
        <v>1.026711930254592</v>
      </c>
      <c r="J27" s="109">
        <f t="shared" si="2"/>
        <v>226440.00237413251</v>
      </c>
      <c r="K27" s="56"/>
      <c r="L27" s="107">
        <v>392623.98787147162</v>
      </c>
      <c r="M27" s="108">
        <f t="shared" si="6"/>
        <v>3.4729310443507568</v>
      </c>
      <c r="N27" s="109">
        <f t="shared" si="3"/>
        <v>1363556.0362356289</v>
      </c>
      <c r="O27" s="56"/>
      <c r="P27" s="110">
        <f t="shared" si="0"/>
        <v>1589996.0386097613</v>
      </c>
      <c r="Q27" s="56"/>
    </row>
    <row r="28" spans="2:17" x14ac:dyDescent="0.2">
      <c r="B28" s="57" t="s">
        <v>75</v>
      </c>
      <c r="C28" s="56"/>
      <c r="D28" s="107">
        <v>320712.20109525218</v>
      </c>
      <c r="E28" s="108">
        <f t="shared" si="4"/>
        <v>6.4067368248038639</v>
      </c>
      <c r="F28" s="109">
        <f t="shared" si="1"/>
        <v>2054718.6689208543</v>
      </c>
      <c r="G28" s="56"/>
      <c r="H28" s="107">
        <v>230735.93589766277</v>
      </c>
      <c r="I28" s="108">
        <f t="shared" si="5"/>
        <v>1.026711930254592</v>
      </c>
      <c r="J28" s="109">
        <f t="shared" si="2"/>
        <v>236899.33812458915</v>
      </c>
      <c r="K28" s="56"/>
      <c r="L28" s="107">
        <v>336056.81217225263</v>
      </c>
      <c r="M28" s="108">
        <f t="shared" si="6"/>
        <v>3.4729310443507568</v>
      </c>
      <c r="N28" s="109">
        <f t="shared" si="3"/>
        <v>1167102.1356585675</v>
      </c>
      <c r="O28" s="56"/>
      <c r="P28" s="110">
        <f t="shared" si="0"/>
        <v>1404001.4737831566</v>
      </c>
      <c r="Q28" s="56"/>
    </row>
    <row r="29" spans="2:17" x14ac:dyDescent="0.2">
      <c r="B29" s="57" t="s">
        <v>76</v>
      </c>
      <c r="C29" s="56"/>
      <c r="D29" s="107">
        <v>308702.32933435874</v>
      </c>
      <c r="E29" s="108">
        <f t="shared" si="4"/>
        <v>6.4067368248038639</v>
      </c>
      <c r="F29" s="109">
        <f t="shared" si="1"/>
        <v>1977774.5812491663</v>
      </c>
      <c r="G29" s="56"/>
      <c r="H29" s="107">
        <v>175394.32133938998</v>
      </c>
      <c r="I29" s="108">
        <f t="shared" si="5"/>
        <v>1.026711930254592</v>
      </c>
      <c r="J29" s="109">
        <f t="shared" si="2"/>
        <v>180079.44221805927</v>
      </c>
      <c r="K29" s="56"/>
      <c r="L29" s="107">
        <v>289596.33308331092</v>
      </c>
      <c r="M29" s="108">
        <f t="shared" si="6"/>
        <v>3.4729310443507568</v>
      </c>
      <c r="N29" s="109">
        <f t="shared" si="3"/>
        <v>1005748.0954951727</v>
      </c>
      <c r="O29" s="56"/>
      <c r="P29" s="110">
        <f t="shared" si="0"/>
        <v>1185827.537713232</v>
      </c>
      <c r="Q29" s="56"/>
    </row>
    <row r="30" spans="2:17" x14ac:dyDescent="0.2">
      <c r="B30" s="57" t="s">
        <v>77</v>
      </c>
      <c r="C30" s="56"/>
      <c r="D30" s="107">
        <v>336199.02745823271</v>
      </c>
      <c r="E30" s="108">
        <f t="shared" si="4"/>
        <v>6.4067368248038639</v>
      </c>
      <c r="F30" s="109">
        <f t="shared" si="1"/>
        <v>2153938.6896799048</v>
      </c>
      <c r="G30" s="56"/>
      <c r="H30" s="107">
        <v>216233.11382958866</v>
      </c>
      <c r="I30" s="108">
        <f t="shared" si="5"/>
        <v>1.026711930254592</v>
      </c>
      <c r="J30" s="109">
        <f t="shared" si="2"/>
        <v>222009.11768493787</v>
      </c>
      <c r="K30" s="56"/>
      <c r="L30" s="107">
        <v>335094.76759062248</v>
      </c>
      <c r="M30" s="108">
        <f t="shared" si="6"/>
        <v>3.4729310443507568</v>
      </c>
      <c r="N30" s="109">
        <f t="shared" si="3"/>
        <v>1163761.0211649747</v>
      </c>
      <c r="O30" s="56"/>
      <c r="P30" s="110">
        <f t="shared" si="0"/>
        <v>1385770.1388499124</v>
      </c>
      <c r="Q30" s="56"/>
    </row>
    <row r="31" spans="2:17" x14ac:dyDescent="0.2">
      <c r="B31" s="56"/>
      <c r="C31" s="56"/>
      <c r="D31" s="56"/>
      <c r="E31" s="56"/>
      <c r="F31" s="56"/>
      <c r="G31" s="56"/>
      <c r="H31" s="56"/>
      <c r="I31" s="56"/>
      <c r="J31" s="56"/>
      <c r="K31" s="56"/>
      <c r="L31" s="56"/>
      <c r="M31" s="56"/>
      <c r="N31" s="56"/>
      <c r="O31" s="56"/>
      <c r="P31" s="56"/>
      <c r="Q31" s="56"/>
    </row>
    <row r="32" spans="2:17" ht="13.5" thickBot="1" x14ac:dyDescent="0.25">
      <c r="B32" s="104" t="s">
        <v>5</v>
      </c>
      <c r="C32" s="56"/>
      <c r="D32" s="111">
        <f>SUM(D19:D30)</f>
        <v>4319453.6417427519</v>
      </c>
      <c r="E32" s="112">
        <f>IF(D32&lt;&gt;0,F32/D32,0)</f>
        <v>6.4067368248038647</v>
      </c>
      <c r="F32" s="113">
        <f>SUM(F19:F30)</f>
        <v>27673602.709586449</v>
      </c>
      <c r="G32" s="56"/>
      <c r="H32" s="111">
        <f>SUM(H19:H30)</f>
        <v>2542363.8448549574</v>
      </c>
      <c r="I32" s="112">
        <f>IF(H32&lt;&gt;0,J32/H32,0)</f>
        <v>1.0267119302545922</v>
      </c>
      <c r="J32" s="113">
        <f>SUM(J19:J30)</f>
        <v>2610275.2905605198</v>
      </c>
      <c r="K32" s="56"/>
      <c r="L32" s="111">
        <f>SUM(L19:L30)</f>
        <v>4442716.6494647441</v>
      </c>
      <c r="M32" s="112">
        <f>IF(L32&lt;&gt;0,N32/L32,0)</f>
        <v>3.4729310443507559</v>
      </c>
      <c r="N32" s="113">
        <f>SUM(N19:N30)</f>
        <v>15429248.573180085</v>
      </c>
      <c r="O32" s="56"/>
      <c r="P32" s="113">
        <f>SUM(P19:P30)</f>
        <v>18039523.863740604</v>
      </c>
      <c r="Q32" s="56"/>
    </row>
    <row r="33" spans="2:17" x14ac:dyDescent="0.2">
      <c r="B33" s="56"/>
      <c r="C33" s="56"/>
      <c r="D33" s="56"/>
      <c r="E33" s="56"/>
      <c r="F33" s="56"/>
      <c r="G33" s="56"/>
      <c r="H33" s="56"/>
      <c r="I33" s="56"/>
      <c r="J33" s="56"/>
      <c r="K33" s="56"/>
      <c r="L33" s="56"/>
      <c r="M33" s="56"/>
      <c r="N33" s="56"/>
      <c r="O33" s="56"/>
      <c r="P33" s="56"/>
      <c r="Q33" s="56"/>
    </row>
    <row r="34" spans="2:17" x14ac:dyDescent="0.2">
      <c r="B34" s="101" t="s">
        <v>78</v>
      </c>
      <c r="C34" s="102"/>
      <c r="D34" s="267" t="s">
        <v>2</v>
      </c>
      <c r="E34" s="267"/>
      <c r="F34" s="267"/>
      <c r="G34" s="102"/>
      <c r="H34" s="267" t="s">
        <v>3</v>
      </c>
      <c r="I34" s="267"/>
      <c r="J34" s="267"/>
      <c r="K34" s="102"/>
      <c r="L34" s="267" t="s">
        <v>4</v>
      </c>
      <c r="M34" s="267"/>
      <c r="N34" s="267"/>
      <c r="O34" s="102"/>
      <c r="P34" s="101" t="s">
        <v>62</v>
      </c>
      <c r="Q34" s="56"/>
    </row>
    <row r="35" spans="2:17" ht="15" x14ac:dyDescent="0.3">
      <c r="B35" s="104"/>
      <c r="C35" s="105"/>
      <c r="D35" s="106"/>
      <c r="E35" s="106"/>
      <c r="F35" s="106"/>
      <c r="G35" s="105"/>
      <c r="H35" s="106"/>
      <c r="I35" s="106"/>
      <c r="J35" s="106"/>
      <c r="K35" s="105"/>
      <c r="L35" s="106"/>
      <c r="M35" s="106"/>
      <c r="N35" s="106"/>
      <c r="O35" s="105"/>
      <c r="P35" s="106"/>
      <c r="Q35" s="56"/>
    </row>
    <row r="36" spans="2:17" ht="15" x14ac:dyDescent="0.3">
      <c r="B36" s="104" t="s">
        <v>63</v>
      </c>
      <c r="C36" s="105"/>
      <c r="D36" s="106" t="s">
        <v>64</v>
      </c>
      <c r="E36" s="106" t="s">
        <v>23</v>
      </c>
      <c r="F36" s="106" t="s">
        <v>65</v>
      </c>
      <c r="G36" s="105"/>
      <c r="H36" s="106" t="s">
        <v>64</v>
      </c>
      <c r="I36" s="106" t="s">
        <v>23</v>
      </c>
      <c r="J36" s="106" t="s">
        <v>65</v>
      </c>
      <c r="K36" s="105"/>
      <c r="L36" s="106" t="s">
        <v>64</v>
      </c>
      <c r="M36" s="106" t="s">
        <v>23</v>
      </c>
      <c r="N36" s="106" t="s">
        <v>65</v>
      </c>
      <c r="O36" s="105"/>
      <c r="P36" s="106" t="s">
        <v>65</v>
      </c>
      <c r="Q36" s="56"/>
    </row>
    <row r="37" spans="2:17" x14ac:dyDescent="0.2">
      <c r="B37" s="56"/>
      <c r="C37" s="56"/>
      <c r="D37" s="56"/>
      <c r="E37" s="56"/>
      <c r="F37" s="56"/>
      <c r="G37" s="56"/>
      <c r="H37" s="56"/>
      <c r="I37" s="56"/>
      <c r="J37" s="56"/>
      <c r="K37" s="56"/>
      <c r="L37" s="56"/>
      <c r="M37" s="56"/>
      <c r="N37" s="56"/>
      <c r="O37" s="56"/>
      <c r="P37" s="56"/>
      <c r="Q37" s="56"/>
    </row>
    <row r="38" spans="2:17" x14ac:dyDescent="0.2">
      <c r="B38" s="57" t="s">
        <v>66</v>
      </c>
      <c r="C38" s="56"/>
      <c r="D38" s="107">
        <v>282338.33413529099</v>
      </c>
      <c r="E38" s="114">
        <f>'4. UTRs &amp; Sub-Transmission'!L35</f>
        <v>5.3587274415313946</v>
      </c>
      <c r="F38" s="109">
        <f>D38*E38</f>
        <v>1512974.1789270439</v>
      </c>
      <c r="G38" s="56"/>
      <c r="H38" s="107">
        <v>256697.58732148269</v>
      </c>
      <c r="I38" s="114">
        <f>'4. UTRs &amp; Sub-Transmission'!L37</f>
        <v>0.70658315040121022</v>
      </c>
      <c r="J38" s="109">
        <f>H38*I38</f>
        <v>181378.189950003</v>
      </c>
      <c r="K38" s="56"/>
      <c r="L38" s="107">
        <v>297623.44484631886</v>
      </c>
      <c r="M38" s="114">
        <f>'4. UTRs &amp; Sub-Transmission'!L39</f>
        <v>3.5747627097809822</v>
      </c>
      <c r="N38" s="109">
        <f>L38*M38</f>
        <v>1063933.1921931775</v>
      </c>
      <c r="O38" s="56"/>
      <c r="P38" s="110">
        <f>J38+N38</f>
        <v>1245311.3821431806</v>
      </c>
      <c r="Q38" s="56"/>
    </row>
    <row r="39" spans="2:17" x14ac:dyDescent="0.2">
      <c r="B39" s="57" t="s">
        <v>67</v>
      </c>
      <c r="C39" s="56"/>
      <c r="D39" s="107">
        <v>282452.39916025213</v>
      </c>
      <c r="E39" s="114">
        <f>E38</f>
        <v>5.3587274415313946</v>
      </c>
      <c r="F39" s="109">
        <f t="shared" ref="F39:F49" si="7">D39*E39</f>
        <v>1513585.4223064221</v>
      </c>
      <c r="G39" s="56"/>
      <c r="H39" s="107">
        <v>235395.82888292734</v>
      </c>
      <c r="I39" s="114">
        <f>I38</f>
        <v>0.70658315040121022</v>
      </c>
      <c r="J39" s="109">
        <f t="shared" ref="J39:J49" si="8">H39*I39</f>
        <v>166326.726363403</v>
      </c>
      <c r="K39" s="56"/>
      <c r="L39" s="107">
        <v>283994.21154339652</v>
      </c>
      <c r="M39" s="114">
        <f>M38</f>
        <v>3.5747627097809822</v>
      </c>
      <c r="N39" s="109">
        <f t="shared" ref="N39:N49" si="9">L39*M39</f>
        <v>1015211.9172189856</v>
      </c>
      <c r="O39" s="56"/>
      <c r="P39" s="110">
        <f t="shared" ref="P39:P49" si="10">J39+N39</f>
        <v>1181538.6435823885</v>
      </c>
      <c r="Q39" s="56"/>
    </row>
    <row r="40" spans="2:17" x14ac:dyDescent="0.2">
      <c r="B40" s="57" t="s">
        <v>68</v>
      </c>
      <c r="C40" s="56"/>
      <c r="D40" s="107">
        <v>237671.43031370384</v>
      </c>
      <c r="E40" s="114">
        <f t="shared" ref="E40:E49" si="11">E39</f>
        <v>5.3587274415313946</v>
      </c>
      <c r="F40" s="109">
        <f t="shared" si="7"/>
        <v>1273616.4156900614</v>
      </c>
      <c r="G40" s="56"/>
      <c r="H40" s="107">
        <v>202708.54470294391</v>
      </c>
      <c r="I40" s="114">
        <f t="shared" ref="I40:I49" si="12">I39</f>
        <v>0.70658315040121022</v>
      </c>
      <c r="J40" s="109">
        <f t="shared" si="8"/>
        <v>143230.44212945068</v>
      </c>
      <c r="K40" s="56"/>
      <c r="L40" s="107">
        <v>242024.96438475087</v>
      </c>
      <c r="M40" s="114">
        <f t="shared" ref="M40:M49" si="13">M39</f>
        <v>3.5747627097809822</v>
      </c>
      <c r="N40" s="109">
        <f t="shared" si="9"/>
        <v>865181.81751867768</v>
      </c>
      <c r="O40" s="56"/>
      <c r="P40" s="110">
        <f t="shared" si="10"/>
        <v>1008412.2596481284</v>
      </c>
      <c r="Q40" s="56"/>
    </row>
    <row r="41" spans="2:17" x14ac:dyDescent="0.2">
      <c r="B41" s="57" t="s">
        <v>69</v>
      </c>
      <c r="C41" s="56"/>
      <c r="D41" s="107">
        <v>209147.79142696504</v>
      </c>
      <c r="E41" s="114">
        <f t="shared" si="11"/>
        <v>5.3587274415313946</v>
      </c>
      <c r="F41" s="109">
        <f t="shared" si="7"/>
        <v>1120766.009255362</v>
      </c>
      <c r="G41" s="56"/>
      <c r="H41" s="107">
        <v>184996.50922265285</v>
      </c>
      <c r="I41" s="114">
        <f t="shared" si="12"/>
        <v>0.70658315040121022</v>
      </c>
      <c r="J41" s="109">
        <f t="shared" si="8"/>
        <v>130715.41629976859</v>
      </c>
      <c r="K41" s="56"/>
      <c r="L41" s="107">
        <v>213445.43279922058</v>
      </c>
      <c r="M41" s="114">
        <f t="shared" si="13"/>
        <v>3.5747627097809822</v>
      </c>
      <c r="N41" s="109">
        <f t="shared" si="9"/>
        <v>763016.7737437163</v>
      </c>
      <c r="O41" s="56"/>
      <c r="P41" s="110">
        <f t="shared" si="10"/>
        <v>893732.19004348491</v>
      </c>
      <c r="Q41" s="56"/>
    </row>
    <row r="42" spans="2:17" x14ac:dyDescent="0.2">
      <c r="B42" s="57" t="s">
        <v>70</v>
      </c>
      <c r="C42" s="56"/>
      <c r="D42" s="107">
        <v>244352.63125000492</v>
      </c>
      <c r="E42" s="114">
        <f t="shared" si="11"/>
        <v>5.3587274415313946</v>
      </c>
      <c r="F42" s="109">
        <f t="shared" si="7"/>
        <v>1309419.1504898032</v>
      </c>
      <c r="G42" s="56"/>
      <c r="H42" s="107">
        <v>203029.40748493021</v>
      </c>
      <c r="I42" s="114">
        <f t="shared" si="12"/>
        <v>0.70658315040121022</v>
      </c>
      <c r="J42" s="109">
        <f t="shared" si="8"/>
        <v>143457.15836479305</v>
      </c>
      <c r="K42" s="56"/>
      <c r="L42" s="107">
        <v>246459.04877549675</v>
      </c>
      <c r="M42" s="114">
        <f t="shared" si="13"/>
        <v>3.5747627097809822</v>
      </c>
      <c r="N42" s="109">
        <f t="shared" si="9"/>
        <v>881032.61705073807</v>
      </c>
      <c r="O42" s="56"/>
      <c r="P42" s="110">
        <f t="shared" si="10"/>
        <v>1024489.7754155311</v>
      </c>
      <c r="Q42" s="56"/>
    </row>
    <row r="43" spans="2:17" x14ac:dyDescent="0.2">
      <c r="B43" s="57" t="s">
        <v>71</v>
      </c>
      <c r="C43" s="56"/>
      <c r="D43" s="107">
        <v>316322.46486831817</v>
      </c>
      <c r="E43" s="114">
        <f t="shared" si="11"/>
        <v>5.3587274415313946</v>
      </c>
      <c r="F43" s="109">
        <f t="shared" si="7"/>
        <v>1695085.8728627071</v>
      </c>
      <c r="G43" s="56"/>
      <c r="H43" s="107">
        <v>275815.59867279453</v>
      </c>
      <c r="I43" s="114">
        <f t="shared" si="12"/>
        <v>0.70658315040121022</v>
      </c>
      <c r="J43" s="109">
        <f t="shared" si="8"/>
        <v>194886.65464001903</v>
      </c>
      <c r="K43" s="56"/>
      <c r="L43" s="107">
        <v>319337.66944224184</v>
      </c>
      <c r="M43" s="114">
        <f t="shared" si="13"/>
        <v>3.5747627097809822</v>
      </c>
      <c r="N43" s="109">
        <f t="shared" si="9"/>
        <v>1141556.392550492</v>
      </c>
      <c r="O43" s="56"/>
      <c r="P43" s="110">
        <f t="shared" si="10"/>
        <v>1336443.0471905109</v>
      </c>
      <c r="Q43" s="56"/>
    </row>
    <row r="44" spans="2:17" x14ac:dyDescent="0.2">
      <c r="B44" s="57" t="s">
        <v>72</v>
      </c>
      <c r="C44" s="56"/>
      <c r="D44" s="107">
        <v>300367.27964917856</v>
      </c>
      <c r="E44" s="114">
        <f t="shared" si="11"/>
        <v>5.3587274415313946</v>
      </c>
      <c r="F44" s="109">
        <f t="shared" si="7"/>
        <v>1609586.3839941875</v>
      </c>
      <c r="G44" s="56"/>
      <c r="H44" s="107">
        <v>255143.50886992243</v>
      </c>
      <c r="I44" s="114">
        <f t="shared" si="12"/>
        <v>0.70658315040121022</v>
      </c>
      <c r="J44" s="109">
        <f t="shared" si="8"/>
        <v>180280.10430172892</v>
      </c>
      <c r="K44" s="56"/>
      <c r="L44" s="107">
        <v>301242.9807296074</v>
      </c>
      <c r="M44" s="114">
        <f t="shared" si="13"/>
        <v>3.5747627097809822</v>
      </c>
      <c r="N44" s="109">
        <f t="shared" si="9"/>
        <v>1076872.1740954716</v>
      </c>
      <c r="O44" s="56"/>
      <c r="P44" s="110">
        <f t="shared" si="10"/>
        <v>1257152.2783972006</v>
      </c>
      <c r="Q44" s="56"/>
    </row>
    <row r="45" spans="2:17" x14ac:dyDescent="0.2">
      <c r="B45" s="57" t="s">
        <v>73</v>
      </c>
      <c r="C45" s="56"/>
      <c r="D45" s="107">
        <v>328835.50685941678</v>
      </c>
      <c r="E45" s="114">
        <f t="shared" si="11"/>
        <v>5.3587274415313946</v>
      </c>
      <c r="F45" s="109">
        <f t="shared" si="7"/>
        <v>1762139.8543574419</v>
      </c>
      <c r="G45" s="56"/>
      <c r="H45" s="107">
        <v>248456.27424097349</v>
      </c>
      <c r="I45" s="114">
        <f t="shared" si="12"/>
        <v>0.70658315040121022</v>
      </c>
      <c r="J45" s="109">
        <f t="shared" si="8"/>
        <v>175555.01699013411</v>
      </c>
      <c r="K45" s="56"/>
      <c r="L45" s="107">
        <v>332465.8866582613</v>
      </c>
      <c r="M45" s="114">
        <f t="shared" si="13"/>
        <v>3.5747627097809822</v>
      </c>
      <c r="N45" s="109">
        <f t="shared" si="9"/>
        <v>1188486.6539002231</v>
      </c>
      <c r="O45" s="56"/>
      <c r="P45" s="110">
        <f t="shared" si="10"/>
        <v>1364041.6708903571</v>
      </c>
      <c r="Q45" s="56"/>
    </row>
    <row r="46" spans="2:17" x14ac:dyDescent="0.2">
      <c r="B46" s="57" t="s">
        <v>74</v>
      </c>
      <c r="C46" s="56"/>
      <c r="D46" s="107">
        <v>274224.88932808803</v>
      </c>
      <c r="E46" s="114">
        <f t="shared" si="11"/>
        <v>5.3587274415313946</v>
      </c>
      <c r="F46" s="109">
        <f t="shared" si="7"/>
        <v>1469496.4395933349</v>
      </c>
      <c r="G46" s="56"/>
      <c r="H46" s="107">
        <v>213807.63212719795</v>
      </c>
      <c r="I46" s="114">
        <f t="shared" si="12"/>
        <v>0.70658315040121022</v>
      </c>
      <c r="J46" s="109">
        <f t="shared" si="8"/>
        <v>151072.87028825853</v>
      </c>
      <c r="K46" s="56"/>
      <c r="L46" s="107">
        <v>275679.99221480993</v>
      </c>
      <c r="M46" s="114">
        <f t="shared" si="13"/>
        <v>3.5747627097809822</v>
      </c>
      <c r="N46" s="109">
        <f t="shared" si="9"/>
        <v>985490.55600221397</v>
      </c>
      <c r="O46" s="56"/>
      <c r="P46" s="110">
        <f t="shared" si="10"/>
        <v>1136563.4262904725</v>
      </c>
      <c r="Q46" s="56"/>
    </row>
    <row r="47" spans="2:17" x14ac:dyDescent="0.2">
      <c r="B47" s="57" t="s">
        <v>75</v>
      </c>
      <c r="C47" s="56"/>
      <c r="D47" s="107">
        <v>230906.58378383258</v>
      </c>
      <c r="E47" s="114">
        <f t="shared" si="11"/>
        <v>5.3587274415313946</v>
      </c>
      <c r="F47" s="109">
        <f t="shared" si="7"/>
        <v>1237365.4469526918</v>
      </c>
      <c r="G47" s="56"/>
      <c r="H47" s="107">
        <v>183323.57643723598</v>
      </c>
      <c r="I47" s="114">
        <f t="shared" si="12"/>
        <v>0.70658315040121022</v>
      </c>
      <c r="J47" s="109">
        <f t="shared" si="8"/>
        <v>129533.35018183927</v>
      </c>
      <c r="K47" s="56"/>
      <c r="L47" s="107">
        <v>233611.50806616788</v>
      </c>
      <c r="M47" s="114">
        <f t="shared" si="13"/>
        <v>3.5747627097809822</v>
      </c>
      <c r="N47" s="109">
        <f t="shared" si="9"/>
        <v>835105.70761063602</v>
      </c>
      <c r="O47" s="56"/>
      <c r="P47" s="110">
        <f t="shared" si="10"/>
        <v>964639.05779247533</v>
      </c>
      <c r="Q47" s="56"/>
    </row>
    <row r="48" spans="2:17" x14ac:dyDescent="0.2">
      <c r="B48" s="57" t="s">
        <v>76</v>
      </c>
      <c r="C48" s="56"/>
      <c r="D48" s="107">
        <v>251031.05062262435</v>
      </c>
      <c r="E48" s="114">
        <f t="shared" si="11"/>
        <v>5.3587274415313946</v>
      </c>
      <c r="F48" s="109">
        <f t="shared" si="7"/>
        <v>1345206.9796479137</v>
      </c>
      <c r="G48" s="56"/>
      <c r="H48" s="107">
        <v>203477.79345901409</v>
      </c>
      <c r="I48" s="114">
        <f t="shared" si="12"/>
        <v>0.70658315040121022</v>
      </c>
      <c r="J48" s="109">
        <f t="shared" si="8"/>
        <v>143773.98033895696</v>
      </c>
      <c r="K48" s="56"/>
      <c r="L48" s="107">
        <v>254763.75222833027</v>
      </c>
      <c r="M48" s="114">
        <f t="shared" si="13"/>
        <v>3.5747627097809822</v>
      </c>
      <c r="N48" s="109">
        <f t="shared" si="9"/>
        <v>910719.96126971662</v>
      </c>
      <c r="O48" s="56"/>
      <c r="P48" s="110">
        <f t="shared" si="10"/>
        <v>1054493.9416086737</v>
      </c>
      <c r="Q48" s="56"/>
    </row>
    <row r="49" spans="2:17" x14ac:dyDescent="0.2">
      <c r="B49" s="57" t="s">
        <v>77</v>
      </c>
      <c r="C49" s="56"/>
      <c r="D49" s="107">
        <v>258426.49646174157</v>
      </c>
      <c r="E49" s="114">
        <f t="shared" si="11"/>
        <v>5.3587274415313946</v>
      </c>
      <c r="F49" s="109">
        <f t="shared" si="7"/>
        <v>1384837.1582083504</v>
      </c>
      <c r="G49" s="56"/>
      <c r="H49" s="107">
        <v>220873.38947099308</v>
      </c>
      <c r="I49" s="114">
        <f t="shared" si="12"/>
        <v>0.70658315040121022</v>
      </c>
      <c r="J49" s="109">
        <f t="shared" si="8"/>
        <v>156065.41537220779</v>
      </c>
      <c r="K49" s="56"/>
      <c r="L49" s="107">
        <v>264745.48761305888</v>
      </c>
      <c r="M49" s="114">
        <f t="shared" si="13"/>
        <v>3.5747627097809822</v>
      </c>
      <c r="N49" s="109">
        <f t="shared" si="9"/>
        <v>946402.29670194583</v>
      </c>
      <c r="O49" s="56"/>
      <c r="P49" s="110">
        <f t="shared" si="10"/>
        <v>1102467.7120741536</v>
      </c>
      <c r="Q49" s="56"/>
    </row>
    <row r="50" spans="2:17" x14ac:dyDescent="0.2">
      <c r="B50" s="56"/>
      <c r="C50" s="56"/>
      <c r="D50" s="56"/>
      <c r="E50" s="56"/>
      <c r="F50" s="56"/>
      <c r="G50" s="56"/>
      <c r="H50" s="56"/>
      <c r="I50" s="56"/>
      <c r="J50" s="56"/>
      <c r="K50" s="56"/>
      <c r="L50" s="56"/>
      <c r="M50" s="56"/>
      <c r="N50" s="56"/>
      <c r="O50" s="56"/>
      <c r="P50" s="56"/>
      <c r="Q50" s="56"/>
    </row>
    <row r="51" spans="2:17" ht="13.5" thickBot="1" x14ac:dyDescent="0.25">
      <c r="B51" s="104" t="s">
        <v>5</v>
      </c>
      <c r="C51" s="56"/>
      <c r="D51" s="111">
        <f>SUM(D38:D49)</f>
        <v>3216076.8578594169</v>
      </c>
      <c r="E51" s="115">
        <f>IF(D51&lt;&gt;0,F51/D51,0)</f>
        <v>5.3587274415313955</v>
      </c>
      <c r="F51" s="113">
        <f>SUM(F38:F49)</f>
        <v>17234079.312285323</v>
      </c>
      <c r="G51" s="56"/>
      <c r="H51" s="111">
        <f>SUM(H38:H49)</f>
        <v>2683725.6508930684</v>
      </c>
      <c r="I51" s="115">
        <f>IF(H51&lt;&gt;0,J51/H51,0)</f>
        <v>0.70658315040121011</v>
      </c>
      <c r="J51" s="113">
        <f>SUM(J38:J49)</f>
        <v>1896275.3252205625</v>
      </c>
      <c r="K51" s="56"/>
      <c r="L51" s="111">
        <f>SUM(L38:L49)</f>
        <v>3265394.3793016616</v>
      </c>
      <c r="M51" s="115">
        <f>IF(L51&lt;&gt;0,N51/L51,0)</f>
        <v>3.5747627097809809</v>
      </c>
      <c r="N51" s="113">
        <f>SUM(N38:N49)</f>
        <v>11673010.059855992</v>
      </c>
      <c r="O51" s="56"/>
      <c r="P51" s="113">
        <f>SUM(P38:P49)</f>
        <v>13569285.385076556</v>
      </c>
      <c r="Q51" s="56"/>
    </row>
    <row r="52" spans="2:17" x14ac:dyDescent="0.2">
      <c r="B52" s="56"/>
      <c r="C52" s="56"/>
      <c r="D52" s="56"/>
      <c r="E52" s="56"/>
      <c r="F52" s="56"/>
      <c r="G52" s="56"/>
      <c r="H52" s="56"/>
      <c r="I52" s="56"/>
      <c r="J52" s="56"/>
      <c r="K52" s="56"/>
      <c r="L52" s="56"/>
      <c r="M52" s="56"/>
      <c r="N52" s="56"/>
      <c r="O52" s="56"/>
      <c r="P52" s="56"/>
      <c r="Q52" s="56"/>
    </row>
    <row r="53" spans="2:17" x14ac:dyDescent="0.2">
      <c r="B53" s="116" t="s">
        <v>79</v>
      </c>
      <c r="C53" s="102"/>
      <c r="D53" s="267" t="s">
        <v>2</v>
      </c>
      <c r="E53" s="267"/>
      <c r="F53" s="267"/>
      <c r="G53" s="102"/>
      <c r="H53" s="267" t="s">
        <v>3</v>
      </c>
      <c r="I53" s="267"/>
      <c r="J53" s="267"/>
      <c r="K53" s="102"/>
      <c r="L53" s="267" t="s">
        <v>4</v>
      </c>
      <c r="M53" s="267"/>
      <c r="N53" s="267"/>
      <c r="O53" s="102"/>
      <c r="P53" s="101" t="s">
        <v>62</v>
      </c>
      <c r="Q53" s="56"/>
    </row>
    <row r="54" spans="2:17" ht="15" x14ac:dyDescent="0.3">
      <c r="B54" s="117" t="s">
        <v>80</v>
      </c>
      <c r="C54" s="105"/>
      <c r="D54" s="106"/>
      <c r="E54" s="106"/>
      <c r="F54" s="106"/>
      <c r="G54" s="105"/>
      <c r="H54" s="106"/>
      <c r="I54" s="106"/>
      <c r="J54" s="106"/>
      <c r="K54" s="105"/>
      <c r="L54" s="106"/>
      <c r="M54" s="106"/>
      <c r="N54" s="106"/>
      <c r="O54" s="105"/>
      <c r="P54" s="106"/>
      <c r="Q54" s="56"/>
    </row>
    <row r="55" spans="2:17" ht="15" x14ac:dyDescent="0.3">
      <c r="B55" s="104" t="s">
        <v>63</v>
      </c>
      <c r="C55" s="105"/>
      <c r="D55" s="106" t="s">
        <v>64</v>
      </c>
      <c r="E55" s="106" t="s">
        <v>23</v>
      </c>
      <c r="F55" s="106" t="s">
        <v>65</v>
      </c>
      <c r="G55" s="105"/>
      <c r="H55" s="106" t="s">
        <v>64</v>
      </c>
      <c r="I55" s="106" t="s">
        <v>23</v>
      </c>
      <c r="J55" s="106" t="s">
        <v>65</v>
      </c>
      <c r="K55" s="105"/>
      <c r="L55" s="106" t="s">
        <v>64</v>
      </c>
      <c r="M55" s="106" t="s">
        <v>23</v>
      </c>
      <c r="N55" s="106" t="s">
        <v>65</v>
      </c>
      <c r="O55" s="105"/>
      <c r="P55" s="106" t="s">
        <v>65</v>
      </c>
      <c r="Q55" s="56"/>
    </row>
    <row r="56" spans="2:17" x14ac:dyDescent="0.2">
      <c r="B56" s="56"/>
      <c r="C56" s="56"/>
      <c r="D56" s="56"/>
      <c r="E56" s="56"/>
      <c r="F56" s="56"/>
      <c r="G56" s="56"/>
      <c r="H56" s="56"/>
      <c r="I56" s="56"/>
      <c r="J56" s="56"/>
      <c r="K56" s="56"/>
      <c r="L56" s="56"/>
      <c r="M56" s="56"/>
      <c r="N56" s="56"/>
      <c r="O56" s="56"/>
      <c r="P56" s="56"/>
      <c r="Q56" s="56"/>
    </row>
    <row r="57" spans="2:17" ht="13.5" x14ac:dyDescent="0.25">
      <c r="B57" s="57" t="s">
        <v>66</v>
      </c>
      <c r="C57" s="56"/>
      <c r="D57" s="107"/>
      <c r="E57" s="118">
        <f t="shared" ref="E57:E68" si="14">IF(D57&lt;&gt;0,F57/D57,0)</f>
        <v>0</v>
      </c>
      <c r="F57" s="109"/>
      <c r="G57" s="56"/>
      <c r="H57" s="107"/>
      <c r="I57" s="118">
        <f t="shared" ref="I57:I68" si="15">IF(H57&lt;&gt;0,J57/H57,0)</f>
        <v>0</v>
      </c>
      <c r="J57" s="119"/>
      <c r="K57" s="56"/>
      <c r="L57" s="107"/>
      <c r="M57" s="118">
        <f t="shared" ref="M57:M68" si="16">IF(L57&lt;&gt;0,N57/L57,0)</f>
        <v>0</v>
      </c>
      <c r="N57" s="109"/>
      <c r="O57" s="56"/>
      <c r="P57" s="110">
        <f t="shared" ref="P57:P68" si="17">J57+N57</f>
        <v>0</v>
      </c>
      <c r="Q57" s="56"/>
    </row>
    <row r="58" spans="2:17" ht="13.5" x14ac:dyDescent="0.25">
      <c r="B58" s="57" t="s">
        <v>67</v>
      </c>
      <c r="C58" s="56"/>
      <c r="D58" s="107"/>
      <c r="E58" s="118">
        <f t="shared" si="14"/>
        <v>0</v>
      </c>
      <c r="F58" s="109"/>
      <c r="G58" s="56"/>
      <c r="H58" s="107"/>
      <c r="I58" s="118">
        <f t="shared" si="15"/>
        <v>0</v>
      </c>
      <c r="J58" s="119"/>
      <c r="K58" s="56"/>
      <c r="L58" s="107"/>
      <c r="M58" s="118">
        <f t="shared" si="16"/>
        <v>0</v>
      </c>
      <c r="N58" s="109"/>
      <c r="O58" s="56"/>
      <c r="P58" s="110">
        <f t="shared" si="17"/>
        <v>0</v>
      </c>
      <c r="Q58" s="56"/>
    </row>
    <row r="59" spans="2:17" ht="13.5" x14ac:dyDescent="0.25">
      <c r="B59" s="57" t="s">
        <v>68</v>
      </c>
      <c r="C59" s="56"/>
      <c r="D59" s="107"/>
      <c r="E59" s="118">
        <f t="shared" si="14"/>
        <v>0</v>
      </c>
      <c r="F59" s="109"/>
      <c r="G59" s="56"/>
      <c r="H59" s="107"/>
      <c r="I59" s="118">
        <f t="shared" si="15"/>
        <v>0</v>
      </c>
      <c r="J59" s="119"/>
      <c r="K59" s="56"/>
      <c r="L59" s="107"/>
      <c r="M59" s="118">
        <f t="shared" si="16"/>
        <v>0</v>
      </c>
      <c r="N59" s="109"/>
      <c r="O59" s="56"/>
      <c r="P59" s="110">
        <f t="shared" si="17"/>
        <v>0</v>
      </c>
      <c r="Q59" s="56"/>
    </row>
    <row r="60" spans="2:17" ht="13.5" x14ac:dyDescent="0.25">
      <c r="B60" s="57" t="s">
        <v>69</v>
      </c>
      <c r="C60" s="56"/>
      <c r="D60" s="107"/>
      <c r="E60" s="118">
        <f t="shared" si="14"/>
        <v>0</v>
      </c>
      <c r="F60" s="109"/>
      <c r="G60" s="56"/>
      <c r="H60" s="107"/>
      <c r="I60" s="118">
        <f t="shared" si="15"/>
        <v>0</v>
      </c>
      <c r="J60" s="119"/>
      <c r="K60" s="56"/>
      <c r="L60" s="107"/>
      <c r="M60" s="118">
        <f t="shared" si="16"/>
        <v>0</v>
      </c>
      <c r="N60" s="109"/>
      <c r="O60" s="56"/>
      <c r="P60" s="110">
        <f t="shared" si="17"/>
        <v>0</v>
      </c>
      <c r="Q60" s="56"/>
    </row>
    <row r="61" spans="2:17" ht="13.5" x14ac:dyDescent="0.25">
      <c r="B61" s="57" t="s">
        <v>70</v>
      </c>
      <c r="C61" s="56"/>
      <c r="D61" s="107"/>
      <c r="E61" s="118">
        <f t="shared" si="14"/>
        <v>0</v>
      </c>
      <c r="F61" s="109"/>
      <c r="G61" s="56"/>
      <c r="H61" s="107"/>
      <c r="I61" s="118">
        <f t="shared" si="15"/>
        <v>0</v>
      </c>
      <c r="J61" s="119"/>
      <c r="K61" s="56"/>
      <c r="L61" s="107"/>
      <c r="M61" s="118">
        <f t="shared" si="16"/>
        <v>0</v>
      </c>
      <c r="N61" s="109"/>
      <c r="O61" s="56"/>
      <c r="P61" s="110">
        <f t="shared" si="17"/>
        <v>0</v>
      </c>
      <c r="Q61" s="56"/>
    </row>
    <row r="62" spans="2:17" ht="13.5" x14ac:dyDescent="0.25">
      <c r="B62" s="57" t="s">
        <v>71</v>
      </c>
      <c r="C62" s="56"/>
      <c r="D62" s="107"/>
      <c r="E62" s="118">
        <f t="shared" si="14"/>
        <v>0</v>
      </c>
      <c r="F62" s="109"/>
      <c r="G62" s="56"/>
      <c r="H62" s="107"/>
      <c r="I62" s="118">
        <f t="shared" si="15"/>
        <v>0</v>
      </c>
      <c r="J62" s="119"/>
      <c r="K62" s="56"/>
      <c r="L62" s="107"/>
      <c r="M62" s="118">
        <f t="shared" si="16"/>
        <v>0</v>
      </c>
      <c r="N62" s="109"/>
      <c r="O62" s="56"/>
      <c r="P62" s="110">
        <f t="shared" si="17"/>
        <v>0</v>
      </c>
      <c r="Q62" s="56"/>
    </row>
    <row r="63" spans="2:17" ht="13.5" x14ac:dyDescent="0.25">
      <c r="B63" s="57" t="s">
        <v>72</v>
      </c>
      <c r="C63" s="56"/>
      <c r="D63" s="107"/>
      <c r="E63" s="118">
        <f t="shared" si="14"/>
        <v>0</v>
      </c>
      <c r="F63" s="109"/>
      <c r="G63" s="56"/>
      <c r="H63" s="107"/>
      <c r="I63" s="118">
        <f t="shared" si="15"/>
        <v>0</v>
      </c>
      <c r="J63" s="119"/>
      <c r="K63" s="56"/>
      <c r="L63" s="107"/>
      <c r="M63" s="118">
        <f t="shared" si="16"/>
        <v>0</v>
      </c>
      <c r="N63" s="109"/>
      <c r="O63" s="56"/>
      <c r="P63" s="110">
        <f t="shared" si="17"/>
        <v>0</v>
      </c>
      <c r="Q63" s="56"/>
    </row>
    <row r="64" spans="2:17" ht="13.5" x14ac:dyDescent="0.25">
      <c r="B64" s="57" t="s">
        <v>73</v>
      </c>
      <c r="C64" s="56"/>
      <c r="D64" s="107"/>
      <c r="E64" s="118">
        <f t="shared" si="14"/>
        <v>0</v>
      </c>
      <c r="F64" s="109"/>
      <c r="G64" s="56"/>
      <c r="H64" s="107"/>
      <c r="I64" s="118">
        <f t="shared" si="15"/>
        <v>0</v>
      </c>
      <c r="J64" s="119"/>
      <c r="K64" s="56"/>
      <c r="L64" s="107"/>
      <c r="M64" s="118">
        <f t="shared" si="16"/>
        <v>0</v>
      </c>
      <c r="N64" s="109"/>
      <c r="O64" s="56"/>
      <c r="P64" s="110">
        <f t="shared" si="17"/>
        <v>0</v>
      </c>
      <c r="Q64" s="56"/>
    </row>
    <row r="65" spans="2:17" ht="13.5" x14ac:dyDescent="0.25">
      <c r="B65" s="57" t="s">
        <v>74</v>
      </c>
      <c r="C65" s="56"/>
      <c r="D65" s="107"/>
      <c r="E65" s="118">
        <f t="shared" si="14"/>
        <v>0</v>
      </c>
      <c r="F65" s="109"/>
      <c r="G65" s="56"/>
      <c r="H65" s="107"/>
      <c r="I65" s="118">
        <f t="shared" si="15"/>
        <v>0</v>
      </c>
      <c r="J65" s="119"/>
      <c r="K65" s="56"/>
      <c r="L65" s="107"/>
      <c r="M65" s="118">
        <f t="shared" si="16"/>
        <v>0</v>
      </c>
      <c r="N65" s="109"/>
      <c r="O65" s="56"/>
      <c r="P65" s="110">
        <f t="shared" si="17"/>
        <v>0</v>
      </c>
      <c r="Q65" s="56"/>
    </row>
    <row r="66" spans="2:17" ht="13.5" x14ac:dyDescent="0.25">
      <c r="B66" s="57" t="s">
        <v>75</v>
      </c>
      <c r="C66" s="56"/>
      <c r="D66" s="107"/>
      <c r="E66" s="118">
        <f t="shared" si="14"/>
        <v>0</v>
      </c>
      <c r="F66" s="109"/>
      <c r="G66" s="56"/>
      <c r="H66" s="107"/>
      <c r="I66" s="118">
        <f t="shared" si="15"/>
        <v>0</v>
      </c>
      <c r="J66" s="119"/>
      <c r="K66" s="56"/>
      <c r="L66" s="107"/>
      <c r="M66" s="118">
        <f t="shared" si="16"/>
        <v>0</v>
      </c>
      <c r="N66" s="109"/>
      <c r="O66" s="56"/>
      <c r="P66" s="110">
        <f t="shared" si="17"/>
        <v>0</v>
      </c>
      <c r="Q66" s="56"/>
    </row>
    <row r="67" spans="2:17" ht="13.5" x14ac:dyDescent="0.25">
      <c r="B67" s="57" t="s">
        <v>76</v>
      </c>
      <c r="C67" s="56"/>
      <c r="D67" s="107"/>
      <c r="E67" s="118">
        <f t="shared" si="14"/>
        <v>0</v>
      </c>
      <c r="F67" s="109"/>
      <c r="G67" s="56"/>
      <c r="H67" s="107"/>
      <c r="I67" s="118">
        <f t="shared" si="15"/>
        <v>0</v>
      </c>
      <c r="J67" s="119"/>
      <c r="K67" s="56"/>
      <c r="L67" s="107"/>
      <c r="M67" s="118">
        <f t="shared" si="16"/>
        <v>0</v>
      </c>
      <c r="N67" s="109"/>
      <c r="O67" s="56"/>
      <c r="P67" s="110">
        <f t="shared" si="17"/>
        <v>0</v>
      </c>
      <c r="Q67" s="56"/>
    </row>
    <row r="68" spans="2:17" ht="13.5" x14ac:dyDescent="0.25">
      <c r="B68" s="57" t="s">
        <v>77</v>
      </c>
      <c r="C68" s="56"/>
      <c r="D68" s="107"/>
      <c r="E68" s="118">
        <f t="shared" si="14"/>
        <v>0</v>
      </c>
      <c r="F68" s="109"/>
      <c r="G68" s="56"/>
      <c r="H68" s="107"/>
      <c r="I68" s="118">
        <f t="shared" si="15"/>
        <v>0</v>
      </c>
      <c r="J68" s="119"/>
      <c r="K68" s="56"/>
      <c r="L68" s="107"/>
      <c r="M68" s="118">
        <f t="shared" si="16"/>
        <v>0</v>
      </c>
      <c r="N68" s="109"/>
      <c r="O68" s="56"/>
      <c r="P68" s="110">
        <f t="shared" si="17"/>
        <v>0</v>
      </c>
      <c r="Q68" s="56"/>
    </row>
    <row r="69" spans="2:17" x14ac:dyDescent="0.2">
      <c r="B69" s="56"/>
      <c r="C69" s="56"/>
      <c r="D69" s="56"/>
      <c r="E69" s="56"/>
      <c r="F69" s="56"/>
      <c r="G69" s="56"/>
      <c r="H69" s="56"/>
      <c r="I69" s="56"/>
      <c r="J69" s="56"/>
      <c r="K69" s="56"/>
      <c r="L69" s="56"/>
      <c r="M69" s="56"/>
      <c r="N69" s="56"/>
      <c r="O69" s="56"/>
      <c r="P69" s="56"/>
      <c r="Q69" s="56"/>
    </row>
    <row r="70" spans="2:17" ht="13.5" thickBot="1" x14ac:dyDescent="0.25">
      <c r="B70" s="104" t="s">
        <v>5</v>
      </c>
      <c r="C70" s="56"/>
      <c r="D70" s="111">
        <f>SUM(D57:D68)</f>
        <v>0</v>
      </c>
      <c r="E70" s="112">
        <f>IF(D70&lt;&gt;0,F70/D70,0)</f>
        <v>0</v>
      </c>
      <c r="F70" s="113">
        <f>SUM(F57:F68)</f>
        <v>0</v>
      </c>
      <c r="G70" s="56"/>
      <c r="H70" s="111">
        <f>SUM(H57:H68)</f>
        <v>0</v>
      </c>
      <c r="I70" s="112">
        <f>IF(H70&lt;&gt;0,J70/H70,0)</f>
        <v>0</v>
      </c>
      <c r="J70" s="113">
        <f>SUM(J57:J68)</f>
        <v>0</v>
      </c>
      <c r="K70" s="56"/>
      <c r="L70" s="111">
        <f>SUM(L57:L68)</f>
        <v>0</v>
      </c>
      <c r="M70" s="112">
        <f>IF(L70&lt;&gt;0,N70/L70,0)</f>
        <v>0</v>
      </c>
      <c r="N70" s="113">
        <f>SUM(N57:N68)</f>
        <v>0</v>
      </c>
      <c r="O70" s="56"/>
      <c r="P70" s="113">
        <f>SUM(P57:P68)</f>
        <v>0</v>
      </c>
      <c r="Q70" s="56"/>
    </row>
    <row r="71" spans="2:17" x14ac:dyDescent="0.2">
      <c r="B71" s="56"/>
      <c r="C71" s="56"/>
      <c r="D71" s="56"/>
      <c r="E71" s="56"/>
      <c r="F71" s="56"/>
      <c r="G71" s="56"/>
      <c r="H71" s="56"/>
      <c r="I71" s="56"/>
      <c r="J71" s="56"/>
      <c r="K71" s="56"/>
      <c r="L71" s="56"/>
      <c r="M71" s="56"/>
      <c r="N71" s="56"/>
      <c r="O71" s="56"/>
      <c r="P71" s="56"/>
      <c r="Q71" s="56"/>
    </row>
    <row r="72" spans="2:17" x14ac:dyDescent="0.2">
      <c r="B72" s="116" t="s">
        <v>81</v>
      </c>
      <c r="C72" s="102"/>
      <c r="D72" s="267" t="s">
        <v>2</v>
      </c>
      <c r="E72" s="267"/>
      <c r="F72" s="267"/>
      <c r="G72" s="102"/>
      <c r="H72" s="267" t="s">
        <v>3</v>
      </c>
      <c r="I72" s="267"/>
      <c r="J72" s="267"/>
      <c r="K72" s="102"/>
      <c r="L72" s="267" t="s">
        <v>4</v>
      </c>
      <c r="M72" s="267"/>
      <c r="N72" s="267"/>
      <c r="O72" s="102"/>
      <c r="P72" s="101" t="s">
        <v>62</v>
      </c>
      <c r="Q72" s="56"/>
    </row>
    <row r="73" spans="2:17" ht="15" x14ac:dyDescent="0.3">
      <c r="B73" s="117" t="s">
        <v>80</v>
      </c>
      <c r="C73" s="105"/>
      <c r="D73" s="106"/>
      <c r="E73" s="106"/>
      <c r="F73" s="106"/>
      <c r="G73" s="105"/>
      <c r="H73" s="106"/>
      <c r="I73" s="106"/>
      <c r="J73" s="106"/>
      <c r="K73" s="105"/>
      <c r="L73" s="106"/>
      <c r="M73" s="106"/>
      <c r="N73" s="106"/>
      <c r="O73" s="105"/>
      <c r="P73" s="106"/>
      <c r="Q73" s="56"/>
    </row>
    <row r="74" spans="2:17" ht="15" x14ac:dyDescent="0.3">
      <c r="B74" s="104" t="s">
        <v>63</v>
      </c>
      <c r="C74" s="105"/>
      <c r="D74" s="106" t="s">
        <v>64</v>
      </c>
      <c r="E74" s="106" t="s">
        <v>23</v>
      </c>
      <c r="F74" s="106" t="s">
        <v>65</v>
      </c>
      <c r="G74" s="105"/>
      <c r="H74" s="106" t="s">
        <v>64</v>
      </c>
      <c r="I74" s="106" t="s">
        <v>23</v>
      </c>
      <c r="J74" s="106" t="s">
        <v>65</v>
      </c>
      <c r="K74" s="105"/>
      <c r="L74" s="106" t="s">
        <v>64</v>
      </c>
      <c r="M74" s="106" t="s">
        <v>23</v>
      </c>
      <c r="N74" s="106" t="s">
        <v>65</v>
      </c>
      <c r="O74" s="105"/>
      <c r="P74" s="106" t="s">
        <v>65</v>
      </c>
      <c r="Q74" s="56"/>
    </row>
    <row r="75" spans="2:17" x14ac:dyDescent="0.2">
      <c r="B75" s="56"/>
      <c r="C75" s="56"/>
      <c r="D75" s="56"/>
      <c r="E75" s="56"/>
      <c r="F75" s="56"/>
      <c r="G75" s="56"/>
      <c r="H75" s="56"/>
      <c r="I75" s="56"/>
      <c r="J75" s="56"/>
      <c r="K75" s="56"/>
      <c r="L75" s="56"/>
      <c r="M75" s="56"/>
      <c r="N75" s="56"/>
      <c r="O75" s="56"/>
      <c r="P75" s="56"/>
      <c r="Q75" s="56"/>
    </row>
    <row r="76" spans="2:17" ht="13.5" x14ac:dyDescent="0.25">
      <c r="B76" s="57" t="s">
        <v>66</v>
      </c>
      <c r="C76" s="56"/>
      <c r="D76" s="107"/>
      <c r="E76" s="118">
        <f t="shared" ref="E76:E87" si="18">IF(D76&lt;&gt;0,F76/D76,0)</f>
        <v>0</v>
      </c>
      <c r="F76" s="109"/>
      <c r="G76" s="56"/>
      <c r="H76" s="107"/>
      <c r="I76" s="118">
        <f t="shared" ref="I76:I87" si="19">IF(H76&lt;&gt;0,J76/H76,0)</f>
        <v>0</v>
      </c>
      <c r="J76" s="119"/>
      <c r="K76" s="56"/>
      <c r="L76" s="107"/>
      <c r="M76" s="118">
        <f t="shared" ref="M76:M87" si="20">IF(L76&lt;&gt;0,N76/L76,0)</f>
        <v>0</v>
      </c>
      <c r="N76" s="109"/>
      <c r="O76" s="56"/>
      <c r="P76" s="110">
        <f t="shared" ref="P76:P87" si="21">J76+N76</f>
        <v>0</v>
      </c>
      <c r="Q76" s="56"/>
    </row>
    <row r="77" spans="2:17" ht="13.5" x14ac:dyDescent="0.25">
      <c r="B77" s="57" t="s">
        <v>67</v>
      </c>
      <c r="C77" s="56"/>
      <c r="D77" s="107"/>
      <c r="E77" s="118">
        <f t="shared" si="18"/>
        <v>0</v>
      </c>
      <c r="F77" s="109"/>
      <c r="G77" s="56"/>
      <c r="H77" s="107"/>
      <c r="I77" s="118">
        <f t="shared" si="19"/>
        <v>0</v>
      </c>
      <c r="J77" s="119"/>
      <c r="K77" s="56"/>
      <c r="L77" s="107"/>
      <c r="M77" s="118">
        <f t="shared" si="20"/>
        <v>0</v>
      </c>
      <c r="N77" s="109"/>
      <c r="O77" s="56"/>
      <c r="P77" s="110">
        <f t="shared" si="21"/>
        <v>0</v>
      </c>
      <c r="Q77" s="56"/>
    </row>
    <row r="78" spans="2:17" ht="13.5" x14ac:dyDescent="0.25">
      <c r="B78" s="57" t="s">
        <v>68</v>
      </c>
      <c r="C78" s="56"/>
      <c r="D78" s="107"/>
      <c r="E78" s="118">
        <f t="shared" si="18"/>
        <v>0</v>
      </c>
      <c r="F78" s="109"/>
      <c r="G78" s="56"/>
      <c r="H78" s="107"/>
      <c r="I78" s="118">
        <f t="shared" si="19"/>
        <v>0</v>
      </c>
      <c r="J78" s="119"/>
      <c r="K78" s="56"/>
      <c r="L78" s="107"/>
      <c r="M78" s="118">
        <f t="shared" si="20"/>
        <v>0</v>
      </c>
      <c r="N78" s="109"/>
      <c r="O78" s="56"/>
      <c r="P78" s="110">
        <f t="shared" si="21"/>
        <v>0</v>
      </c>
      <c r="Q78" s="56"/>
    </row>
    <row r="79" spans="2:17" ht="13.5" x14ac:dyDescent="0.25">
      <c r="B79" s="57" t="s">
        <v>69</v>
      </c>
      <c r="C79" s="56"/>
      <c r="D79" s="107"/>
      <c r="E79" s="118">
        <f t="shared" si="18"/>
        <v>0</v>
      </c>
      <c r="F79" s="109"/>
      <c r="G79" s="56"/>
      <c r="H79" s="107"/>
      <c r="I79" s="118">
        <f t="shared" si="19"/>
        <v>0</v>
      </c>
      <c r="J79" s="119"/>
      <c r="K79" s="56"/>
      <c r="L79" s="107"/>
      <c r="M79" s="118">
        <f t="shared" si="20"/>
        <v>0</v>
      </c>
      <c r="N79" s="109"/>
      <c r="O79" s="56"/>
      <c r="P79" s="110">
        <f t="shared" si="21"/>
        <v>0</v>
      </c>
      <c r="Q79" s="56"/>
    </row>
    <row r="80" spans="2:17" ht="13.5" x14ac:dyDescent="0.25">
      <c r="B80" s="57" t="s">
        <v>70</v>
      </c>
      <c r="C80" s="56"/>
      <c r="D80" s="107"/>
      <c r="E80" s="118">
        <f t="shared" si="18"/>
        <v>0</v>
      </c>
      <c r="F80" s="109"/>
      <c r="G80" s="56"/>
      <c r="H80" s="107"/>
      <c r="I80" s="118">
        <f t="shared" si="19"/>
        <v>0</v>
      </c>
      <c r="J80" s="119"/>
      <c r="K80" s="56"/>
      <c r="L80" s="107"/>
      <c r="M80" s="118">
        <f t="shared" si="20"/>
        <v>0</v>
      </c>
      <c r="N80" s="109"/>
      <c r="O80" s="56"/>
      <c r="P80" s="110">
        <f t="shared" si="21"/>
        <v>0</v>
      </c>
      <c r="Q80" s="56"/>
    </row>
    <row r="81" spans="2:17" ht="13.5" x14ac:dyDescent="0.25">
      <c r="B81" s="57" t="s">
        <v>71</v>
      </c>
      <c r="C81" s="56"/>
      <c r="D81" s="107"/>
      <c r="E81" s="118">
        <f t="shared" si="18"/>
        <v>0</v>
      </c>
      <c r="F81" s="109"/>
      <c r="G81" s="56"/>
      <c r="H81" s="107"/>
      <c r="I81" s="118">
        <f t="shared" si="19"/>
        <v>0</v>
      </c>
      <c r="J81" s="119"/>
      <c r="K81" s="56"/>
      <c r="L81" s="107"/>
      <c r="M81" s="118">
        <f t="shared" si="20"/>
        <v>0</v>
      </c>
      <c r="N81" s="109"/>
      <c r="O81" s="56"/>
      <c r="P81" s="110">
        <f t="shared" si="21"/>
        <v>0</v>
      </c>
      <c r="Q81" s="56"/>
    </row>
    <row r="82" spans="2:17" ht="13.5" x14ac:dyDescent="0.25">
      <c r="B82" s="57" t="s">
        <v>72</v>
      </c>
      <c r="C82" s="56"/>
      <c r="D82" s="107"/>
      <c r="E82" s="118">
        <f t="shared" si="18"/>
        <v>0</v>
      </c>
      <c r="F82" s="109"/>
      <c r="G82" s="56"/>
      <c r="H82" s="107"/>
      <c r="I82" s="118">
        <f t="shared" si="19"/>
        <v>0</v>
      </c>
      <c r="J82" s="119"/>
      <c r="K82" s="56"/>
      <c r="L82" s="107"/>
      <c r="M82" s="118">
        <f t="shared" si="20"/>
        <v>0</v>
      </c>
      <c r="N82" s="109"/>
      <c r="O82" s="56"/>
      <c r="P82" s="110">
        <f t="shared" si="21"/>
        <v>0</v>
      </c>
      <c r="Q82" s="56"/>
    </row>
    <row r="83" spans="2:17" ht="13.5" x14ac:dyDescent="0.25">
      <c r="B83" s="57" t="s">
        <v>73</v>
      </c>
      <c r="C83" s="56"/>
      <c r="D83" s="107"/>
      <c r="E83" s="118">
        <f t="shared" si="18"/>
        <v>0</v>
      </c>
      <c r="F83" s="109"/>
      <c r="G83" s="56"/>
      <c r="H83" s="107"/>
      <c r="I83" s="118">
        <f t="shared" si="19"/>
        <v>0</v>
      </c>
      <c r="J83" s="119"/>
      <c r="K83" s="56"/>
      <c r="L83" s="107"/>
      <c r="M83" s="118">
        <f t="shared" si="20"/>
        <v>0</v>
      </c>
      <c r="N83" s="109"/>
      <c r="O83" s="56"/>
      <c r="P83" s="110">
        <f t="shared" si="21"/>
        <v>0</v>
      </c>
      <c r="Q83" s="56"/>
    </row>
    <row r="84" spans="2:17" ht="13.5" x14ac:dyDescent="0.25">
      <c r="B84" s="57" t="s">
        <v>74</v>
      </c>
      <c r="C84" s="56"/>
      <c r="D84" s="107"/>
      <c r="E84" s="118">
        <f t="shared" si="18"/>
        <v>0</v>
      </c>
      <c r="F84" s="109"/>
      <c r="G84" s="56"/>
      <c r="H84" s="107"/>
      <c r="I84" s="118">
        <f t="shared" si="19"/>
        <v>0</v>
      </c>
      <c r="J84" s="119"/>
      <c r="K84" s="56"/>
      <c r="L84" s="107"/>
      <c r="M84" s="118">
        <f t="shared" si="20"/>
        <v>0</v>
      </c>
      <c r="N84" s="109"/>
      <c r="O84" s="56"/>
      <c r="P84" s="110">
        <f t="shared" si="21"/>
        <v>0</v>
      </c>
      <c r="Q84" s="56"/>
    </row>
    <row r="85" spans="2:17" ht="13.5" x14ac:dyDescent="0.25">
      <c r="B85" s="57" t="s">
        <v>75</v>
      </c>
      <c r="C85" s="56"/>
      <c r="D85" s="107"/>
      <c r="E85" s="118">
        <f t="shared" si="18"/>
        <v>0</v>
      </c>
      <c r="F85" s="109"/>
      <c r="G85" s="56"/>
      <c r="H85" s="107"/>
      <c r="I85" s="118">
        <f t="shared" si="19"/>
        <v>0</v>
      </c>
      <c r="J85" s="119"/>
      <c r="K85" s="56"/>
      <c r="L85" s="107"/>
      <c r="M85" s="118">
        <f t="shared" si="20"/>
        <v>0</v>
      </c>
      <c r="N85" s="109"/>
      <c r="O85" s="56"/>
      <c r="P85" s="110">
        <f t="shared" si="21"/>
        <v>0</v>
      </c>
      <c r="Q85" s="56"/>
    </row>
    <row r="86" spans="2:17" ht="13.5" x14ac:dyDescent="0.25">
      <c r="B86" s="57" t="s">
        <v>76</v>
      </c>
      <c r="C86" s="56"/>
      <c r="D86" s="107"/>
      <c r="E86" s="118">
        <f t="shared" si="18"/>
        <v>0</v>
      </c>
      <c r="F86" s="109"/>
      <c r="G86" s="56"/>
      <c r="H86" s="107"/>
      <c r="I86" s="118">
        <f t="shared" si="19"/>
        <v>0</v>
      </c>
      <c r="J86" s="119"/>
      <c r="K86" s="56"/>
      <c r="L86" s="107"/>
      <c r="M86" s="118">
        <f t="shared" si="20"/>
        <v>0</v>
      </c>
      <c r="N86" s="109"/>
      <c r="O86" s="56"/>
      <c r="P86" s="110">
        <f t="shared" si="21"/>
        <v>0</v>
      </c>
      <c r="Q86" s="56"/>
    </row>
    <row r="87" spans="2:17" ht="13.5" x14ac:dyDescent="0.25">
      <c r="B87" s="57" t="s">
        <v>77</v>
      </c>
      <c r="C87" s="56"/>
      <c r="D87" s="107"/>
      <c r="E87" s="118">
        <f t="shared" si="18"/>
        <v>0</v>
      </c>
      <c r="F87" s="109"/>
      <c r="G87" s="56"/>
      <c r="H87" s="107"/>
      <c r="I87" s="118">
        <f t="shared" si="19"/>
        <v>0</v>
      </c>
      <c r="J87" s="119"/>
      <c r="K87" s="56"/>
      <c r="L87" s="107"/>
      <c r="M87" s="118">
        <f t="shared" si="20"/>
        <v>0</v>
      </c>
      <c r="N87" s="109"/>
      <c r="O87" s="56"/>
      <c r="P87" s="110">
        <f t="shared" si="21"/>
        <v>0</v>
      </c>
      <c r="Q87" s="56"/>
    </row>
    <row r="88" spans="2:17" x14ac:dyDescent="0.2">
      <c r="B88" s="56"/>
      <c r="C88" s="56"/>
      <c r="D88" s="56"/>
      <c r="E88" s="56"/>
      <c r="F88" s="56"/>
      <c r="G88" s="56"/>
      <c r="H88" s="56"/>
      <c r="I88" s="56"/>
      <c r="J88" s="56"/>
      <c r="K88" s="56"/>
      <c r="L88" s="56"/>
      <c r="M88" s="56"/>
      <c r="N88" s="56"/>
      <c r="O88" s="56"/>
      <c r="P88" s="56"/>
      <c r="Q88" s="56"/>
    </row>
    <row r="89" spans="2:17" ht="13.5" thickBot="1" x14ac:dyDescent="0.25">
      <c r="B89" s="104" t="s">
        <v>5</v>
      </c>
      <c r="C89" s="56"/>
      <c r="D89" s="111">
        <f>SUM(D76:D87)</f>
        <v>0</v>
      </c>
      <c r="E89" s="112">
        <f>IF(D89&lt;&gt;0,F89/D89,0)</f>
        <v>0</v>
      </c>
      <c r="F89" s="113">
        <f>SUM(F76:F87)</f>
        <v>0</v>
      </c>
      <c r="G89" s="56"/>
      <c r="H89" s="111">
        <f>SUM(H76:H87)</f>
        <v>0</v>
      </c>
      <c r="I89" s="112">
        <f>IF(H89&lt;&gt;0,J89/H89,0)</f>
        <v>0</v>
      </c>
      <c r="J89" s="113">
        <f>SUM(J76:J87)</f>
        <v>0</v>
      </c>
      <c r="K89" s="56"/>
      <c r="L89" s="111">
        <f>SUM(L76:L87)</f>
        <v>0</v>
      </c>
      <c r="M89" s="112">
        <f>IF(L89&lt;&gt;0,N89/L89,0)</f>
        <v>0</v>
      </c>
      <c r="N89" s="113">
        <f>SUM(N76:N87)</f>
        <v>0</v>
      </c>
      <c r="O89" s="56"/>
      <c r="P89" s="113">
        <f>SUM(P76:P87)</f>
        <v>0</v>
      </c>
      <c r="Q89" s="56"/>
    </row>
    <row r="90" spans="2:17" x14ac:dyDescent="0.2">
      <c r="B90" s="56"/>
      <c r="C90" s="56"/>
      <c r="D90" s="56"/>
      <c r="E90" s="56"/>
      <c r="F90" s="56"/>
      <c r="G90" s="56"/>
      <c r="H90" s="56"/>
      <c r="I90" s="56"/>
      <c r="J90" s="56"/>
      <c r="K90" s="56"/>
      <c r="L90" s="56"/>
      <c r="M90" s="56"/>
      <c r="N90" s="56"/>
      <c r="O90" s="56"/>
      <c r="P90" s="56"/>
      <c r="Q90" s="56"/>
    </row>
    <row r="91" spans="2:17" x14ac:dyDescent="0.2">
      <c r="B91" s="101" t="s">
        <v>5</v>
      </c>
      <c r="C91" s="102"/>
      <c r="D91" s="267" t="s">
        <v>2</v>
      </c>
      <c r="E91" s="267"/>
      <c r="F91" s="267"/>
      <c r="G91" s="102"/>
      <c r="H91" s="267" t="s">
        <v>3</v>
      </c>
      <c r="I91" s="267"/>
      <c r="J91" s="267"/>
      <c r="K91" s="102"/>
      <c r="L91" s="267" t="s">
        <v>4</v>
      </c>
      <c r="M91" s="267"/>
      <c r="N91" s="267"/>
      <c r="O91" s="102"/>
      <c r="P91" s="101" t="s">
        <v>62</v>
      </c>
      <c r="Q91" s="56"/>
    </row>
    <row r="92" spans="2:17" x14ac:dyDescent="0.2">
      <c r="B92" s="56"/>
      <c r="C92" s="56"/>
      <c r="D92" s="268"/>
      <c r="E92" s="268"/>
      <c r="F92" s="268"/>
      <c r="G92" s="56"/>
      <c r="H92" s="268"/>
      <c r="I92" s="268"/>
      <c r="J92" s="268"/>
      <c r="K92" s="56"/>
      <c r="L92" s="268"/>
      <c r="M92" s="268"/>
      <c r="N92" s="268"/>
      <c r="O92" s="56"/>
      <c r="P92" s="120"/>
      <c r="Q92" s="56"/>
    </row>
    <row r="93" spans="2:17" ht="15" x14ac:dyDescent="0.3">
      <c r="B93" s="104" t="s">
        <v>63</v>
      </c>
      <c r="C93" s="56"/>
      <c r="D93" s="106" t="s">
        <v>64</v>
      </c>
      <c r="E93" s="106" t="s">
        <v>23</v>
      </c>
      <c r="F93" s="106" t="s">
        <v>65</v>
      </c>
      <c r="G93" s="105"/>
      <c r="H93" s="106" t="s">
        <v>64</v>
      </c>
      <c r="I93" s="106" t="s">
        <v>23</v>
      </c>
      <c r="J93" s="106" t="s">
        <v>65</v>
      </c>
      <c r="K93" s="105"/>
      <c r="L93" s="106" t="s">
        <v>64</v>
      </c>
      <c r="M93" s="106" t="s">
        <v>23</v>
      </c>
      <c r="N93" s="106" t="s">
        <v>65</v>
      </c>
      <c r="O93" s="105"/>
      <c r="P93" s="106" t="s">
        <v>65</v>
      </c>
      <c r="Q93" s="56"/>
    </row>
    <row r="94" spans="2:17" x14ac:dyDescent="0.2">
      <c r="B94" s="56"/>
      <c r="C94" s="56"/>
      <c r="D94" s="56"/>
      <c r="E94" s="56"/>
      <c r="F94" s="56"/>
      <c r="G94" s="56"/>
      <c r="H94" s="56"/>
      <c r="I94" s="56"/>
      <c r="J94" s="56"/>
      <c r="K94" s="56"/>
      <c r="L94" s="56"/>
      <c r="M94" s="56"/>
      <c r="N94" s="56"/>
      <c r="O94" s="56"/>
      <c r="P94" s="56"/>
      <c r="Q94" s="56"/>
    </row>
    <row r="95" spans="2:17" x14ac:dyDescent="0.2">
      <c r="B95" s="57" t="s">
        <v>66</v>
      </c>
      <c r="C95" s="56"/>
      <c r="D95" s="121">
        <f>D19+D38+D57+D76</f>
        <v>604857.50592299621</v>
      </c>
      <c r="E95" s="122">
        <f t="shared" ref="E95:E106" si="22">IF(D95&lt;&gt;0,F95/D95,0)</f>
        <v>5.9175418978437087</v>
      </c>
      <c r="F95" s="110">
        <f>F19+F38+F57+F76</f>
        <v>3579269.633524579</v>
      </c>
      <c r="G95" s="56"/>
      <c r="H95" s="121">
        <f>H19+H38+H57+H76</f>
        <v>423583.04261660716</v>
      </c>
      <c r="I95" s="122">
        <f t="shared" ref="I95:I106" si="23">IF(H95&lt;&gt;0,J95/H95,0)</f>
        <v>0.83270915593930273</v>
      </c>
      <c r="J95" s="110">
        <f>J19+J38+J57+J76</f>
        <v>352721.47788747662</v>
      </c>
      <c r="K95" s="56"/>
      <c r="L95" s="121">
        <f>L19+L38+L57+L76</f>
        <v>641251.12959574768</v>
      </c>
      <c r="M95" s="122">
        <f t="shared" ref="M95:M106" si="24">IF(L95&lt;&gt;0,N95/L95,0)</f>
        <v>3.5201941050472541</v>
      </c>
      <c r="N95" s="110">
        <f>N19+N38+N57+N76</f>
        <v>2257328.4462578436</v>
      </c>
      <c r="O95" s="56"/>
      <c r="P95" s="110">
        <f t="shared" ref="P95:P106" si="25">J95+N95</f>
        <v>2610049.9241453204</v>
      </c>
      <c r="Q95" s="56"/>
    </row>
    <row r="96" spans="2:17" x14ac:dyDescent="0.2">
      <c r="B96" s="57" t="s">
        <v>67</v>
      </c>
      <c r="C96" s="56"/>
      <c r="D96" s="121">
        <f t="shared" ref="D96:D106" si="26">D20+D39+D58+D77</f>
        <v>598908.59868242312</v>
      </c>
      <c r="E96" s="122">
        <f t="shared" si="22"/>
        <v>5.9124831685715407</v>
      </c>
      <c r="F96" s="110">
        <f t="shared" ref="F96:F106" si="27">F20+F39+F58+F77</f>
        <v>3541037.0092225941</v>
      </c>
      <c r="G96" s="56"/>
      <c r="H96" s="121">
        <f t="shared" ref="H96:H106" si="28">H20+H39+H58+H77</f>
        <v>410673.03175151016</v>
      </c>
      <c r="I96" s="122">
        <f t="shared" si="23"/>
        <v>0.84321563598498439</v>
      </c>
      <c r="J96" s="110">
        <f t="shared" ref="J96:J106" si="29">J20+J39+J58+J77</f>
        <v>346285.92165023135</v>
      </c>
      <c r="K96" s="56"/>
      <c r="L96" s="121">
        <f t="shared" ref="L96:L106" si="30">L20+L39+L58+L77</f>
        <v>620217.29011616996</v>
      </c>
      <c r="M96" s="122">
        <f t="shared" si="24"/>
        <v>3.5195592244980589</v>
      </c>
      <c r="N96" s="110">
        <f t="shared" ref="N96:N106" si="31">N20+N39+N58+N77</f>
        <v>2182891.4846215546</v>
      </c>
      <c r="O96" s="56"/>
      <c r="P96" s="110">
        <f t="shared" si="25"/>
        <v>2529177.406271786</v>
      </c>
      <c r="Q96" s="56"/>
    </row>
    <row r="97" spans="2:17" x14ac:dyDescent="0.2">
      <c r="B97" s="57" t="s">
        <v>68</v>
      </c>
      <c r="C97" s="56"/>
      <c r="D97" s="121">
        <f t="shared" si="26"/>
        <v>548971.28001846396</v>
      </c>
      <c r="E97" s="122">
        <f t="shared" si="22"/>
        <v>5.9530120159283006</v>
      </c>
      <c r="F97" s="110">
        <f t="shared" si="27"/>
        <v>3268032.6263494557</v>
      </c>
      <c r="G97" s="56"/>
      <c r="H97" s="121">
        <f t="shared" si="28"/>
        <v>370316.57913492317</v>
      </c>
      <c r="I97" s="122">
        <f t="shared" si="23"/>
        <v>0.85147581408285355</v>
      </c>
      <c r="J97" s="110">
        <f t="shared" si="29"/>
        <v>315315.61068728619</v>
      </c>
      <c r="K97" s="56"/>
      <c r="L97" s="121">
        <f t="shared" si="30"/>
        <v>562193.40115125559</v>
      </c>
      <c r="M97" s="122">
        <f t="shared" si="24"/>
        <v>3.5167697040513524</v>
      </c>
      <c r="N97" s="110">
        <f t="shared" si="31"/>
        <v>1977104.7209863244</v>
      </c>
      <c r="O97" s="56"/>
      <c r="P97" s="110">
        <f t="shared" si="25"/>
        <v>2292420.3316736105</v>
      </c>
      <c r="Q97" s="56"/>
    </row>
    <row r="98" spans="2:17" x14ac:dyDescent="0.2">
      <c r="B98" s="57" t="s">
        <v>69</v>
      </c>
      <c r="C98" s="56"/>
      <c r="D98" s="121">
        <f t="shared" si="26"/>
        <v>512057.98495953111</v>
      </c>
      <c r="E98" s="122">
        <f t="shared" si="22"/>
        <v>5.9786820842386996</v>
      </c>
      <c r="F98" s="110">
        <f t="shared" si="27"/>
        <v>3061431.900768918</v>
      </c>
      <c r="G98" s="56"/>
      <c r="H98" s="121">
        <f t="shared" si="28"/>
        <v>345174.84066280379</v>
      </c>
      <c r="I98" s="122">
        <f t="shared" si="23"/>
        <v>0.85513886119526117</v>
      </c>
      <c r="J98" s="110">
        <f t="shared" si="29"/>
        <v>295172.42015764577</v>
      </c>
      <c r="K98" s="56"/>
      <c r="L98" s="121">
        <f t="shared" si="30"/>
        <v>518734.59527005674</v>
      </c>
      <c r="M98" s="122">
        <f t="shared" si="24"/>
        <v>3.5148320551925427</v>
      </c>
      <c r="N98" s="110">
        <f t="shared" si="31"/>
        <v>1823264.9835925254</v>
      </c>
      <c r="O98" s="56"/>
      <c r="P98" s="110">
        <f t="shared" si="25"/>
        <v>2118437.403750171</v>
      </c>
      <c r="Q98" s="56"/>
    </row>
    <row r="99" spans="2:17" x14ac:dyDescent="0.2">
      <c r="B99" s="57" t="s">
        <v>70</v>
      </c>
      <c r="C99" s="56"/>
      <c r="D99" s="121">
        <f t="shared" si="26"/>
        <v>616342.8542467748</v>
      </c>
      <c r="E99" s="122">
        <f t="shared" si="22"/>
        <v>5.9912475421540634</v>
      </c>
      <c r="F99" s="110">
        <f t="shared" si="27"/>
        <v>3692662.6106302096</v>
      </c>
      <c r="G99" s="56"/>
      <c r="H99" s="121">
        <f t="shared" si="28"/>
        <v>416590.75619923091</v>
      </c>
      <c r="I99" s="122">
        <f t="shared" si="23"/>
        <v>0.87069417055801768</v>
      </c>
      <c r="J99" s="110">
        <f t="shared" si="29"/>
        <v>362723.1429310267</v>
      </c>
      <c r="K99" s="56"/>
      <c r="L99" s="121">
        <f t="shared" si="30"/>
        <v>629992.76105119591</v>
      </c>
      <c r="M99" s="122">
        <f t="shared" si="24"/>
        <v>3.5127685424122914</v>
      </c>
      <c r="N99" s="110">
        <f t="shared" si="31"/>
        <v>2213018.7529681046</v>
      </c>
      <c r="O99" s="56"/>
      <c r="P99" s="110">
        <f t="shared" si="25"/>
        <v>2575741.8958991314</v>
      </c>
      <c r="Q99" s="56"/>
    </row>
    <row r="100" spans="2:17" x14ac:dyDescent="0.2">
      <c r="B100" s="57" t="s">
        <v>71</v>
      </c>
      <c r="C100" s="56"/>
      <c r="D100" s="121">
        <f t="shared" si="26"/>
        <v>739742.33635827573</v>
      </c>
      <c r="E100" s="122">
        <f t="shared" si="22"/>
        <v>5.958595769427907</v>
      </c>
      <c r="F100" s="110">
        <f t="shared" si="27"/>
        <v>4407825.5558911376</v>
      </c>
      <c r="G100" s="56"/>
      <c r="H100" s="121">
        <f t="shared" si="28"/>
        <v>542210.97182933637</v>
      </c>
      <c r="I100" s="122">
        <f t="shared" si="23"/>
        <v>0.86386662528086045</v>
      </c>
      <c r="J100" s="110">
        <f t="shared" si="29"/>
        <v>468397.96242446452</v>
      </c>
      <c r="K100" s="56"/>
      <c r="L100" s="121">
        <f t="shared" si="30"/>
        <v>777220.69666783419</v>
      </c>
      <c r="M100" s="122">
        <f t="shared" si="24"/>
        <v>3.5147707519824851</v>
      </c>
      <c r="N100" s="110">
        <f t="shared" si="31"/>
        <v>2731752.5724835545</v>
      </c>
      <c r="O100" s="56"/>
      <c r="P100" s="110">
        <f t="shared" si="25"/>
        <v>3200150.534908019</v>
      </c>
      <c r="Q100" s="56"/>
    </row>
    <row r="101" spans="2:17" x14ac:dyDescent="0.2">
      <c r="B101" s="57" t="s">
        <v>72</v>
      </c>
      <c r="C101" s="56"/>
      <c r="D101" s="121">
        <f t="shared" si="26"/>
        <v>763599.06560850795</v>
      </c>
      <c r="E101" s="122">
        <f t="shared" si="22"/>
        <v>5.9944946656944724</v>
      </c>
      <c r="F101" s="110">
        <f t="shared" si="27"/>
        <v>4577390.5255194847</v>
      </c>
      <c r="G101" s="56"/>
      <c r="H101" s="121">
        <f t="shared" si="28"/>
        <v>534142.71174645121</v>
      </c>
      <c r="I101" s="122">
        <f t="shared" si="23"/>
        <v>0.87379627983791019</v>
      </c>
      <c r="J101" s="110">
        <f t="shared" si="29"/>
        <v>466731.91442658228</v>
      </c>
      <c r="K101" s="56"/>
      <c r="L101" s="121">
        <f t="shared" si="30"/>
        <v>776299.54943792964</v>
      </c>
      <c r="M101" s="122">
        <f t="shared" si="24"/>
        <v>3.5124468143252106</v>
      </c>
      <c r="N101" s="110">
        <f t="shared" si="31"/>
        <v>2726710.8793853521</v>
      </c>
      <c r="O101" s="56"/>
      <c r="P101" s="110">
        <f t="shared" si="25"/>
        <v>3193442.7938119345</v>
      </c>
      <c r="Q101" s="56"/>
    </row>
    <row r="102" spans="2:17" x14ac:dyDescent="0.2">
      <c r="B102" s="57" t="s">
        <v>73</v>
      </c>
      <c r="C102" s="56"/>
      <c r="D102" s="121">
        <f t="shared" si="26"/>
        <v>779267.91708053672</v>
      </c>
      <c r="E102" s="122">
        <f t="shared" si="22"/>
        <v>5.9644977832776487</v>
      </c>
      <c r="F102" s="110">
        <f t="shared" si="27"/>
        <v>4647941.7640062515</v>
      </c>
      <c r="G102" s="56"/>
      <c r="H102" s="121">
        <f t="shared" si="28"/>
        <v>519003.07890737581</v>
      </c>
      <c r="I102" s="122">
        <f t="shared" si="23"/>
        <v>0.87346042337119079</v>
      </c>
      <c r="J102" s="110">
        <f t="shared" si="29"/>
        <v>453328.64903338801</v>
      </c>
      <c r="K102" s="56"/>
      <c r="L102" s="121">
        <f t="shared" si="30"/>
        <v>800028.96463619056</v>
      </c>
      <c r="M102" s="122">
        <f t="shared" si="24"/>
        <v>3.515248955868552</v>
      </c>
      <c r="N102" s="110">
        <f t="shared" si="31"/>
        <v>2812300.9826019676</v>
      </c>
      <c r="O102" s="56"/>
      <c r="P102" s="110">
        <f t="shared" si="25"/>
        <v>3265629.6316353558</v>
      </c>
      <c r="Q102" s="56"/>
    </row>
    <row r="103" spans="2:17" x14ac:dyDescent="0.2">
      <c r="B103" s="57" t="s">
        <v>74</v>
      </c>
      <c r="C103" s="56"/>
      <c r="D103" s="121">
        <f t="shared" si="26"/>
        <v>665805.26796861738</v>
      </c>
      <c r="E103" s="122">
        <f t="shared" si="22"/>
        <v>5.9750937138691569</v>
      </c>
      <c r="F103" s="110">
        <f t="shared" si="27"/>
        <v>3978248.8713002549</v>
      </c>
      <c r="G103" s="56"/>
      <c r="H103" s="121">
        <f t="shared" si="28"/>
        <v>434356.3524659035</v>
      </c>
      <c r="I103" s="122">
        <f t="shared" si="23"/>
        <v>0.86913169456184114</v>
      </c>
      <c r="J103" s="110">
        <f t="shared" si="29"/>
        <v>377512.87266239105</v>
      </c>
      <c r="K103" s="56"/>
      <c r="L103" s="121">
        <f t="shared" si="30"/>
        <v>668303.98008628155</v>
      </c>
      <c r="M103" s="122">
        <f t="shared" si="24"/>
        <v>3.5149373073231862</v>
      </c>
      <c r="N103" s="110">
        <f t="shared" si="31"/>
        <v>2349046.5922378427</v>
      </c>
      <c r="O103" s="56"/>
      <c r="P103" s="110">
        <f t="shared" si="25"/>
        <v>2726559.4649002338</v>
      </c>
      <c r="Q103" s="56"/>
    </row>
    <row r="104" spans="2:17" x14ac:dyDescent="0.2">
      <c r="B104" s="57" t="s">
        <v>75</v>
      </c>
      <c r="C104" s="56"/>
      <c r="D104" s="121">
        <f t="shared" si="26"/>
        <v>551618.78487908479</v>
      </c>
      <c r="E104" s="122">
        <f t="shared" si="22"/>
        <v>5.9680420720174956</v>
      </c>
      <c r="F104" s="110">
        <f t="shared" si="27"/>
        <v>3292084.1158735463</v>
      </c>
      <c r="G104" s="56"/>
      <c r="H104" s="121">
        <f t="shared" si="28"/>
        <v>414059.51233489875</v>
      </c>
      <c r="I104" s="122">
        <f t="shared" si="23"/>
        <v>0.88497589691901846</v>
      </c>
      <c r="J104" s="110">
        <f t="shared" si="29"/>
        <v>366432.68830642843</v>
      </c>
      <c r="K104" s="56"/>
      <c r="L104" s="121">
        <f t="shared" si="30"/>
        <v>569668.32023842051</v>
      </c>
      <c r="M104" s="122">
        <f t="shared" si="24"/>
        <v>3.5146905175124172</v>
      </c>
      <c r="N104" s="110">
        <f t="shared" si="31"/>
        <v>2002207.8432692036</v>
      </c>
      <c r="O104" s="56"/>
      <c r="P104" s="110">
        <f t="shared" si="25"/>
        <v>2368640.5315756318</v>
      </c>
      <c r="Q104" s="56"/>
    </row>
    <row r="105" spans="2:17" x14ac:dyDescent="0.2">
      <c r="B105" s="57" t="s">
        <v>76</v>
      </c>
      <c r="C105" s="56"/>
      <c r="D105" s="121">
        <f t="shared" si="26"/>
        <v>559733.37995698303</v>
      </c>
      <c r="E105" s="122">
        <f t="shared" si="22"/>
        <v>5.9367221607409943</v>
      </c>
      <c r="F105" s="110">
        <f t="shared" si="27"/>
        <v>3322981.5608970802</v>
      </c>
      <c r="G105" s="56"/>
      <c r="H105" s="121">
        <f t="shared" si="28"/>
        <v>378872.11479840404</v>
      </c>
      <c r="I105" s="122">
        <f t="shared" si="23"/>
        <v>0.85478294629663376</v>
      </c>
      <c r="J105" s="110">
        <f t="shared" si="29"/>
        <v>323853.42255701625</v>
      </c>
      <c r="K105" s="56"/>
      <c r="L105" s="121">
        <f t="shared" si="30"/>
        <v>544360.08531164122</v>
      </c>
      <c r="M105" s="122">
        <f t="shared" si="24"/>
        <v>3.5205888684283835</v>
      </c>
      <c r="N105" s="110">
        <f t="shared" si="31"/>
        <v>1916468.0567648893</v>
      </c>
      <c r="O105" s="56"/>
      <c r="P105" s="110">
        <f t="shared" si="25"/>
        <v>2240321.4793219054</v>
      </c>
      <c r="Q105" s="56"/>
    </row>
    <row r="106" spans="2:17" x14ac:dyDescent="0.2">
      <c r="B106" s="57" t="s">
        <v>77</v>
      </c>
      <c r="C106" s="56"/>
      <c r="D106" s="121">
        <f t="shared" si="26"/>
        <v>594625.52391997422</v>
      </c>
      <c r="E106" s="122">
        <f t="shared" si="22"/>
        <v>5.9512679922641709</v>
      </c>
      <c r="F106" s="110">
        <f t="shared" si="27"/>
        <v>3538775.8478882555</v>
      </c>
      <c r="G106" s="56"/>
      <c r="H106" s="121">
        <f t="shared" si="28"/>
        <v>437106.50330058171</v>
      </c>
      <c r="I106" s="122">
        <f t="shared" si="23"/>
        <v>0.86494831397454186</v>
      </c>
      <c r="J106" s="110">
        <f t="shared" si="29"/>
        <v>378074.53305714566</v>
      </c>
      <c r="K106" s="56"/>
      <c r="L106" s="121">
        <f t="shared" si="30"/>
        <v>599840.2552036813</v>
      </c>
      <c r="M106" s="122">
        <f t="shared" si="24"/>
        <v>3.51787546694477</v>
      </c>
      <c r="N106" s="110">
        <f t="shared" si="31"/>
        <v>2110163.3178669205</v>
      </c>
      <c r="O106" s="56"/>
      <c r="P106" s="110">
        <f t="shared" si="25"/>
        <v>2488237.8509240663</v>
      </c>
      <c r="Q106" s="56"/>
    </row>
    <row r="107" spans="2:17" x14ac:dyDescent="0.2">
      <c r="B107" s="56"/>
      <c r="C107" s="56"/>
      <c r="D107" s="56"/>
      <c r="E107" s="56"/>
      <c r="F107" s="56"/>
      <c r="G107" s="56"/>
      <c r="H107" s="56"/>
      <c r="I107" s="56"/>
      <c r="J107" s="56"/>
      <c r="K107" s="56"/>
      <c r="L107" s="56"/>
      <c r="M107" s="56"/>
      <c r="N107" s="56"/>
      <c r="O107" s="56"/>
      <c r="P107" s="110"/>
      <c r="Q107" s="56"/>
    </row>
    <row r="108" spans="2:17" ht="13.5" thickBot="1" x14ac:dyDescent="0.25">
      <c r="B108" s="104" t="s">
        <v>5</v>
      </c>
      <c r="C108" s="56"/>
      <c r="D108" s="111">
        <f>SUM(D95:D106)</f>
        <v>7535530.4996021688</v>
      </c>
      <c r="E108" s="112">
        <f>IF(D108&lt;&gt;0,F108/D108,0)</f>
        <v>5.9594585974063312</v>
      </c>
      <c r="F108" s="113">
        <f>SUM(F95:F106)</f>
        <v>44907682.021871768</v>
      </c>
      <c r="G108" s="56"/>
      <c r="H108" s="111">
        <f>SUM(H95:H106)</f>
        <v>5226089.4957480272</v>
      </c>
      <c r="I108" s="112">
        <f>IF(H108&lt;&gt;0,J108/H108,0)</f>
        <v>0.86231791848333927</v>
      </c>
      <c r="J108" s="113">
        <f>SUM(J95:J106)</f>
        <v>4506550.6157810828</v>
      </c>
      <c r="K108" s="56"/>
      <c r="L108" s="111">
        <f>SUM(L95:L106)</f>
        <v>7708111.0287664058</v>
      </c>
      <c r="M108" s="112">
        <f>IF(L108&lt;&gt;0,N108/L108,0)</f>
        <v>3.5160700892723757</v>
      </c>
      <c r="N108" s="113">
        <f>SUM(N95:N106)</f>
        <v>27102258.633036081</v>
      </c>
      <c r="O108" s="56"/>
      <c r="P108" s="113">
        <f>SUM(P95:P106)</f>
        <v>31608809.248817168</v>
      </c>
      <c r="Q108" s="56"/>
    </row>
    <row r="109" spans="2:17" x14ac:dyDescent="0.2">
      <c r="P109" s="110"/>
    </row>
    <row r="110" spans="2:17" x14ac:dyDescent="0.2">
      <c r="M110" s="123"/>
      <c r="N110" s="124" t="s">
        <v>82</v>
      </c>
      <c r="P110" s="125">
        <v>0</v>
      </c>
    </row>
    <row r="112" spans="2:17" ht="13.5" thickBot="1" x14ac:dyDescent="0.25">
      <c r="N112" s="126" t="s">
        <v>83</v>
      </c>
      <c r="P112" s="113">
        <f>P108+P110</f>
        <v>31608809.248817168</v>
      </c>
    </row>
  </sheetData>
  <mergeCells count="19">
    <mergeCell ref="B13:P13"/>
    <mergeCell ref="D16:F16"/>
    <mergeCell ref="H16:J16"/>
    <mergeCell ref="L16:N16"/>
    <mergeCell ref="D34:F34"/>
    <mergeCell ref="H34:J34"/>
    <mergeCell ref="L34:N34"/>
    <mergeCell ref="D53:F53"/>
    <mergeCell ref="H53:J53"/>
    <mergeCell ref="L53:N53"/>
    <mergeCell ref="D72:F72"/>
    <mergeCell ref="H72:J72"/>
    <mergeCell ref="L72:N72"/>
    <mergeCell ref="D91:F91"/>
    <mergeCell ref="H91:J91"/>
    <mergeCell ref="L91:N91"/>
    <mergeCell ref="D92:F92"/>
    <mergeCell ref="H92:J92"/>
    <mergeCell ref="L92:N9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92DD-747F-4D05-BBCD-C6AC5388EE78}">
  <dimension ref="A13:Q113"/>
  <sheetViews>
    <sheetView topLeftCell="B26" workbookViewId="0">
      <selection activeCell="D20" sqref="D20"/>
    </sheetView>
  </sheetViews>
  <sheetFormatPr defaultColWidth="9.28515625" defaultRowHeight="12.75" x14ac:dyDescent="0.2"/>
  <cols>
    <col min="1" max="1" width="11.7109375" style="31" hidden="1" customWidth="1"/>
    <col min="2" max="2" width="30.28515625" style="31" customWidth="1"/>
    <col min="3" max="3" width="3.7109375" style="31" customWidth="1"/>
    <col min="4" max="4" width="13.7109375" style="31" customWidth="1"/>
    <col min="5" max="5" width="15.28515625" style="31" customWidth="1"/>
    <col min="6" max="6" width="13.7109375" style="31" customWidth="1"/>
    <col min="7" max="7" width="2.7109375" style="31" customWidth="1"/>
    <col min="8" max="8" width="13.7109375" style="31" customWidth="1"/>
    <col min="9" max="9" width="10.28515625" style="31" bestFit="1" customWidth="1"/>
    <col min="10" max="10" width="13.7109375" style="31" customWidth="1"/>
    <col min="11" max="11" width="3.28515625" style="31" customWidth="1"/>
    <col min="12" max="12" width="13.7109375" style="31" customWidth="1"/>
    <col min="13" max="13" width="9.42578125" style="31" bestFit="1" customWidth="1"/>
    <col min="14" max="14" width="13.7109375" style="31" customWidth="1"/>
    <col min="15" max="15" width="3.7109375" style="31" customWidth="1"/>
    <col min="16" max="16" width="18.28515625" style="31" customWidth="1"/>
    <col min="17" max="16384" width="9.28515625" style="31"/>
  </cols>
  <sheetData>
    <row r="13" spans="2:17" ht="18.75" customHeight="1" x14ac:dyDescent="0.25">
      <c r="B13" s="271" t="s">
        <v>84</v>
      </c>
      <c r="C13" s="270"/>
      <c r="D13" s="270"/>
      <c r="E13" s="270"/>
      <c r="F13" s="270"/>
      <c r="G13" s="270"/>
      <c r="H13" s="270"/>
      <c r="I13" s="270"/>
      <c r="J13" s="270"/>
      <c r="K13" s="270"/>
      <c r="L13" s="270"/>
      <c r="M13" s="270"/>
      <c r="N13" s="270"/>
      <c r="O13" s="270"/>
      <c r="P13" s="270"/>
    </row>
    <row r="16" spans="2:17" x14ac:dyDescent="0.2">
      <c r="B16" s="101" t="s">
        <v>61</v>
      </c>
      <c r="C16" s="102"/>
      <c r="D16" s="267" t="s">
        <v>2</v>
      </c>
      <c r="E16" s="267"/>
      <c r="F16" s="267"/>
      <c r="G16" s="102"/>
      <c r="H16" s="267" t="s">
        <v>3</v>
      </c>
      <c r="I16" s="267"/>
      <c r="J16" s="267"/>
      <c r="K16" s="102"/>
      <c r="L16" s="267" t="s">
        <v>4</v>
      </c>
      <c r="M16" s="267"/>
      <c r="N16" s="267"/>
      <c r="O16" s="102"/>
      <c r="P16" s="101" t="s">
        <v>62</v>
      </c>
      <c r="Q16" s="56"/>
    </row>
    <row r="17" spans="2:17" ht="15.75" x14ac:dyDescent="0.25">
      <c r="B17" s="56"/>
      <c r="C17" s="56"/>
      <c r="D17" s="268"/>
      <c r="E17" s="268"/>
      <c r="F17" s="268"/>
      <c r="G17" s="56"/>
      <c r="H17" s="268"/>
      <c r="I17" s="268"/>
      <c r="J17" s="268"/>
      <c r="K17" s="56"/>
      <c r="L17" s="268"/>
      <c r="M17" s="268"/>
      <c r="N17" s="268"/>
      <c r="O17" s="56"/>
      <c r="P17" s="120"/>
      <c r="Q17" s="103"/>
    </row>
    <row r="18" spans="2:17" x14ac:dyDescent="0.2">
      <c r="B18" s="104" t="s">
        <v>63</v>
      </c>
      <c r="C18" s="56"/>
      <c r="D18" s="120" t="s">
        <v>64</v>
      </c>
      <c r="E18" s="120" t="s">
        <v>23</v>
      </c>
      <c r="F18" s="120" t="s">
        <v>65</v>
      </c>
      <c r="G18" s="56"/>
      <c r="H18" s="120" t="s">
        <v>64</v>
      </c>
      <c r="I18" s="120" t="s">
        <v>23</v>
      </c>
      <c r="J18" s="120" t="s">
        <v>65</v>
      </c>
      <c r="K18" s="56"/>
      <c r="L18" s="120" t="s">
        <v>64</v>
      </c>
      <c r="M18" s="120" t="s">
        <v>23</v>
      </c>
      <c r="N18" s="120" t="s">
        <v>65</v>
      </c>
      <c r="O18" s="56"/>
      <c r="P18" s="120" t="s">
        <v>65</v>
      </c>
      <c r="Q18" s="56"/>
    </row>
    <row r="19" spans="2:17" x14ac:dyDescent="0.2">
      <c r="B19" s="56"/>
      <c r="C19" s="56"/>
      <c r="D19" s="56"/>
      <c r="E19" s="56"/>
      <c r="F19" s="56"/>
      <c r="G19" s="56"/>
      <c r="H19" s="56"/>
      <c r="I19" s="56"/>
      <c r="J19" s="56"/>
      <c r="K19" s="56"/>
      <c r="L19" s="56"/>
      <c r="M19" s="56"/>
      <c r="N19" s="56"/>
      <c r="O19" s="56"/>
      <c r="P19" s="56"/>
      <c r="Q19" s="56"/>
    </row>
    <row r="20" spans="2:17" x14ac:dyDescent="0.2">
      <c r="B20" s="57" t="s">
        <v>66</v>
      </c>
      <c r="C20" s="56"/>
      <c r="D20" s="127">
        <v>335325.77819161181</v>
      </c>
      <c r="E20" s="122">
        <f>'4. UTRs &amp; Sub-Transmission'!M22</f>
        <v>6.7761775321957245</v>
      </c>
      <c r="F20" s="128">
        <f>D20*E20</f>
        <v>2272227.004148047</v>
      </c>
      <c r="G20" s="56"/>
      <c r="H20" s="127">
        <v>173512.15078319362</v>
      </c>
      <c r="I20" s="122">
        <f>'4. UTRs &amp; Sub-Transmission'!M24</f>
        <v>1.0844207510896613</v>
      </c>
      <c r="J20" s="128">
        <f>H20*I20</f>
        <v>188160.17687549337</v>
      </c>
      <c r="K20" s="56"/>
      <c r="L20" s="127">
        <v>357272.46897629736</v>
      </c>
      <c r="M20" s="122">
        <f>'4. UTRs &amp; Sub-Transmission'!M26</f>
        <v>3.668275155099344</v>
      </c>
      <c r="N20" s="128">
        <f>L20*M20</f>
        <v>1310573.7215467528</v>
      </c>
      <c r="O20" s="56"/>
      <c r="P20" s="110">
        <f t="shared" ref="P20:P31" si="0">J20+N20</f>
        <v>1498733.8984222463</v>
      </c>
      <c r="Q20" s="56"/>
    </row>
    <row r="21" spans="2:17" x14ac:dyDescent="0.2">
      <c r="B21" s="57" t="s">
        <v>67</v>
      </c>
      <c r="C21" s="56"/>
      <c r="D21" s="127">
        <v>329022.0571389214</v>
      </c>
      <c r="E21" s="122">
        <f>E20</f>
        <v>6.7761775321957245</v>
      </c>
      <c r="F21" s="128">
        <f t="shared" ref="F21:F31" si="1">D21*E21</f>
        <v>2229511.871181577</v>
      </c>
      <c r="G21" s="56"/>
      <c r="H21" s="127">
        <v>182237.11826298662</v>
      </c>
      <c r="I21" s="122">
        <f>I20</f>
        <v>1.0844207510896613</v>
      </c>
      <c r="J21" s="128">
        <f t="shared" ref="J21:J31" si="2">H21*I21</f>
        <v>197621.71266316337</v>
      </c>
      <c r="K21" s="56"/>
      <c r="L21" s="127">
        <v>349573.84035020217</v>
      </c>
      <c r="M21" s="122">
        <f>M20</f>
        <v>3.668275155099344</v>
      </c>
      <c r="N21" s="128">
        <f t="shared" ref="N21:N31" si="3">L21*M21</f>
        <v>1282333.0334293111</v>
      </c>
      <c r="O21" s="56"/>
      <c r="P21" s="110">
        <f t="shared" si="0"/>
        <v>1479954.7460924746</v>
      </c>
      <c r="Q21" s="56"/>
    </row>
    <row r="22" spans="2:17" x14ac:dyDescent="0.2">
      <c r="B22" s="57" t="s">
        <v>68</v>
      </c>
      <c r="C22" s="56"/>
      <c r="D22" s="127">
        <v>323660.95874105737</v>
      </c>
      <c r="E22" s="122">
        <f>E21</f>
        <v>6.7761775321957245</v>
      </c>
      <c r="F22" s="128">
        <f t="shared" si="1"/>
        <v>2193184.1166700805</v>
      </c>
      <c r="G22" s="56"/>
      <c r="H22" s="127">
        <v>174263.4221263135</v>
      </c>
      <c r="I22" s="122">
        <f t="shared" ref="I22:I31" si="4">I21</f>
        <v>1.0844207510896613</v>
      </c>
      <c r="J22" s="128">
        <f t="shared" si="2"/>
        <v>188974.87110967157</v>
      </c>
      <c r="K22" s="56"/>
      <c r="L22" s="127">
        <v>332881.70007390779</v>
      </c>
      <c r="M22" s="122">
        <f t="shared" ref="M22:M31" si="5">M21</f>
        <v>3.668275155099344</v>
      </c>
      <c r="N22" s="128">
        <f t="shared" si="3"/>
        <v>1221101.6699683473</v>
      </c>
      <c r="O22" s="56"/>
      <c r="P22" s="110">
        <f t="shared" si="0"/>
        <v>1410076.541078019</v>
      </c>
      <c r="Q22" s="56"/>
    </row>
    <row r="23" spans="2:17" x14ac:dyDescent="0.2">
      <c r="B23" s="57" t="s">
        <v>69</v>
      </c>
      <c r="C23" s="56"/>
      <c r="D23" s="127">
        <v>314938.16570798826</v>
      </c>
      <c r="E23" s="122">
        <f t="shared" ref="E23:E31" si="6">E22</f>
        <v>6.7761775321957245</v>
      </c>
      <c r="F23" s="128">
        <f t="shared" si="1"/>
        <v>2134076.9225014038</v>
      </c>
      <c r="G23" s="56"/>
      <c r="H23" s="127">
        <v>166538.70013953099</v>
      </c>
      <c r="I23" s="122">
        <f t="shared" si="4"/>
        <v>1.0844207510896613</v>
      </c>
      <c r="J23" s="128">
        <f t="shared" si="2"/>
        <v>180598.02229080608</v>
      </c>
      <c r="K23" s="56"/>
      <c r="L23" s="127">
        <v>317411.59885646537</v>
      </c>
      <c r="M23" s="122">
        <f t="shared" si="5"/>
        <v>3.668275155099344</v>
      </c>
      <c r="N23" s="128">
        <f t="shared" si="3"/>
        <v>1164353.0820255312</v>
      </c>
      <c r="O23" s="56"/>
      <c r="P23" s="110">
        <f t="shared" si="0"/>
        <v>1344951.1043163373</v>
      </c>
      <c r="Q23" s="56"/>
    </row>
    <row r="24" spans="2:17" x14ac:dyDescent="0.2">
      <c r="B24" s="57" t="s">
        <v>70</v>
      </c>
      <c r="C24" s="56"/>
      <c r="D24" s="127">
        <v>386761.2282229549</v>
      </c>
      <c r="E24" s="122">
        <f t="shared" si="6"/>
        <v>6.7761775321957245</v>
      </c>
      <c r="F24" s="128">
        <f t="shared" si="1"/>
        <v>2620762.74500881</v>
      </c>
      <c r="G24" s="56"/>
      <c r="H24" s="127">
        <v>222041.45276799629</v>
      </c>
      <c r="I24" s="122">
        <f t="shared" si="4"/>
        <v>1.0844207510896613</v>
      </c>
      <c r="J24" s="128">
        <f t="shared" si="2"/>
        <v>240786.35898371009</v>
      </c>
      <c r="K24" s="56"/>
      <c r="L24" s="127">
        <v>398763.08691571938</v>
      </c>
      <c r="M24" s="122">
        <f t="shared" si="5"/>
        <v>3.668275155099344</v>
      </c>
      <c r="N24" s="128">
        <f t="shared" si="3"/>
        <v>1462772.7245036536</v>
      </c>
      <c r="O24" s="56"/>
      <c r="P24" s="110">
        <f t="shared" si="0"/>
        <v>1703559.0834873638</v>
      </c>
      <c r="Q24" s="56"/>
    </row>
    <row r="25" spans="2:17" x14ac:dyDescent="0.2">
      <c r="B25" s="57" t="s">
        <v>71</v>
      </c>
      <c r="C25" s="56"/>
      <c r="D25" s="127">
        <v>440233.04761126399</v>
      </c>
      <c r="E25" s="122">
        <f t="shared" si="6"/>
        <v>6.7761775321957245</v>
      </c>
      <c r="F25" s="128">
        <f t="shared" si="1"/>
        <v>2983097.2861534976</v>
      </c>
      <c r="G25" s="56"/>
      <c r="H25" s="127">
        <v>276973.41313142842</v>
      </c>
      <c r="I25" s="122">
        <f t="shared" si="4"/>
        <v>1.0844207510896613</v>
      </c>
      <c r="J25" s="128">
        <f t="shared" si="2"/>
        <v>300355.71669985069</v>
      </c>
      <c r="K25" s="56"/>
      <c r="L25" s="127">
        <v>476064.66795164265</v>
      </c>
      <c r="M25" s="122">
        <f t="shared" si="5"/>
        <v>3.668275155099344</v>
      </c>
      <c r="N25" s="128">
        <f t="shared" si="3"/>
        <v>1746336.1936676297</v>
      </c>
      <c r="O25" s="56"/>
      <c r="P25" s="110">
        <f t="shared" si="0"/>
        <v>2046691.9103674805</v>
      </c>
      <c r="Q25" s="56"/>
    </row>
    <row r="26" spans="2:17" x14ac:dyDescent="0.2">
      <c r="B26" s="57" t="s">
        <v>72</v>
      </c>
      <c r="C26" s="56"/>
      <c r="D26" s="127">
        <v>481625.81544810889</v>
      </c>
      <c r="E26" s="122">
        <f t="shared" si="6"/>
        <v>6.7761775321957245</v>
      </c>
      <c r="F26" s="128">
        <f t="shared" si="1"/>
        <v>3263582.0295649199</v>
      </c>
      <c r="G26" s="56"/>
      <c r="H26" s="127">
        <v>290077.71631322848</v>
      </c>
      <c r="I26" s="122">
        <f t="shared" si="4"/>
        <v>1.0844207510896613</v>
      </c>
      <c r="J26" s="128">
        <f t="shared" si="2"/>
        <v>314566.29499876493</v>
      </c>
      <c r="K26" s="56"/>
      <c r="L26" s="127">
        <v>493920.1372252428</v>
      </c>
      <c r="M26" s="122">
        <f t="shared" si="5"/>
        <v>3.668275155099344</v>
      </c>
      <c r="N26" s="128">
        <f t="shared" si="3"/>
        <v>1811834.9679866168</v>
      </c>
      <c r="O26" s="56"/>
      <c r="P26" s="110">
        <f t="shared" si="0"/>
        <v>2126401.2629853818</v>
      </c>
      <c r="Q26" s="56"/>
    </row>
    <row r="27" spans="2:17" x14ac:dyDescent="0.2">
      <c r="B27" s="57" t="s">
        <v>73</v>
      </c>
      <c r="C27" s="56"/>
      <c r="D27" s="127">
        <v>468318.20149762084</v>
      </c>
      <c r="E27" s="122">
        <f t="shared" si="6"/>
        <v>6.7761775321957245</v>
      </c>
      <c r="F27" s="128">
        <f t="shared" si="1"/>
        <v>3173407.2749064886</v>
      </c>
      <c r="G27" s="56"/>
      <c r="H27" s="127">
        <v>281289.68987844128</v>
      </c>
      <c r="I27" s="122">
        <f t="shared" si="4"/>
        <v>1.0844207510896613</v>
      </c>
      <c r="J27" s="128">
        <f t="shared" si="2"/>
        <v>305036.3767717572</v>
      </c>
      <c r="K27" s="56"/>
      <c r="L27" s="127">
        <v>486129.09461338021</v>
      </c>
      <c r="M27" s="122">
        <f t="shared" si="5"/>
        <v>3.668275155099344</v>
      </c>
      <c r="N27" s="128">
        <f t="shared" si="3"/>
        <v>1783255.279941201</v>
      </c>
      <c r="O27" s="56"/>
      <c r="P27" s="110">
        <f t="shared" si="0"/>
        <v>2088291.6567129581</v>
      </c>
      <c r="Q27" s="56"/>
    </row>
    <row r="28" spans="2:17" x14ac:dyDescent="0.2">
      <c r="B28" s="57" t="s">
        <v>74</v>
      </c>
      <c r="C28" s="56"/>
      <c r="D28" s="127">
        <v>407129.27068606298</v>
      </c>
      <c r="E28" s="122">
        <f t="shared" si="6"/>
        <v>6.7761775321957245</v>
      </c>
      <c r="F28" s="128">
        <f t="shared" si="1"/>
        <v>2758780.2167221312</v>
      </c>
      <c r="G28" s="56"/>
      <c r="H28" s="127">
        <v>229306.27927266632</v>
      </c>
      <c r="I28" s="122">
        <f t="shared" si="4"/>
        <v>1.0844207510896613</v>
      </c>
      <c r="J28" s="128">
        <f t="shared" si="2"/>
        <v>248664.48759844044</v>
      </c>
      <c r="K28" s="56"/>
      <c r="L28" s="127">
        <v>408214.31960130704</v>
      </c>
      <c r="M28" s="122">
        <f t="shared" si="5"/>
        <v>3.668275155099344</v>
      </c>
      <c r="N28" s="128">
        <f t="shared" si="3"/>
        <v>1497442.4465492577</v>
      </c>
      <c r="O28" s="56"/>
      <c r="P28" s="110">
        <f t="shared" si="0"/>
        <v>1746106.9341476981</v>
      </c>
      <c r="Q28" s="56"/>
    </row>
    <row r="29" spans="2:17" x14ac:dyDescent="0.2">
      <c r="B29" s="57" t="s">
        <v>75</v>
      </c>
      <c r="C29" s="56"/>
      <c r="D29" s="127">
        <v>333447.05622213113</v>
      </c>
      <c r="E29" s="122">
        <f t="shared" si="6"/>
        <v>6.7761775321957245</v>
      </c>
      <c r="F29" s="128">
        <f t="shared" si="1"/>
        <v>2259496.4505492095</v>
      </c>
      <c r="G29" s="56"/>
      <c r="H29" s="127">
        <v>239898.00926495838</v>
      </c>
      <c r="I29" s="122">
        <f t="shared" si="4"/>
        <v>1.0844207510896613</v>
      </c>
      <c r="J29" s="128">
        <f t="shared" si="2"/>
        <v>260150.3793920207</v>
      </c>
      <c r="K29" s="56"/>
      <c r="L29" s="127">
        <v>349400.97183564928</v>
      </c>
      <c r="M29" s="122">
        <f t="shared" si="5"/>
        <v>3.668275155099344</v>
      </c>
      <c r="N29" s="128">
        <f t="shared" si="3"/>
        <v>1281698.9041522779</v>
      </c>
      <c r="O29" s="56"/>
      <c r="P29" s="110">
        <f t="shared" si="0"/>
        <v>1541849.2835442985</v>
      </c>
      <c r="Q29" s="56"/>
    </row>
    <row r="30" spans="2:17" x14ac:dyDescent="0.2">
      <c r="B30" s="57" t="s">
        <v>76</v>
      </c>
      <c r="C30" s="56"/>
      <c r="D30" s="127">
        <v>320960.29590992891</v>
      </c>
      <c r="E30" s="122">
        <f t="shared" si="6"/>
        <v>6.7761775321957245</v>
      </c>
      <c r="F30" s="128">
        <f t="shared" si="1"/>
        <v>2174883.9458717518</v>
      </c>
      <c r="G30" s="56"/>
      <c r="H30" s="127">
        <v>182358.88727952706</v>
      </c>
      <c r="I30" s="122">
        <f t="shared" si="4"/>
        <v>1.0844207510896613</v>
      </c>
      <c r="J30" s="128">
        <f t="shared" si="2"/>
        <v>197753.7615115396</v>
      </c>
      <c r="K30" s="56"/>
      <c r="L30" s="127">
        <v>301095.63786341192</v>
      </c>
      <c r="M30" s="122">
        <f t="shared" si="5"/>
        <v>3.668275155099344</v>
      </c>
      <c r="N30" s="128">
        <f t="shared" si="3"/>
        <v>1104501.6476831432</v>
      </c>
      <c r="O30" s="56"/>
      <c r="P30" s="110">
        <f t="shared" si="0"/>
        <v>1302255.4091946827</v>
      </c>
      <c r="Q30" s="56"/>
    </row>
    <row r="31" spans="2:17" x14ac:dyDescent="0.2">
      <c r="B31" s="57" t="s">
        <v>77</v>
      </c>
      <c r="C31" s="56"/>
      <c r="D31" s="127">
        <v>349548.83421287686</v>
      </c>
      <c r="E31" s="122">
        <f t="shared" si="6"/>
        <v>6.7761775321957245</v>
      </c>
      <c r="F31" s="128">
        <f t="shared" si="1"/>
        <v>2368604.9567985041</v>
      </c>
      <c r="G31" s="56"/>
      <c r="H31" s="127">
        <v>224819.30845782449</v>
      </c>
      <c r="I31" s="122">
        <f t="shared" si="4"/>
        <v>1.0844207510896613</v>
      </c>
      <c r="J31" s="128">
        <f t="shared" si="2"/>
        <v>243798.72333729226</v>
      </c>
      <c r="K31" s="56"/>
      <c r="L31" s="127">
        <v>348400.72634263866</v>
      </c>
      <c r="M31" s="122">
        <f t="shared" si="5"/>
        <v>3.668275155099344</v>
      </c>
      <c r="N31" s="128">
        <f t="shared" si="3"/>
        <v>1278029.728461267</v>
      </c>
      <c r="O31" s="56"/>
      <c r="P31" s="110">
        <f t="shared" si="0"/>
        <v>1521828.4517985592</v>
      </c>
      <c r="Q31" s="56"/>
    </row>
    <row r="32" spans="2:17" x14ac:dyDescent="0.2">
      <c r="B32" s="56"/>
      <c r="C32" s="56"/>
      <c r="D32" s="56"/>
      <c r="E32" s="56"/>
      <c r="F32" s="56"/>
      <c r="G32" s="56"/>
      <c r="H32" s="56"/>
      <c r="I32" s="56"/>
      <c r="J32" s="56"/>
      <c r="K32" s="56"/>
      <c r="L32" s="56"/>
      <c r="M32" s="56"/>
      <c r="N32" s="56"/>
      <c r="O32" s="56"/>
      <c r="P32" s="56"/>
      <c r="Q32" s="56"/>
    </row>
    <row r="33" spans="2:17" ht="13.5" thickBot="1" x14ac:dyDescent="0.25">
      <c r="B33" s="104" t="s">
        <v>5</v>
      </c>
      <c r="C33" s="56"/>
      <c r="D33" s="111">
        <f>SUM(D20:D31)</f>
        <v>4490970.7095905282</v>
      </c>
      <c r="E33" s="112">
        <f>IF(D33&lt;&gt;0,F33/D33,0)</f>
        <v>6.7761775321957236</v>
      </c>
      <c r="F33" s="113">
        <f>SUM(F20:F31)</f>
        <v>30431614.820076421</v>
      </c>
      <c r="G33" s="56"/>
      <c r="H33" s="111">
        <f>SUM(H20:H31)</f>
        <v>2643316.1476780958</v>
      </c>
      <c r="I33" s="112">
        <f>IF(H33&lt;&gt;0,J33/H33,0)</f>
        <v>1.0844207510896613</v>
      </c>
      <c r="J33" s="113">
        <f>SUM(J20:J31)</f>
        <v>2866466.8822325105</v>
      </c>
      <c r="K33" s="56"/>
      <c r="L33" s="111">
        <f>SUM(L20:L31)</f>
        <v>4619128.2506058645</v>
      </c>
      <c r="M33" s="112">
        <f>IF(L33&lt;&gt;0,N33/L33,0)</f>
        <v>3.6682751550993435</v>
      </c>
      <c r="N33" s="113">
        <f>SUM(N20:N31)</f>
        <v>16944233.399914987</v>
      </c>
      <c r="O33" s="56"/>
      <c r="P33" s="113">
        <f>SUM(P20:P31)</f>
        <v>19810700.282147501</v>
      </c>
      <c r="Q33" s="56"/>
    </row>
    <row r="34" spans="2:17" x14ac:dyDescent="0.2">
      <c r="B34" s="56"/>
      <c r="C34" s="56"/>
      <c r="D34" s="56"/>
      <c r="E34" s="56"/>
      <c r="F34" s="56"/>
      <c r="G34" s="56"/>
      <c r="H34" s="56"/>
      <c r="I34" s="56"/>
      <c r="J34" s="56"/>
      <c r="K34" s="56"/>
      <c r="L34" s="56"/>
      <c r="M34" s="56"/>
      <c r="N34" s="56"/>
      <c r="O34" s="56"/>
      <c r="P34" s="56"/>
      <c r="Q34" s="56"/>
    </row>
    <row r="35" spans="2:17" x14ac:dyDescent="0.2">
      <c r="B35" s="101" t="s">
        <v>78</v>
      </c>
      <c r="C35" s="102"/>
      <c r="D35" s="267" t="s">
        <v>2</v>
      </c>
      <c r="E35" s="267"/>
      <c r="F35" s="267"/>
      <c r="G35" s="102"/>
      <c r="H35" s="267" t="s">
        <v>3</v>
      </c>
      <c r="I35" s="267"/>
      <c r="J35" s="267"/>
      <c r="K35" s="102"/>
      <c r="L35" s="267" t="s">
        <v>4</v>
      </c>
      <c r="M35" s="267"/>
      <c r="N35" s="267"/>
      <c r="O35" s="102"/>
      <c r="P35" s="101" t="s">
        <v>62</v>
      </c>
      <c r="Q35" s="56"/>
    </row>
    <row r="36" spans="2:17" x14ac:dyDescent="0.2">
      <c r="B36" s="104"/>
      <c r="C36" s="56"/>
      <c r="D36" s="120"/>
      <c r="E36" s="120"/>
      <c r="F36" s="120"/>
      <c r="G36" s="56"/>
      <c r="H36" s="120"/>
      <c r="I36" s="120"/>
      <c r="J36" s="120"/>
      <c r="K36" s="56"/>
      <c r="L36" s="120"/>
      <c r="M36" s="120"/>
      <c r="N36" s="120"/>
      <c r="O36" s="56"/>
      <c r="P36" s="120"/>
      <c r="Q36" s="56"/>
    </row>
    <row r="37" spans="2:17" x14ac:dyDescent="0.2">
      <c r="B37" s="104" t="s">
        <v>63</v>
      </c>
      <c r="C37" s="56"/>
      <c r="D37" s="120" t="s">
        <v>64</v>
      </c>
      <c r="E37" s="120" t="s">
        <v>23</v>
      </c>
      <c r="F37" s="120" t="s">
        <v>65</v>
      </c>
      <c r="G37" s="56"/>
      <c r="H37" s="120" t="s">
        <v>64</v>
      </c>
      <c r="I37" s="120" t="s">
        <v>23</v>
      </c>
      <c r="J37" s="120" t="s">
        <v>65</v>
      </c>
      <c r="K37" s="56"/>
      <c r="L37" s="120" t="s">
        <v>64</v>
      </c>
      <c r="M37" s="120" t="s">
        <v>23</v>
      </c>
      <c r="N37" s="120" t="s">
        <v>65</v>
      </c>
      <c r="O37" s="56"/>
      <c r="P37" s="120" t="s">
        <v>65</v>
      </c>
      <c r="Q37" s="56"/>
    </row>
    <row r="38" spans="2:17" x14ac:dyDescent="0.2">
      <c r="B38" s="56"/>
      <c r="C38" s="56"/>
      <c r="D38" s="56"/>
      <c r="E38" s="56"/>
      <c r="F38" s="56"/>
      <c r="G38" s="56"/>
      <c r="H38" s="56"/>
      <c r="I38" s="56"/>
      <c r="J38" s="56"/>
      <c r="K38" s="56"/>
      <c r="L38" s="56"/>
      <c r="M38" s="56"/>
      <c r="N38" s="56"/>
      <c r="O38" s="56"/>
      <c r="P38" s="56"/>
      <c r="Q38" s="56"/>
    </row>
    <row r="39" spans="2:17" x14ac:dyDescent="0.2">
      <c r="B39" s="57" t="s">
        <v>66</v>
      </c>
      <c r="C39" s="56"/>
      <c r="D39" s="127">
        <v>293549.43795266462</v>
      </c>
      <c r="E39" s="122">
        <f>'4. UTRs &amp; Sub-Transmission'!M35</f>
        <v>5.6677353047941628</v>
      </c>
      <c r="F39" s="128">
        <f>D39*E39</f>
        <v>1663760.5131868008</v>
      </c>
      <c r="G39" s="56"/>
      <c r="H39" s="127">
        <v>266890.54716147186</v>
      </c>
      <c r="I39" s="122">
        <f>'4. UTRs &amp; Sub-Transmission'!M37</f>
        <v>0.74629836089990498</v>
      </c>
      <c r="J39" s="128">
        <f>H39*I39</f>
        <v>199179.97788628523</v>
      </c>
      <c r="K39" s="56"/>
      <c r="L39" s="127">
        <v>309441.49055688671</v>
      </c>
      <c r="M39" s="122">
        <f>'4. UTRs &amp; Sub-Transmission'!M39</f>
        <v>3.7758346094996016</v>
      </c>
      <c r="N39" s="128">
        <f>L39*M39</f>
        <v>1168399.8896598369</v>
      </c>
      <c r="O39" s="56"/>
      <c r="P39" s="110">
        <f t="shared" ref="P39:P50" si="7">J39+N39</f>
        <v>1367579.8675461221</v>
      </c>
      <c r="Q39" s="56"/>
    </row>
    <row r="40" spans="2:17" x14ac:dyDescent="0.2">
      <c r="B40" s="57" t="s">
        <v>67</v>
      </c>
      <c r="C40" s="56"/>
      <c r="D40" s="127">
        <v>293668.03227698809</v>
      </c>
      <c r="E40" s="122">
        <f t="shared" ref="E40:E50" si="8">E39</f>
        <v>5.6677353047941628</v>
      </c>
      <c r="F40" s="128">
        <f t="shared" ref="F40:F50" si="9">D40*E40</f>
        <v>1664432.6744257172</v>
      </c>
      <c r="G40" s="56"/>
      <c r="H40" s="127">
        <v>244742.93749949455</v>
      </c>
      <c r="I40" s="122">
        <f t="shared" ref="I40:I50" si="10">I39</f>
        <v>0.74629836089990498</v>
      </c>
      <c r="J40" s="128">
        <f t="shared" ref="J40:J50" si="11">H40*I40</f>
        <v>182651.25309770068</v>
      </c>
      <c r="K40" s="56"/>
      <c r="L40" s="127">
        <v>295271.06701857451</v>
      </c>
      <c r="M40" s="122">
        <f t="shared" ref="M40:M50" si="12">M39</f>
        <v>3.7758346094996016</v>
      </c>
      <c r="N40" s="128">
        <f t="shared" ref="N40:N50" si="13">L40*M40</f>
        <v>1114894.7140326099</v>
      </c>
      <c r="O40" s="56"/>
      <c r="P40" s="110">
        <f t="shared" si="7"/>
        <v>1297545.9671303106</v>
      </c>
      <c r="Q40" s="56"/>
    </row>
    <row r="41" spans="2:17" x14ac:dyDescent="0.2">
      <c r="B41" s="57" t="s">
        <v>68</v>
      </c>
      <c r="C41" s="56"/>
      <c r="D41" s="127">
        <v>247108.89861864116</v>
      </c>
      <c r="E41" s="122">
        <f t="shared" si="8"/>
        <v>5.6677353047941628</v>
      </c>
      <c r="F41" s="128">
        <f t="shared" si="9"/>
        <v>1400547.8288296741</v>
      </c>
      <c r="G41" s="56"/>
      <c r="H41" s="127">
        <v>210757.70510581165</v>
      </c>
      <c r="I41" s="122">
        <f t="shared" si="10"/>
        <v>0.74629836089990498</v>
      </c>
      <c r="J41" s="128">
        <f t="shared" si="11"/>
        <v>157288.12986749277</v>
      </c>
      <c r="K41" s="56"/>
      <c r="L41" s="127">
        <v>251635.30302482162</v>
      </c>
      <c r="M41" s="122">
        <f t="shared" si="12"/>
        <v>3.7758346094996016</v>
      </c>
      <c r="N41" s="128">
        <f t="shared" si="13"/>
        <v>950133.28613304126</v>
      </c>
      <c r="O41" s="56"/>
      <c r="P41" s="110">
        <f t="shared" si="7"/>
        <v>1107421.4160005341</v>
      </c>
      <c r="Q41" s="56"/>
    </row>
    <row r="42" spans="2:17" x14ac:dyDescent="0.2">
      <c r="B42" s="57" t="s">
        <v>69</v>
      </c>
      <c r="C42" s="56"/>
      <c r="D42" s="127">
        <v>217452.64174083894</v>
      </c>
      <c r="E42" s="122">
        <f t="shared" si="8"/>
        <v>5.6677353047941628</v>
      </c>
      <c r="F42" s="128">
        <f t="shared" si="9"/>
        <v>1232464.0147153097</v>
      </c>
      <c r="G42" s="56"/>
      <c r="H42" s="127">
        <v>192342.35928973247</v>
      </c>
      <c r="I42" s="122">
        <f t="shared" si="10"/>
        <v>0.74629836089990498</v>
      </c>
      <c r="J42" s="128">
        <f t="shared" si="11"/>
        <v>143544.78746954794</v>
      </c>
      <c r="K42" s="56"/>
      <c r="L42" s="127">
        <v>221920.93405832216</v>
      </c>
      <c r="M42" s="122">
        <f t="shared" si="12"/>
        <v>3.7758346094996016</v>
      </c>
      <c r="N42" s="128">
        <f t="shared" si="13"/>
        <v>837936.74338989169</v>
      </c>
      <c r="O42" s="56"/>
      <c r="P42" s="110">
        <f t="shared" si="7"/>
        <v>981481.53085943963</v>
      </c>
      <c r="Q42" s="56"/>
    </row>
    <row r="43" spans="2:17" x14ac:dyDescent="0.2">
      <c r="B43" s="57" t="s">
        <v>70</v>
      </c>
      <c r="C43" s="56"/>
      <c r="D43" s="127">
        <v>254055.39699516058</v>
      </c>
      <c r="E43" s="122">
        <f t="shared" si="8"/>
        <v>5.6677353047941628</v>
      </c>
      <c r="F43" s="128">
        <f t="shared" si="9"/>
        <v>1439918.7429229685</v>
      </c>
      <c r="G43" s="56"/>
      <c r="H43" s="127">
        <v>211091.30872219792</v>
      </c>
      <c r="I43" s="122">
        <f t="shared" si="10"/>
        <v>0.74629836089990498</v>
      </c>
      <c r="J43" s="128">
        <f t="shared" si="11"/>
        <v>157537.09769959212</v>
      </c>
      <c r="K43" s="56"/>
      <c r="L43" s="127">
        <v>256245.45624657444</v>
      </c>
      <c r="M43" s="122">
        <f t="shared" si="12"/>
        <v>3.7758346094996016</v>
      </c>
      <c r="N43" s="128">
        <f t="shared" si="13"/>
        <v>967540.46222283167</v>
      </c>
      <c r="O43" s="56"/>
      <c r="P43" s="110">
        <f t="shared" si="7"/>
        <v>1125077.5599224237</v>
      </c>
      <c r="Q43" s="56"/>
    </row>
    <row r="44" spans="2:17" x14ac:dyDescent="0.2">
      <c r="B44" s="57" t="s">
        <v>71</v>
      </c>
      <c r="C44" s="56"/>
      <c r="D44" s="127">
        <v>328883.01214315934</v>
      </c>
      <c r="E44" s="122">
        <f t="shared" si="8"/>
        <v>5.6677353047941628</v>
      </c>
      <c r="F44" s="128">
        <f t="shared" si="9"/>
        <v>1864021.8590708314</v>
      </c>
      <c r="G44" s="56"/>
      <c r="H44" s="127">
        <v>286767.69740441785</v>
      </c>
      <c r="I44" s="122">
        <f t="shared" si="10"/>
        <v>0.74629836089990498</v>
      </c>
      <c r="J44" s="128">
        <f t="shared" si="11"/>
        <v>214014.26253195698</v>
      </c>
      <c r="K44" s="56"/>
      <c r="L44" s="127">
        <v>332017.94460175873</v>
      </c>
      <c r="M44" s="122">
        <f t="shared" si="12"/>
        <v>3.7758346094996016</v>
      </c>
      <c r="N44" s="128">
        <f t="shared" si="13"/>
        <v>1253644.846202242</v>
      </c>
      <c r="O44" s="56"/>
      <c r="P44" s="110">
        <f t="shared" si="7"/>
        <v>1467659.1087341988</v>
      </c>
      <c r="Q44" s="56"/>
    </row>
    <row r="45" spans="2:17" x14ac:dyDescent="0.2">
      <c r="B45" s="57" t="s">
        <v>72</v>
      </c>
      <c r="C45" s="56"/>
      <c r="D45" s="127">
        <v>312294.27768082177</v>
      </c>
      <c r="E45" s="122">
        <f t="shared" si="8"/>
        <v>5.6677353047941628</v>
      </c>
      <c r="F45" s="128">
        <f t="shared" si="9"/>
        <v>1770001.3030967852</v>
      </c>
      <c r="G45" s="56"/>
      <c r="H45" s="127">
        <v>265274.75928984955</v>
      </c>
      <c r="I45" s="122">
        <f t="shared" si="10"/>
        <v>0.74629836089990498</v>
      </c>
      <c r="J45" s="128">
        <f t="shared" si="11"/>
        <v>197974.11804613157</v>
      </c>
      <c r="K45" s="56"/>
      <c r="L45" s="127">
        <v>313204.75114083465</v>
      </c>
      <c r="M45" s="122">
        <f t="shared" si="12"/>
        <v>3.7758346094996016</v>
      </c>
      <c r="N45" s="128">
        <f t="shared" si="13"/>
        <v>1182609.3392172733</v>
      </c>
      <c r="O45" s="56"/>
      <c r="P45" s="110">
        <f t="shared" si="7"/>
        <v>1380583.457263405</v>
      </c>
      <c r="Q45" s="56"/>
    </row>
    <row r="46" spans="2:17" x14ac:dyDescent="0.2">
      <c r="B46" s="57" t="s">
        <v>73</v>
      </c>
      <c r="C46" s="56"/>
      <c r="D46" s="127">
        <v>341892.92259267333</v>
      </c>
      <c r="E46" s="122">
        <f t="shared" si="8"/>
        <v>5.6677353047941628</v>
      </c>
      <c r="F46" s="128">
        <f t="shared" si="9"/>
        <v>1937758.5878377524</v>
      </c>
      <c r="G46" s="56"/>
      <c r="H46" s="127">
        <v>258321.98763453151</v>
      </c>
      <c r="I46" s="122">
        <f t="shared" si="10"/>
        <v>0.74629836089990498</v>
      </c>
      <c r="J46" s="128">
        <f t="shared" si="11"/>
        <v>192785.2759560564</v>
      </c>
      <c r="K46" s="56"/>
      <c r="L46" s="127">
        <v>345667.45768288482</v>
      </c>
      <c r="M46" s="122">
        <f t="shared" si="12"/>
        <v>3.7758346094996016</v>
      </c>
      <c r="N46" s="128">
        <f t="shared" si="13"/>
        <v>1305183.1500967755</v>
      </c>
      <c r="O46" s="56"/>
      <c r="P46" s="110">
        <f t="shared" si="7"/>
        <v>1497968.4260528318</v>
      </c>
      <c r="Q46" s="56"/>
    </row>
    <row r="47" spans="2:17" x14ac:dyDescent="0.2">
      <c r="B47" s="57" t="s">
        <v>74</v>
      </c>
      <c r="C47" s="56"/>
      <c r="D47" s="127">
        <v>285113.82409842568</v>
      </c>
      <c r="E47" s="122">
        <f t="shared" si="8"/>
        <v>5.6677353047941628</v>
      </c>
      <c r="F47" s="128">
        <f t="shared" si="9"/>
        <v>1615949.6867275201</v>
      </c>
      <c r="G47" s="56"/>
      <c r="H47" s="127">
        <v>222297.51561420699</v>
      </c>
      <c r="I47" s="122">
        <f t="shared" si="10"/>
        <v>0.74629836089990498</v>
      </c>
      <c r="J47" s="128">
        <f t="shared" si="11"/>
        <v>165900.2715350037</v>
      </c>
      <c r="K47" s="56"/>
      <c r="L47" s="127">
        <v>286626.70627883775</v>
      </c>
      <c r="M47" s="122">
        <f t="shared" si="12"/>
        <v>3.7758346094996016</v>
      </c>
      <c r="N47" s="128">
        <f t="shared" si="13"/>
        <v>1082255.0375745124</v>
      </c>
      <c r="O47" s="56"/>
      <c r="P47" s="110">
        <f t="shared" si="7"/>
        <v>1248155.3091095162</v>
      </c>
      <c r="Q47" s="56"/>
    </row>
    <row r="48" spans="2:17" x14ac:dyDescent="0.2">
      <c r="B48" s="57" t="s">
        <v>75</v>
      </c>
      <c r="C48" s="56"/>
      <c r="D48" s="127">
        <v>240075.43324539796</v>
      </c>
      <c r="E48" s="122">
        <f t="shared" si="8"/>
        <v>5.6677353047941628</v>
      </c>
      <c r="F48" s="128">
        <f t="shared" si="9"/>
        <v>1360684.0088186963</v>
      </c>
      <c r="G48" s="56"/>
      <c r="H48" s="127">
        <v>190602.99761078885</v>
      </c>
      <c r="I48" s="122">
        <f t="shared" si="10"/>
        <v>0.74629836089990498</v>
      </c>
      <c r="J48" s="128">
        <f t="shared" si="11"/>
        <v>142246.70469954022</v>
      </c>
      <c r="K48" s="56"/>
      <c r="L48" s="127">
        <v>242887.76478803417</v>
      </c>
      <c r="M48" s="122">
        <f t="shared" si="12"/>
        <v>3.7758346094996016</v>
      </c>
      <c r="N48" s="128">
        <f t="shared" si="13"/>
        <v>917104.02851065807</v>
      </c>
      <c r="O48" s="56"/>
      <c r="P48" s="110">
        <f t="shared" si="7"/>
        <v>1059350.7332101983</v>
      </c>
      <c r="Q48" s="56"/>
    </row>
    <row r="49" spans="2:17" x14ac:dyDescent="0.2">
      <c r="B49" s="57" t="s">
        <v>76</v>
      </c>
      <c r="C49" s="56"/>
      <c r="D49" s="127">
        <v>260999.00335753721</v>
      </c>
      <c r="E49" s="122">
        <f t="shared" si="8"/>
        <v>5.6677353047941628</v>
      </c>
      <c r="F49" s="128">
        <f t="shared" si="9"/>
        <v>1479273.2658456038</v>
      </c>
      <c r="G49" s="56"/>
      <c r="H49" s="127">
        <v>211557.49922757616</v>
      </c>
      <c r="I49" s="122">
        <f t="shared" si="10"/>
        <v>0.74629836089990498</v>
      </c>
      <c r="J49" s="128">
        <f t="shared" si="11"/>
        <v>157885.01490962302</v>
      </c>
      <c r="K49" s="56"/>
      <c r="L49" s="127">
        <v>264879.92325371725</v>
      </c>
      <c r="M49" s="122">
        <f t="shared" si="12"/>
        <v>3.7758346094996016</v>
      </c>
      <c r="N49" s="128">
        <f t="shared" si="13"/>
        <v>1000142.7815829839</v>
      </c>
      <c r="O49" s="56"/>
      <c r="P49" s="110">
        <f t="shared" si="7"/>
        <v>1158027.7964926069</v>
      </c>
      <c r="Q49" s="56"/>
    </row>
    <row r="50" spans="2:17" x14ac:dyDescent="0.2">
      <c r="B50" s="57" t="s">
        <v>77</v>
      </c>
      <c r="C50" s="56"/>
      <c r="D50" s="127">
        <v>268688.10790698166</v>
      </c>
      <c r="E50" s="122">
        <f t="shared" si="8"/>
        <v>5.6677353047941628</v>
      </c>
      <c r="F50" s="128">
        <f t="shared" si="9"/>
        <v>1522853.0751627437</v>
      </c>
      <c r="G50" s="56"/>
      <c r="H50" s="127">
        <v>229643.84038209019</v>
      </c>
      <c r="I50" s="122">
        <f t="shared" si="10"/>
        <v>0.74629836089990498</v>
      </c>
      <c r="J50" s="128">
        <f t="shared" si="11"/>
        <v>171382.82166791332</v>
      </c>
      <c r="K50" s="56"/>
      <c r="L50" s="127">
        <v>275258.01385538257</v>
      </c>
      <c r="M50" s="122">
        <f t="shared" si="12"/>
        <v>3.7758346094996016</v>
      </c>
      <c r="N50" s="128">
        <f t="shared" si="13"/>
        <v>1039328.7352572744</v>
      </c>
      <c r="O50" s="56"/>
      <c r="P50" s="110">
        <f t="shared" si="7"/>
        <v>1210711.5569251876</v>
      </c>
      <c r="Q50" s="56"/>
    </row>
    <row r="51" spans="2:17" x14ac:dyDescent="0.2">
      <c r="B51" s="56"/>
      <c r="C51" s="56"/>
      <c r="D51" s="56"/>
      <c r="E51" s="56"/>
      <c r="F51" s="56"/>
      <c r="G51" s="56"/>
      <c r="H51" s="56"/>
      <c r="I51" s="56"/>
      <c r="J51" s="56"/>
      <c r="K51" s="56"/>
      <c r="L51" s="56"/>
      <c r="M51" s="56"/>
      <c r="N51" s="56"/>
      <c r="O51" s="56"/>
      <c r="P51" s="56"/>
      <c r="Q51" s="56"/>
    </row>
    <row r="52" spans="2:17" ht="13.5" thickBot="1" x14ac:dyDescent="0.25">
      <c r="B52" s="104" t="s">
        <v>5</v>
      </c>
      <c r="C52" s="56"/>
      <c r="D52" s="111">
        <f>SUM(D39:D50)</f>
        <v>3343780.9886092902</v>
      </c>
      <c r="E52" s="112">
        <f>IF(D52&lt;&gt;0,F52/D52,0)</f>
        <v>5.6677353047941628</v>
      </c>
      <c r="F52" s="113">
        <f>SUM(F39:F50)</f>
        <v>18951665.560640402</v>
      </c>
      <c r="G52" s="56"/>
      <c r="H52" s="111">
        <f>SUM(H39:H50)</f>
        <v>2790291.1549421698</v>
      </c>
      <c r="I52" s="112">
        <f>IF(H52&lt;&gt;0,J52/H52,0)</f>
        <v>0.74629836089990498</v>
      </c>
      <c r="J52" s="113">
        <f>SUM(J39:J50)</f>
        <v>2082389.7153668441</v>
      </c>
      <c r="K52" s="56"/>
      <c r="L52" s="111">
        <f>SUM(L39:L50)</f>
        <v>3395056.8125066301</v>
      </c>
      <c r="M52" s="112">
        <f>IF(L52&lt;&gt;0,N52/L52,0)</f>
        <v>3.7758346094996007</v>
      </c>
      <c r="N52" s="113">
        <f>SUM(N39:N50)</f>
        <v>12819173.013879931</v>
      </c>
      <c r="O52" s="56"/>
      <c r="P52" s="113">
        <f>SUM(P39:P50)</f>
        <v>14901562.729246773</v>
      </c>
      <c r="Q52" s="56"/>
    </row>
    <row r="53" spans="2:17" x14ac:dyDescent="0.2">
      <c r="B53" s="56"/>
      <c r="C53" s="56"/>
      <c r="D53" s="56"/>
      <c r="E53" s="56"/>
      <c r="F53" s="56"/>
      <c r="G53" s="56"/>
      <c r="H53" s="56"/>
      <c r="I53" s="56"/>
      <c r="J53" s="56"/>
      <c r="K53" s="56"/>
      <c r="L53" s="56"/>
      <c r="M53" s="56"/>
      <c r="N53" s="56"/>
      <c r="O53" s="56"/>
      <c r="P53" s="56"/>
      <c r="Q53" s="56"/>
    </row>
    <row r="54" spans="2:17" x14ac:dyDescent="0.2">
      <c r="B54" s="101" t="e">
        <f>#REF!</f>
        <v>#REF!</v>
      </c>
      <c r="C54" s="102"/>
      <c r="D54" s="267" t="s">
        <v>2</v>
      </c>
      <c r="E54" s="267"/>
      <c r="F54" s="267"/>
      <c r="G54" s="102"/>
      <c r="H54" s="267" t="s">
        <v>3</v>
      </c>
      <c r="I54" s="267"/>
      <c r="J54" s="267"/>
      <c r="K54" s="102"/>
      <c r="L54" s="267" t="s">
        <v>4</v>
      </c>
      <c r="M54" s="267"/>
      <c r="N54" s="267"/>
      <c r="O54" s="102"/>
      <c r="P54" s="101" t="s">
        <v>62</v>
      </c>
      <c r="Q54" s="56"/>
    </row>
    <row r="55" spans="2:17" x14ac:dyDescent="0.2">
      <c r="B55" s="104"/>
      <c r="C55" s="56"/>
      <c r="D55" s="120"/>
      <c r="E55" s="120"/>
      <c r="F55" s="120"/>
      <c r="G55" s="56"/>
      <c r="H55" s="120"/>
      <c r="I55" s="120"/>
      <c r="J55" s="120"/>
      <c r="K55" s="56"/>
      <c r="L55" s="120"/>
      <c r="M55" s="120"/>
      <c r="N55" s="120"/>
      <c r="O55" s="56"/>
      <c r="P55" s="120"/>
      <c r="Q55" s="56"/>
    </row>
    <row r="56" spans="2:17" x14ac:dyDescent="0.2">
      <c r="B56" s="104" t="s">
        <v>63</v>
      </c>
      <c r="C56" s="56"/>
      <c r="D56" s="120" t="s">
        <v>64</v>
      </c>
      <c r="E56" s="120" t="s">
        <v>23</v>
      </c>
      <c r="F56" s="120" t="s">
        <v>65</v>
      </c>
      <c r="G56" s="56"/>
      <c r="H56" s="120" t="s">
        <v>64</v>
      </c>
      <c r="I56" s="120" t="s">
        <v>23</v>
      </c>
      <c r="J56" s="120" t="s">
        <v>65</v>
      </c>
      <c r="K56" s="56"/>
      <c r="L56" s="120" t="s">
        <v>64</v>
      </c>
      <c r="M56" s="120" t="s">
        <v>23</v>
      </c>
      <c r="N56" s="120" t="s">
        <v>65</v>
      </c>
      <c r="O56" s="56"/>
      <c r="P56" s="120" t="s">
        <v>65</v>
      </c>
      <c r="Q56" s="56"/>
    </row>
    <row r="57" spans="2:17" x14ac:dyDescent="0.2">
      <c r="B57" s="56"/>
      <c r="C57" s="56"/>
      <c r="D57" s="56"/>
      <c r="E57" s="56"/>
      <c r="F57" s="56"/>
      <c r="G57" s="56"/>
      <c r="H57" s="56"/>
      <c r="I57" s="56"/>
      <c r="J57" s="56"/>
      <c r="K57" s="56"/>
      <c r="L57" s="56"/>
      <c r="M57" s="56"/>
      <c r="N57" s="56"/>
      <c r="O57" s="56"/>
      <c r="P57" s="56"/>
      <c r="Q57" s="56"/>
    </row>
    <row r="58" spans="2:17" x14ac:dyDescent="0.2">
      <c r="B58" s="57" t="s">
        <v>66</v>
      </c>
      <c r="C58" s="56"/>
      <c r="D58" s="127"/>
      <c r="E58" s="122"/>
      <c r="F58" s="128"/>
      <c r="G58" s="56"/>
      <c r="H58" s="127"/>
      <c r="I58" s="122"/>
      <c r="J58" s="128"/>
      <c r="K58" s="56"/>
      <c r="L58" s="127"/>
      <c r="M58" s="122"/>
      <c r="N58" s="128"/>
      <c r="O58" s="56"/>
      <c r="P58" s="110"/>
      <c r="Q58" s="56"/>
    </row>
    <row r="59" spans="2:17" x14ac:dyDescent="0.2">
      <c r="B59" s="57" t="s">
        <v>67</v>
      </c>
      <c r="C59" s="56"/>
      <c r="D59" s="127"/>
      <c r="E59" s="122"/>
      <c r="F59" s="128"/>
      <c r="G59" s="56"/>
      <c r="H59" s="127"/>
      <c r="I59" s="122"/>
      <c r="J59" s="128"/>
      <c r="K59" s="56"/>
      <c r="L59" s="127"/>
      <c r="M59" s="122"/>
      <c r="N59" s="128"/>
      <c r="O59" s="56"/>
      <c r="P59" s="110"/>
      <c r="Q59" s="56"/>
    </row>
    <row r="60" spans="2:17" x14ac:dyDescent="0.2">
      <c r="B60" s="57" t="s">
        <v>68</v>
      </c>
      <c r="C60" s="56"/>
      <c r="D60" s="127"/>
      <c r="E60" s="122"/>
      <c r="F60" s="128"/>
      <c r="G60" s="56"/>
      <c r="H60" s="127"/>
      <c r="I60" s="122"/>
      <c r="J60" s="128"/>
      <c r="K60" s="56"/>
      <c r="L60" s="127"/>
      <c r="M60" s="122"/>
      <c r="N60" s="128"/>
      <c r="O60" s="56"/>
      <c r="P60" s="110"/>
      <c r="Q60" s="56"/>
    </row>
    <row r="61" spans="2:17" x14ac:dyDescent="0.2">
      <c r="B61" s="57" t="s">
        <v>69</v>
      </c>
      <c r="C61" s="56"/>
      <c r="D61" s="127"/>
      <c r="E61" s="122"/>
      <c r="F61" s="128"/>
      <c r="G61" s="56"/>
      <c r="H61" s="127"/>
      <c r="I61" s="122"/>
      <c r="J61" s="128"/>
      <c r="K61" s="56"/>
      <c r="L61" s="127"/>
      <c r="M61" s="122"/>
      <c r="N61" s="128"/>
      <c r="O61" s="56"/>
      <c r="P61" s="110"/>
      <c r="Q61" s="56"/>
    </row>
    <row r="62" spans="2:17" x14ac:dyDescent="0.2">
      <c r="B62" s="57" t="s">
        <v>70</v>
      </c>
      <c r="C62" s="56"/>
      <c r="D62" s="127"/>
      <c r="E62" s="122"/>
      <c r="F62" s="128"/>
      <c r="G62" s="56"/>
      <c r="H62" s="127"/>
      <c r="I62" s="122"/>
      <c r="J62" s="128"/>
      <c r="K62" s="56"/>
      <c r="L62" s="127"/>
      <c r="M62" s="122"/>
      <c r="N62" s="128"/>
      <c r="O62" s="56"/>
      <c r="P62" s="110"/>
      <c r="Q62" s="56"/>
    </row>
    <row r="63" spans="2:17" x14ac:dyDescent="0.2">
      <c r="B63" s="57" t="s">
        <v>71</v>
      </c>
      <c r="C63" s="56"/>
      <c r="D63" s="127"/>
      <c r="E63" s="122"/>
      <c r="F63" s="128"/>
      <c r="G63" s="56"/>
      <c r="H63" s="127"/>
      <c r="I63" s="122"/>
      <c r="J63" s="128"/>
      <c r="K63" s="56"/>
      <c r="L63" s="127"/>
      <c r="M63" s="122"/>
      <c r="N63" s="128"/>
      <c r="O63" s="56"/>
      <c r="P63" s="110"/>
      <c r="Q63" s="56"/>
    </row>
    <row r="64" spans="2:17" x14ac:dyDescent="0.2">
      <c r="B64" s="57" t="s">
        <v>72</v>
      </c>
      <c r="C64" s="56"/>
      <c r="D64" s="127"/>
      <c r="E64" s="122"/>
      <c r="F64" s="128"/>
      <c r="G64" s="56"/>
      <c r="H64" s="127"/>
      <c r="I64" s="122"/>
      <c r="J64" s="128"/>
      <c r="K64" s="56"/>
      <c r="L64" s="127"/>
      <c r="M64" s="122"/>
      <c r="N64" s="128"/>
      <c r="O64" s="56"/>
      <c r="P64" s="110"/>
      <c r="Q64" s="56"/>
    </row>
    <row r="65" spans="2:17" x14ac:dyDescent="0.2">
      <c r="B65" s="57" t="s">
        <v>73</v>
      </c>
      <c r="C65" s="56"/>
      <c r="D65" s="127"/>
      <c r="E65" s="122"/>
      <c r="F65" s="128"/>
      <c r="G65" s="56"/>
      <c r="H65" s="127"/>
      <c r="I65" s="122"/>
      <c r="J65" s="128"/>
      <c r="K65" s="56"/>
      <c r="L65" s="127"/>
      <c r="M65" s="122"/>
      <c r="N65" s="128"/>
      <c r="O65" s="56"/>
      <c r="P65" s="110"/>
      <c r="Q65" s="56"/>
    </row>
    <row r="66" spans="2:17" x14ac:dyDescent="0.2">
      <c r="B66" s="57" t="s">
        <v>74</v>
      </c>
      <c r="C66" s="56"/>
      <c r="D66" s="127"/>
      <c r="E66" s="122"/>
      <c r="F66" s="128"/>
      <c r="G66" s="56"/>
      <c r="H66" s="127"/>
      <c r="I66" s="122"/>
      <c r="J66" s="128"/>
      <c r="K66" s="56"/>
      <c r="L66" s="127"/>
      <c r="M66" s="122"/>
      <c r="N66" s="128"/>
      <c r="O66" s="56"/>
      <c r="P66" s="110"/>
      <c r="Q66" s="56"/>
    </row>
    <row r="67" spans="2:17" x14ac:dyDescent="0.2">
      <c r="B67" s="57" t="s">
        <v>75</v>
      </c>
      <c r="C67" s="56"/>
      <c r="D67" s="127"/>
      <c r="E67" s="122"/>
      <c r="F67" s="128"/>
      <c r="G67" s="56"/>
      <c r="H67" s="127"/>
      <c r="I67" s="122"/>
      <c r="J67" s="128"/>
      <c r="K67" s="56"/>
      <c r="L67" s="127"/>
      <c r="M67" s="122"/>
      <c r="N67" s="128"/>
      <c r="O67" s="56"/>
      <c r="P67" s="110"/>
      <c r="Q67" s="56"/>
    </row>
    <row r="68" spans="2:17" x14ac:dyDescent="0.2">
      <c r="B68" s="57" t="s">
        <v>76</v>
      </c>
      <c r="C68" s="56"/>
      <c r="D68" s="127"/>
      <c r="E68" s="122"/>
      <c r="F68" s="128"/>
      <c r="G68" s="56"/>
      <c r="H68" s="127"/>
      <c r="I68" s="122"/>
      <c r="J68" s="128"/>
      <c r="K68" s="56"/>
      <c r="L68" s="127"/>
      <c r="M68" s="122"/>
      <c r="N68" s="128"/>
      <c r="O68" s="56"/>
      <c r="P68" s="110"/>
      <c r="Q68" s="56"/>
    </row>
    <row r="69" spans="2:17" x14ac:dyDescent="0.2">
      <c r="B69" s="57" t="s">
        <v>77</v>
      </c>
      <c r="C69" s="56"/>
      <c r="D69" s="127"/>
      <c r="E69" s="122"/>
      <c r="F69" s="128"/>
      <c r="G69" s="56"/>
      <c r="H69" s="127"/>
      <c r="I69" s="122"/>
      <c r="J69" s="128"/>
      <c r="K69" s="56"/>
      <c r="L69" s="127"/>
      <c r="M69" s="122"/>
      <c r="N69" s="128"/>
      <c r="O69" s="56"/>
      <c r="P69" s="110"/>
      <c r="Q69" s="56"/>
    </row>
    <row r="70" spans="2:17" x14ac:dyDescent="0.2">
      <c r="B70" s="56"/>
      <c r="C70" s="56"/>
      <c r="D70" s="56"/>
      <c r="E70" s="56"/>
      <c r="F70" s="56"/>
      <c r="G70" s="56"/>
      <c r="H70" s="56"/>
      <c r="I70" s="56"/>
      <c r="J70" s="56"/>
      <c r="K70" s="56"/>
      <c r="L70" s="56"/>
      <c r="M70" s="56"/>
      <c r="N70" s="56"/>
      <c r="O70" s="56"/>
      <c r="P70" s="56"/>
      <c r="Q70" s="56"/>
    </row>
    <row r="71" spans="2:17" ht="13.5" thickBot="1" x14ac:dyDescent="0.25">
      <c r="B71" s="104" t="s">
        <v>5</v>
      </c>
      <c r="C71" s="56"/>
      <c r="D71" s="111">
        <f>SUM(D58:D69)</f>
        <v>0</v>
      </c>
      <c r="E71" s="112">
        <f>IF(D71&lt;&gt;0,F71/D71,0)</f>
        <v>0</v>
      </c>
      <c r="F71" s="113">
        <f>SUM(F58:F69)</f>
        <v>0</v>
      </c>
      <c r="G71" s="56"/>
      <c r="H71" s="111">
        <f>SUM(H58:H69)</f>
        <v>0</v>
      </c>
      <c r="I71" s="112">
        <f>IF(H71&lt;&gt;0,J71/H71,0)</f>
        <v>0</v>
      </c>
      <c r="J71" s="113">
        <f>SUM(J58:J69)</f>
        <v>0</v>
      </c>
      <c r="K71" s="56"/>
      <c r="L71" s="111">
        <f>SUM(L58:L69)</f>
        <v>0</v>
      </c>
      <c r="M71" s="112">
        <f>IF(L71&lt;&gt;0,N71/L71,0)</f>
        <v>0</v>
      </c>
      <c r="N71" s="113">
        <f>SUM(N58:N69)</f>
        <v>0</v>
      </c>
      <c r="O71" s="56"/>
      <c r="P71" s="113">
        <f>SUM(P58:P69)</f>
        <v>0</v>
      </c>
      <c r="Q71" s="56"/>
    </row>
    <row r="72" spans="2:17" x14ac:dyDescent="0.2">
      <c r="B72" s="56"/>
      <c r="C72" s="56"/>
      <c r="D72" s="56"/>
      <c r="E72" s="56"/>
      <c r="F72" s="56"/>
      <c r="G72" s="56"/>
      <c r="H72" s="56"/>
      <c r="I72" s="56"/>
      <c r="J72" s="56"/>
      <c r="K72" s="56"/>
      <c r="L72" s="56"/>
      <c r="M72" s="56"/>
      <c r="N72" s="56"/>
      <c r="O72" s="56"/>
      <c r="P72" s="56"/>
      <c r="Q72" s="56"/>
    </row>
    <row r="73" spans="2:17" x14ac:dyDescent="0.2">
      <c r="B73" s="101" t="e">
        <f>#REF!</f>
        <v>#REF!</v>
      </c>
      <c r="C73" s="102"/>
      <c r="D73" s="267" t="s">
        <v>2</v>
      </c>
      <c r="E73" s="267"/>
      <c r="F73" s="267"/>
      <c r="G73" s="102"/>
      <c r="H73" s="267" t="s">
        <v>3</v>
      </c>
      <c r="I73" s="267"/>
      <c r="J73" s="267"/>
      <c r="K73" s="102"/>
      <c r="L73" s="267" t="s">
        <v>4</v>
      </c>
      <c r="M73" s="267"/>
      <c r="N73" s="267"/>
      <c r="O73" s="102"/>
      <c r="P73" s="101" t="s">
        <v>62</v>
      </c>
      <c r="Q73" s="56"/>
    </row>
    <row r="74" spans="2:17" x14ac:dyDescent="0.2">
      <c r="B74" s="104"/>
      <c r="C74" s="56"/>
      <c r="D74" s="120"/>
      <c r="E74" s="120"/>
      <c r="F74" s="120"/>
      <c r="G74" s="56"/>
      <c r="H74" s="120"/>
      <c r="I74" s="120"/>
      <c r="J74" s="120"/>
      <c r="K74" s="56"/>
      <c r="L74" s="120"/>
      <c r="M74" s="120"/>
      <c r="N74" s="120"/>
      <c r="O74" s="56"/>
      <c r="P74" s="120"/>
      <c r="Q74" s="56"/>
    </row>
    <row r="75" spans="2:17" x14ac:dyDescent="0.2">
      <c r="B75" s="104" t="s">
        <v>63</v>
      </c>
      <c r="C75" s="56"/>
      <c r="D75" s="120" t="s">
        <v>64</v>
      </c>
      <c r="E75" s="120" t="s">
        <v>23</v>
      </c>
      <c r="F75" s="120" t="s">
        <v>65</v>
      </c>
      <c r="G75" s="56"/>
      <c r="H75" s="120" t="s">
        <v>64</v>
      </c>
      <c r="I75" s="120" t="s">
        <v>23</v>
      </c>
      <c r="J75" s="120" t="s">
        <v>65</v>
      </c>
      <c r="K75" s="56"/>
      <c r="L75" s="120" t="s">
        <v>64</v>
      </c>
      <c r="M75" s="120" t="s">
        <v>23</v>
      </c>
      <c r="N75" s="120" t="s">
        <v>65</v>
      </c>
      <c r="O75" s="56"/>
      <c r="P75" s="120" t="s">
        <v>65</v>
      </c>
      <c r="Q75" s="56"/>
    </row>
    <row r="76" spans="2:17" x14ac:dyDescent="0.2">
      <c r="B76" s="56"/>
      <c r="C76" s="56"/>
      <c r="D76" s="56"/>
      <c r="E76" s="56"/>
      <c r="F76" s="56"/>
      <c r="G76" s="56"/>
      <c r="H76" s="56"/>
      <c r="I76" s="56"/>
      <c r="J76" s="56"/>
      <c r="K76" s="56"/>
      <c r="L76" s="56"/>
      <c r="M76" s="56"/>
      <c r="N76" s="56"/>
      <c r="O76" s="56"/>
      <c r="P76" s="56"/>
      <c r="Q76" s="56"/>
    </row>
    <row r="77" spans="2:17" x14ac:dyDescent="0.2">
      <c r="B77" s="57" t="s">
        <v>66</v>
      </c>
      <c r="C77" s="56"/>
      <c r="D77" s="127"/>
      <c r="E77" s="122"/>
      <c r="F77" s="128"/>
      <c r="G77" s="56"/>
      <c r="H77" s="127"/>
      <c r="I77" s="122"/>
      <c r="J77" s="128"/>
      <c r="K77" s="56"/>
      <c r="L77" s="127"/>
      <c r="M77" s="122"/>
      <c r="N77" s="128"/>
      <c r="O77" s="56"/>
      <c r="P77" s="110"/>
      <c r="Q77" s="56"/>
    </row>
    <row r="78" spans="2:17" x14ac:dyDescent="0.2">
      <c r="B78" s="57" t="s">
        <v>67</v>
      </c>
      <c r="C78" s="56"/>
      <c r="D78" s="127"/>
      <c r="E78" s="122"/>
      <c r="F78" s="128"/>
      <c r="G78" s="56"/>
      <c r="H78" s="127"/>
      <c r="I78" s="122"/>
      <c r="J78" s="128"/>
      <c r="K78" s="56"/>
      <c r="L78" s="127"/>
      <c r="M78" s="122"/>
      <c r="N78" s="128"/>
      <c r="O78" s="56"/>
      <c r="P78" s="110"/>
      <c r="Q78" s="56"/>
    </row>
    <row r="79" spans="2:17" x14ac:dyDescent="0.2">
      <c r="B79" s="57" t="s">
        <v>68</v>
      </c>
      <c r="C79" s="56"/>
      <c r="D79" s="127"/>
      <c r="E79" s="122"/>
      <c r="F79" s="128"/>
      <c r="G79" s="56"/>
      <c r="H79" s="127"/>
      <c r="I79" s="122"/>
      <c r="J79" s="128"/>
      <c r="K79" s="56"/>
      <c r="L79" s="127"/>
      <c r="M79" s="122"/>
      <c r="N79" s="128"/>
      <c r="O79" s="56"/>
      <c r="P79" s="110"/>
      <c r="Q79" s="56"/>
    </row>
    <row r="80" spans="2:17" x14ac:dyDescent="0.2">
      <c r="B80" s="57" t="s">
        <v>69</v>
      </c>
      <c r="C80" s="56"/>
      <c r="D80" s="127"/>
      <c r="E80" s="122"/>
      <c r="F80" s="128"/>
      <c r="G80" s="56"/>
      <c r="H80" s="127"/>
      <c r="I80" s="122"/>
      <c r="J80" s="128"/>
      <c r="K80" s="56"/>
      <c r="L80" s="127"/>
      <c r="M80" s="122"/>
      <c r="N80" s="128"/>
      <c r="O80" s="56"/>
      <c r="P80" s="110"/>
      <c r="Q80" s="56"/>
    </row>
    <row r="81" spans="2:17" x14ac:dyDescent="0.2">
      <c r="B81" s="57" t="s">
        <v>70</v>
      </c>
      <c r="C81" s="56"/>
      <c r="D81" s="127"/>
      <c r="E81" s="122"/>
      <c r="F81" s="128"/>
      <c r="G81" s="56"/>
      <c r="H81" s="127"/>
      <c r="I81" s="122"/>
      <c r="J81" s="128"/>
      <c r="K81" s="56"/>
      <c r="L81" s="127"/>
      <c r="M81" s="122"/>
      <c r="N81" s="128"/>
      <c r="O81" s="56"/>
      <c r="P81" s="110"/>
      <c r="Q81" s="56"/>
    </row>
    <row r="82" spans="2:17" x14ac:dyDescent="0.2">
      <c r="B82" s="57" t="s">
        <v>71</v>
      </c>
      <c r="C82" s="56"/>
      <c r="D82" s="127"/>
      <c r="E82" s="122"/>
      <c r="F82" s="128"/>
      <c r="G82" s="56"/>
      <c r="H82" s="127"/>
      <c r="I82" s="122"/>
      <c r="J82" s="128"/>
      <c r="K82" s="56"/>
      <c r="L82" s="127"/>
      <c r="M82" s="122"/>
      <c r="N82" s="128"/>
      <c r="O82" s="56"/>
      <c r="P82" s="110"/>
      <c r="Q82" s="56"/>
    </row>
    <row r="83" spans="2:17" x14ac:dyDescent="0.2">
      <c r="B83" s="57" t="s">
        <v>72</v>
      </c>
      <c r="C83" s="56"/>
      <c r="D83" s="127"/>
      <c r="E83" s="122"/>
      <c r="F83" s="128"/>
      <c r="G83" s="56"/>
      <c r="H83" s="127"/>
      <c r="I83" s="122"/>
      <c r="J83" s="128"/>
      <c r="K83" s="56"/>
      <c r="L83" s="127"/>
      <c r="M83" s="122"/>
      <c r="N83" s="128"/>
      <c r="O83" s="56"/>
      <c r="P83" s="110"/>
      <c r="Q83" s="56"/>
    </row>
    <row r="84" spans="2:17" x14ac:dyDescent="0.2">
      <c r="B84" s="57" t="s">
        <v>73</v>
      </c>
      <c r="C84" s="56"/>
      <c r="D84" s="127"/>
      <c r="E84" s="122"/>
      <c r="F84" s="128"/>
      <c r="G84" s="56"/>
      <c r="H84" s="127"/>
      <c r="I84" s="122"/>
      <c r="J84" s="128"/>
      <c r="K84" s="56"/>
      <c r="L84" s="127"/>
      <c r="M84" s="122"/>
      <c r="N84" s="128"/>
      <c r="O84" s="56"/>
      <c r="P84" s="110"/>
      <c r="Q84" s="56"/>
    </row>
    <row r="85" spans="2:17" x14ac:dyDescent="0.2">
      <c r="B85" s="57" t="s">
        <v>74</v>
      </c>
      <c r="C85" s="56"/>
      <c r="D85" s="127"/>
      <c r="E85" s="122"/>
      <c r="F85" s="128"/>
      <c r="G85" s="56"/>
      <c r="H85" s="127"/>
      <c r="I85" s="122"/>
      <c r="J85" s="128"/>
      <c r="K85" s="56"/>
      <c r="L85" s="127"/>
      <c r="M85" s="122"/>
      <c r="N85" s="128"/>
      <c r="O85" s="56"/>
      <c r="P85" s="110"/>
      <c r="Q85" s="56"/>
    </row>
    <row r="86" spans="2:17" x14ac:dyDescent="0.2">
      <c r="B86" s="57" t="s">
        <v>75</v>
      </c>
      <c r="C86" s="56"/>
      <c r="D86" s="127"/>
      <c r="E86" s="122"/>
      <c r="F86" s="128"/>
      <c r="G86" s="56"/>
      <c r="H86" s="127"/>
      <c r="I86" s="122"/>
      <c r="J86" s="128"/>
      <c r="K86" s="56"/>
      <c r="L86" s="127"/>
      <c r="M86" s="122"/>
      <c r="N86" s="128"/>
      <c r="O86" s="56"/>
      <c r="P86" s="110"/>
      <c r="Q86" s="56"/>
    </row>
    <row r="87" spans="2:17" x14ac:dyDescent="0.2">
      <c r="B87" s="57" t="s">
        <v>76</v>
      </c>
      <c r="C87" s="56"/>
      <c r="D87" s="127"/>
      <c r="E87" s="122"/>
      <c r="F87" s="128"/>
      <c r="G87" s="56"/>
      <c r="H87" s="127"/>
      <c r="I87" s="122"/>
      <c r="J87" s="128"/>
      <c r="K87" s="56"/>
      <c r="L87" s="127"/>
      <c r="M87" s="122"/>
      <c r="N87" s="128"/>
      <c r="O87" s="56"/>
      <c r="P87" s="110"/>
      <c r="Q87" s="56"/>
    </row>
    <row r="88" spans="2:17" x14ac:dyDescent="0.2">
      <c r="B88" s="57" t="s">
        <v>77</v>
      </c>
      <c r="C88" s="56"/>
      <c r="D88" s="127"/>
      <c r="E88" s="122"/>
      <c r="F88" s="128"/>
      <c r="G88" s="56"/>
      <c r="H88" s="127"/>
      <c r="I88" s="122"/>
      <c r="J88" s="128"/>
      <c r="K88" s="56"/>
      <c r="L88" s="127"/>
      <c r="M88" s="122"/>
      <c r="N88" s="128"/>
      <c r="O88" s="56"/>
      <c r="P88" s="110"/>
      <c r="Q88" s="56"/>
    </row>
    <row r="89" spans="2:17" x14ac:dyDescent="0.2">
      <c r="B89" s="56"/>
      <c r="C89" s="56"/>
      <c r="D89" s="56"/>
      <c r="E89" s="56"/>
      <c r="F89" s="56"/>
      <c r="G89" s="56"/>
      <c r="H89" s="56"/>
      <c r="I89" s="56"/>
      <c r="J89" s="56"/>
      <c r="K89" s="56"/>
      <c r="L89" s="56"/>
      <c r="M89" s="56"/>
      <c r="N89" s="56"/>
      <c r="O89" s="56"/>
      <c r="P89" s="56"/>
      <c r="Q89" s="56"/>
    </row>
    <row r="90" spans="2:17" ht="13.5" thickBot="1" x14ac:dyDescent="0.25">
      <c r="B90" s="104" t="s">
        <v>5</v>
      </c>
      <c r="C90" s="56"/>
      <c r="D90" s="111">
        <f>SUM(D77:D88)</f>
        <v>0</v>
      </c>
      <c r="E90" s="112">
        <f>IF(D90&lt;&gt;0,F90/D90,0)</f>
        <v>0</v>
      </c>
      <c r="F90" s="113">
        <f>SUM(F77:F88)</f>
        <v>0</v>
      </c>
      <c r="G90" s="56"/>
      <c r="H90" s="111">
        <f>SUM(H77:H88)</f>
        <v>0</v>
      </c>
      <c r="I90" s="112">
        <f>IF(H90&lt;&gt;0,J90/H90,0)</f>
        <v>0</v>
      </c>
      <c r="J90" s="113">
        <f>SUM(J77:J88)</f>
        <v>0</v>
      </c>
      <c r="K90" s="56"/>
      <c r="L90" s="111">
        <f>SUM(L77:L88)</f>
        <v>0</v>
      </c>
      <c r="M90" s="112">
        <f>IF(L90&lt;&gt;0,N90/L90,0)</f>
        <v>0</v>
      </c>
      <c r="N90" s="113">
        <f>SUM(N77:N88)</f>
        <v>0</v>
      </c>
      <c r="O90" s="56"/>
      <c r="P90" s="113">
        <f>SUM(P77:P88)</f>
        <v>0</v>
      </c>
      <c r="Q90" s="56"/>
    </row>
    <row r="91" spans="2:17" x14ac:dyDescent="0.2">
      <c r="B91" s="56"/>
      <c r="C91" s="56"/>
      <c r="D91" s="56"/>
      <c r="E91" s="56"/>
      <c r="F91" s="56"/>
      <c r="G91" s="56"/>
      <c r="H91" s="56"/>
      <c r="I91" s="56"/>
      <c r="J91" s="56"/>
      <c r="K91" s="56"/>
      <c r="L91" s="56"/>
      <c r="M91" s="56"/>
      <c r="N91" s="56"/>
      <c r="O91" s="56"/>
      <c r="P91" s="56"/>
      <c r="Q91" s="56"/>
    </row>
    <row r="92" spans="2:17" x14ac:dyDescent="0.2">
      <c r="B92" s="101" t="s">
        <v>5</v>
      </c>
      <c r="C92" s="102"/>
      <c r="D92" s="267" t="s">
        <v>2</v>
      </c>
      <c r="E92" s="267"/>
      <c r="F92" s="267"/>
      <c r="G92" s="102"/>
      <c r="H92" s="267" t="s">
        <v>3</v>
      </c>
      <c r="I92" s="267"/>
      <c r="J92" s="267"/>
      <c r="K92" s="102"/>
      <c r="L92" s="267" t="s">
        <v>4</v>
      </c>
      <c r="M92" s="267"/>
      <c r="N92" s="267"/>
      <c r="O92" s="102"/>
      <c r="P92" s="101" t="s">
        <v>62</v>
      </c>
      <c r="Q92" s="56"/>
    </row>
    <row r="93" spans="2:17" x14ac:dyDescent="0.2">
      <c r="B93" s="56"/>
      <c r="C93" s="56"/>
      <c r="D93" s="268"/>
      <c r="E93" s="268"/>
      <c r="F93" s="268"/>
      <c r="G93" s="56"/>
      <c r="H93" s="268"/>
      <c r="I93" s="268"/>
      <c r="J93" s="268"/>
      <c r="K93" s="56"/>
      <c r="L93" s="268"/>
      <c r="M93" s="268"/>
      <c r="N93" s="268"/>
      <c r="O93" s="56"/>
      <c r="P93" s="120"/>
      <c r="Q93" s="56"/>
    </row>
    <row r="94" spans="2:17" x14ac:dyDescent="0.2">
      <c r="B94" s="104" t="s">
        <v>63</v>
      </c>
      <c r="C94" s="56"/>
      <c r="D94" s="120" t="s">
        <v>64</v>
      </c>
      <c r="E94" s="120" t="s">
        <v>23</v>
      </c>
      <c r="F94" s="120" t="s">
        <v>65</v>
      </c>
      <c r="G94" s="56"/>
      <c r="H94" s="120" t="s">
        <v>64</v>
      </c>
      <c r="I94" s="120" t="s">
        <v>23</v>
      </c>
      <c r="J94" s="120" t="s">
        <v>65</v>
      </c>
      <c r="K94" s="56"/>
      <c r="L94" s="120" t="s">
        <v>64</v>
      </c>
      <c r="M94" s="120" t="s">
        <v>23</v>
      </c>
      <c r="N94" s="120" t="s">
        <v>65</v>
      </c>
      <c r="O94" s="56"/>
      <c r="P94" s="120" t="s">
        <v>65</v>
      </c>
      <c r="Q94" s="56"/>
    </row>
    <row r="95" spans="2:17" x14ac:dyDescent="0.2">
      <c r="B95" s="56"/>
      <c r="C95" s="56"/>
      <c r="D95" s="56"/>
      <c r="E95" s="56"/>
      <c r="F95" s="56"/>
      <c r="G95" s="56"/>
      <c r="H95" s="56"/>
      <c r="I95" s="56"/>
      <c r="J95" s="56"/>
      <c r="K95" s="56"/>
      <c r="L95" s="56"/>
      <c r="M95" s="56"/>
      <c r="N95" s="56"/>
      <c r="O95" s="56"/>
      <c r="P95" s="56"/>
      <c r="Q95" s="56"/>
    </row>
    <row r="96" spans="2:17" x14ac:dyDescent="0.2">
      <c r="B96" s="57" t="s">
        <v>66</v>
      </c>
      <c r="C96" s="56"/>
      <c r="D96" s="121">
        <f>D20+D39+D58+D77</f>
        <v>628875.21614427643</v>
      </c>
      <c r="E96" s="122">
        <f t="shared" ref="E96:E107" si="14">IF(D96&lt;&gt;0,F96/D96,0)</f>
        <v>6.2587734677587523</v>
      </c>
      <c r="F96" s="110">
        <f>F20+F39+F58+F77</f>
        <v>3935987.5173348477</v>
      </c>
      <c r="G96" s="56"/>
      <c r="H96" s="121">
        <f>H20+H39+H58+H77</f>
        <v>440402.69794466544</v>
      </c>
      <c r="I96" s="122">
        <f t="shared" ref="I96:I107" si="15">IF(H96&lt;&gt;0,J96/H96,0)</f>
        <v>0.87951358284014436</v>
      </c>
      <c r="J96" s="110">
        <f>J20+J39+J58+J77</f>
        <v>387340.1547617786</v>
      </c>
      <c r="K96" s="56"/>
      <c r="L96" s="121">
        <f>L20+L39+L58+L77</f>
        <v>666713.95953318407</v>
      </c>
      <c r="M96" s="122">
        <f t="shared" ref="M96:M107" si="16">IF(L96&lt;&gt;0,N96/L96,0)</f>
        <v>3.718196650543065</v>
      </c>
      <c r="N96" s="110">
        <f>N20+N39+N58+N77</f>
        <v>2478973.6112065897</v>
      </c>
      <c r="O96" s="56"/>
      <c r="P96" s="110">
        <f t="shared" ref="P96:P107" si="17">J96+N96</f>
        <v>2866313.7659683684</v>
      </c>
      <c r="Q96" s="56"/>
    </row>
    <row r="97" spans="2:17" x14ac:dyDescent="0.2">
      <c r="B97" s="57" t="s">
        <v>67</v>
      </c>
      <c r="C97" s="56"/>
      <c r="D97" s="121">
        <f t="shared" ref="D97:D107" si="18">D21+D40+D59+D78</f>
        <v>622690.08941590949</v>
      </c>
      <c r="E97" s="122">
        <f t="shared" si="14"/>
        <v>6.2534230298411506</v>
      </c>
      <c r="F97" s="110">
        <f t="shared" ref="F97:F107" si="19">F21+F40+F59+F78</f>
        <v>3893944.545607294</v>
      </c>
      <c r="G97" s="56"/>
      <c r="H97" s="121">
        <f t="shared" ref="H97:H107" si="20">H21+H40+H59+H78</f>
        <v>426980.05576248118</v>
      </c>
      <c r="I97" s="122">
        <f t="shared" si="15"/>
        <v>0.89061060494216826</v>
      </c>
      <c r="J97" s="110">
        <f t="shared" ref="J97:J107" si="21">J21+J40+J59+J78</f>
        <v>380272.96576086408</v>
      </c>
      <c r="K97" s="56"/>
      <c r="L97" s="121">
        <f t="shared" ref="L97:L107" si="22">L21+L40+L59+L78</f>
        <v>644844.90736877662</v>
      </c>
      <c r="M97" s="122">
        <f t="shared" si="16"/>
        <v>3.7175260594730641</v>
      </c>
      <c r="N97" s="110">
        <f t="shared" ref="N97:N107" si="23">N21+N40+N59+N78</f>
        <v>2397227.7474619211</v>
      </c>
      <c r="O97" s="56"/>
      <c r="P97" s="110">
        <f t="shared" si="17"/>
        <v>2777500.7132227849</v>
      </c>
      <c r="Q97" s="56"/>
    </row>
    <row r="98" spans="2:17" x14ac:dyDescent="0.2">
      <c r="B98" s="57" t="s">
        <v>68</v>
      </c>
      <c r="C98" s="56"/>
      <c r="D98" s="121">
        <f t="shared" si="18"/>
        <v>570769.85735969851</v>
      </c>
      <c r="E98" s="122">
        <f t="shared" si="14"/>
        <v>6.2962889493216334</v>
      </c>
      <c r="F98" s="110">
        <f>F22+F41+F60+F79</f>
        <v>3593731.9454997545</v>
      </c>
      <c r="G98" s="56"/>
      <c r="H98" s="121">
        <f t="shared" si="20"/>
        <v>385021.12723212515</v>
      </c>
      <c r="I98" s="122">
        <f t="shared" si="15"/>
        <v>0.89933506627652171</v>
      </c>
      <c r="J98" s="110">
        <f t="shared" si="21"/>
        <v>346263.00097716437</v>
      </c>
      <c r="K98" s="56"/>
      <c r="L98" s="121">
        <f t="shared" si="22"/>
        <v>584517.00309872942</v>
      </c>
      <c r="M98" s="122">
        <f t="shared" si="16"/>
        <v>3.714579635136209</v>
      </c>
      <c r="N98" s="110">
        <f t="shared" si="23"/>
        <v>2171234.9561013887</v>
      </c>
      <c r="O98" s="56"/>
      <c r="P98" s="110">
        <f t="shared" si="17"/>
        <v>2517497.9570785528</v>
      </c>
      <c r="Q98" s="56"/>
    </row>
    <row r="99" spans="2:17" x14ac:dyDescent="0.2">
      <c r="B99" s="57" t="s">
        <v>69</v>
      </c>
      <c r="C99" s="56"/>
      <c r="D99" s="121">
        <f t="shared" si="18"/>
        <v>532390.8074488272</v>
      </c>
      <c r="E99" s="122">
        <f t="shared" si="14"/>
        <v>6.3234392670093236</v>
      </c>
      <c r="F99" s="110">
        <f t="shared" si="19"/>
        <v>3366540.9372167136</v>
      </c>
      <c r="G99" s="56"/>
      <c r="H99" s="121">
        <f t="shared" si="20"/>
        <v>358881.05942926346</v>
      </c>
      <c r="I99" s="122">
        <f t="shared" si="15"/>
        <v>0.90320400378845711</v>
      </c>
      <c r="J99" s="110">
        <f t="shared" si="21"/>
        <v>324142.80976035399</v>
      </c>
      <c r="K99" s="56"/>
      <c r="L99" s="121">
        <f t="shared" si="22"/>
        <v>539332.53291478753</v>
      </c>
      <c r="M99" s="122">
        <f t="shared" si="16"/>
        <v>3.7125329981378612</v>
      </c>
      <c r="N99" s="110">
        <f t="shared" si="23"/>
        <v>2002289.8254154229</v>
      </c>
      <c r="O99" s="56"/>
      <c r="P99" s="110">
        <f t="shared" si="17"/>
        <v>2326432.6351757767</v>
      </c>
      <c r="Q99" s="56"/>
    </row>
    <row r="100" spans="2:17" x14ac:dyDescent="0.2">
      <c r="B100" s="57" t="s">
        <v>70</v>
      </c>
      <c r="C100" s="56"/>
      <c r="D100" s="121">
        <f t="shared" si="18"/>
        <v>640816.62521811551</v>
      </c>
      <c r="E100" s="122">
        <f t="shared" si="14"/>
        <v>6.336729304658161</v>
      </c>
      <c r="F100" s="110">
        <f t="shared" si="19"/>
        <v>4060681.4879317787</v>
      </c>
      <c r="G100" s="56"/>
      <c r="H100" s="121">
        <f t="shared" si="20"/>
        <v>433132.76149019424</v>
      </c>
      <c r="I100" s="122">
        <f t="shared" si="15"/>
        <v>0.91963363683889765</v>
      </c>
      <c r="J100" s="110">
        <f t="shared" si="21"/>
        <v>398323.45668330218</v>
      </c>
      <c r="K100" s="56"/>
      <c r="L100" s="121">
        <f t="shared" si="22"/>
        <v>655008.54316229385</v>
      </c>
      <c r="M100" s="122">
        <f t="shared" si="16"/>
        <v>3.7103534176718638</v>
      </c>
      <c r="N100" s="110">
        <f t="shared" si="23"/>
        <v>2430313.1867264854</v>
      </c>
      <c r="O100" s="56"/>
      <c r="P100" s="110">
        <f t="shared" si="17"/>
        <v>2828636.6434097877</v>
      </c>
      <c r="Q100" s="56"/>
    </row>
    <row r="101" spans="2:17" x14ac:dyDescent="0.2">
      <c r="B101" s="57" t="s">
        <v>71</v>
      </c>
      <c r="C101" s="56"/>
      <c r="D101" s="121">
        <f t="shared" si="18"/>
        <v>769116.05975442333</v>
      </c>
      <c r="E101" s="122">
        <f t="shared" si="14"/>
        <v>6.3021946866796688</v>
      </c>
      <c r="F101" s="110">
        <f t="shared" si="19"/>
        <v>4847119.1452243291</v>
      </c>
      <c r="G101" s="56"/>
      <c r="H101" s="121">
        <f t="shared" si="20"/>
        <v>563741.11053584632</v>
      </c>
      <c r="I101" s="122">
        <f t="shared" si="15"/>
        <v>0.91242233290896502</v>
      </c>
      <c r="J101" s="110">
        <f t="shared" si="21"/>
        <v>514369.97923180764</v>
      </c>
      <c r="K101" s="56"/>
      <c r="L101" s="121">
        <f t="shared" si="22"/>
        <v>808082.61255340138</v>
      </c>
      <c r="M101" s="122">
        <f t="shared" si="16"/>
        <v>3.7124682467680508</v>
      </c>
      <c r="N101" s="110">
        <f t="shared" si="23"/>
        <v>2999981.0398698719</v>
      </c>
      <c r="O101" s="56"/>
      <c r="P101" s="110">
        <f t="shared" si="17"/>
        <v>3514351.0191016793</v>
      </c>
      <c r="Q101" s="56"/>
    </row>
    <row r="102" spans="2:17" x14ac:dyDescent="0.2">
      <c r="B102" s="57" t="s">
        <v>72</v>
      </c>
      <c r="C102" s="56"/>
      <c r="D102" s="121">
        <f t="shared" si="18"/>
        <v>793920.09312893066</v>
      </c>
      <c r="E102" s="122">
        <f t="shared" si="14"/>
        <v>6.3401636716659642</v>
      </c>
      <c r="F102" s="110">
        <f t="shared" si="19"/>
        <v>5033583.3326617051</v>
      </c>
      <c r="G102" s="56"/>
      <c r="H102" s="121">
        <f t="shared" si="20"/>
        <v>555352.47560307803</v>
      </c>
      <c r="I102" s="122">
        <f t="shared" si="15"/>
        <v>0.92291010765425996</v>
      </c>
      <c r="J102" s="110">
        <f t="shared" si="21"/>
        <v>512540.4130448965</v>
      </c>
      <c r="K102" s="56"/>
      <c r="L102" s="121">
        <f t="shared" si="22"/>
        <v>807124.88836607744</v>
      </c>
      <c r="M102" s="122">
        <f t="shared" si="16"/>
        <v>3.7100135931451264</v>
      </c>
      <c r="N102" s="110">
        <f t="shared" si="23"/>
        <v>2994444.3072038898</v>
      </c>
      <c r="O102" s="56"/>
      <c r="P102" s="110">
        <f t="shared" si="17"/>
        <v>3506984.7202487863</v>
      </c>
      <c r="Q102" s="56"/>
    </row>
    <row r="103" spans="2:17" x14ac:dyDescent="0.2">
      <c r="B103" s="57" t="s">
        <v>73</v>
      </c>
      <c r="C103" s="56"/>
      <c r="D103" s="121">
        <f t="shared" si="18"/>
        <v>810211.12409029412</v>
      </c>
      <c r="E103" s="122">
        <f t="shared" si="14"/>
        <v>6.3084370366835723</v>
      </c>
      <c r="F103" s="110">
        <f t="shared" si="19"/>
        <v>5111165.862744241</v>
      </c>
      <c r="G103" s="56"/>
      <c r="H103" s="121">
        <f t="shared" si="20"/>
        <v>539611.67751297285</v>
      </c>
      <c r="I103" s="122">
        <f t="shared" si="15"/>
        <v>0.92255537356462303</v>
      </c>
      <c r="J103" s="110">
        <f t="shared" si="21"/>
        <v>497821.65272781358</v>
      </c>
      <c r="K103" s="56"/>
      <c r="L103" s="121">
        <f t="shared" si="22"/>
        <v>831796.55229626503</v>
      </c>
      <c r="M103" s="122">
        <f t="shared" si="16"/>
        <v>3.7129733484852823</v>
      </c>
      <c r="N103" s="110">
        <f t="shared" si="23"/>
        <v>3088438.4300379762</v>
      </c>
      <c r="O103" s="56"/>
      <c r="P103" s="110">
        <f t="shared" si="17"/>
        <v>3586260.0827657897</v>
      </c>
      <c r="Q103" s="56"/>
    </row>
    <row r="104" spans="2:17" x14ac:dyDescent="0.2">
      <c r="B104" s="57" t="s">
        <v>74</v>
      </c>
      <c r="C104" s="56"/>
      <c r="D104" s="121">
        <f t="shared" si="18"/>
        <v>692243.09478448867</v>
      </c>
      <c r="E104" s="122">
        <f t="shared" si="14"/>
        <v>6.3196439753748725</v>
      </c>
      <c r="F104" s="110">
        <f t="shared" si="19"/>
        <v>4374729.9034496509</v>
      </c>
      <c r="G104" s="56"/>
      <c r="H104" s="121">
        <f t="shared" si="20"/>
        <v>451603.79488687334</v>
      </c>
      <c r="I104" s="122">
        <f t="shared" si="15"/>
        <v>0.91798333811010724</v>
      </c>
      <c r="J104" s="110">
        <f t="shared" si="21"/>
        <v>414564.75913344417</v>
      </c>
      <c r="K104" s="56"/>
      <c r="L104" s="121">
        <f t="shared" si="22"/>
        <v>694841.02588014479</v>
      </c>
      <c r="M104" s="122">
        <f t="shared" si="16"/>
        <v>3.712644170450508</v>
      </c>
      <c r="N104" s="110">
        <f t="shared" si="23"/>
        <v>2579697.4841237701</v>
      </c>
      <c r="O104" s="56"/>
      <c r="P104" s="110">
        <f t="shared" si="17"/>
        <v>2994262.2432572143</v>
      </c>
      <c r="Q104" s="56"/>
    </row>
    <row r="105" spans="2:17" x14ac:dyDescent="0.2">
      <c r="B105" s="57" t="s">
        <v>75</v>
      </c>
      <c r="C105" s="56"/>
      <c r="D105" s="121">
        <f t="shared" si="18"/>
        <v>573522.48946752911</v>
      </c>
      <c r="E105" s="122">
        <f t="shared" si="14"/>
        <v>6.3121857047470984</v>
      </c>
      <c r="F105" s="110">
        <f t="shared" si="19"/>
        <v>3620180.4593679057</v>
      </c>
      <c r="G105" s="56"/>
      <c r="H105" s="121">
        <f t="shared" si="20"/>
        <v>430501.00687574723</v>
      </c>
      <c r="I105" s="122">
        <f t="shared" si="15"/>
        <v>0.93471810208263284</v>
      </c>
      <c r="J105" s="110">
        <f t="shared" si="21"/>
        <v>402397.08409156092</v>
      </c>
      <c r="K105" s="56"/>
      <c r="L105" s="121">
        <f t="shared" si="22"/>
        <v>592288.73662368348</v>
      </c>
      <c r="M105" s="122">
        <f t="shared" si="16"/>
        <v>3.7123834992998814</v>
      </c>
      <c r="N105" s="110">
        <f t="shared" si="23"/>
        <v>2198802.9326629359</v>
      </c>
      <c r="O105" s="56"/>
      <c r="P105" s="110">
        <f t="shared" si="17"/>
        <v>2601200.0167544968</v>
      </c>
      <c r="Q105" s="56"/>
    </row>
    <row r="106" spans="2:17" x14ac:dyDescent="0.2">
      <c r="B106" s="57" t="s">
        <v>76</v>
      </c>
      <c r="C106" s="56"/>
      <c r="D106" s="121">
        <f t="shared" si="18"/>
        <v>581959.29926746618</v>
      </c>
      <c r="E106" s="122">
        <f t="shared" si="14"/>
        <v>6.2790597492246949</v>
      </c>
      <c r="F106" s="110">
        <f t="shared" si="19"/>
        <v>3654157.2117173555</v>
      </c>
      <c r="G106" s="56"/>
      <c r="H106" s="121">
        <f t="shared" si="20"/>
        <v>393916.38650710322</v>
      </c>
      <c r="I106" s="122">
        <f t="shared" si="15"/>
        <v>0.90282808383435875</v>
      </c>
      <c r="J106" s="110">
        <f t="shared" si="21"/>
        <v>355638.77642116265</v>
      </c>
      <c r="K106" s="56"/>
      <c r="L106" s="121">
        <f t="shared" si="22"/>
        <v>565975.56111712917</v>
      </c>
      <c r="M106" s="122">
        <f t="shared" si="16"/>
        <v>3.7186136184254228</v>
      </c>
      <c r="N106" s="110">
        <f t="shared" si="23"/>
        <v>2104644.4292661268</v>
      </c>
      <c r="O106" s="56"/>
      <c r="P106" s="110">
        <f t="shared" si="17"/>
        <v>2460283.2056872896</v>
      </c>
      <c r="Q106" s="56"/>
    </row>
    <row r="107" spans="2:17" x14ac:dyDescent="0.2">
      <c r="B107" s="57" t="s">
        <v>77</v>
      </c>
      <c r="C107" s="56"/>
      <c r="D107" s="121">
        <f t="shared" si="18"/>
        <v>618236.94211985846</v>
      </c>
      <c r="E107" s="122">
        <f t="shared" si="14"/>
        <v>6.2944443575596063</v>
      </c>
      <c r="F107" s="110">
        <f t="shared" si="19"/>
        <v>3891458.0319612478</v>
      </c>
      <c r="G107" s="56"/>
      <c r="H107" s="121">
        <f t="shared" si="20"/>
        <v>454463.14883991471</v>
      </c>
      <c r="I107" s="122">
        <f t="shared" si="15"/>
        <v>0.91356482052509358</v>
      </c>
      <c r="J107" s="110">
        <f t="shared" si="21"/>
        <v>415181.54500520555</v>
      </c>
      <c r="K107" s="56"/>
      <c r="L107" s="121">
        <f t="shared" si="22"/>
        <v>623658.74019802129</v>
      </c>
      <c r="M107" s="122">
        <f t="shared" si="16"/>
        <v>3.7157475945622829</v>
      </c>
      <c r="N107" s="110">
        <f t="shared" si="23"/>
        <v>2317358.4637185414</v>
      </c>
      <c r="O107" s="56"/>
      <c r="P107" s="110">
        <f t="shared" si="17"/>
        <v>2732540.008723747</v>
      </c>
      <c r="Q107" s="56"/>
    </row>
    <row r="108" spans="2:17" x14ac:dyDescent="0.2">
      <c r="B108" s="56"/>
      <c r="C108" s="56"/>
      <c r="D108" s="56"/>
      <c r="E108" s="56"/>
      <c r="F108" s="56"/>
      <c r="G108" s="56"/>
      <c r="H108" s="56"/>
      <c r="I108" s="56"/>
      <c r="J108" s="56"/>
      <c r="K108" s="56"/>
      <c r="L108" s="56"/>
      <c r="M108" s="56"/>
      <c r="N108" s="56"/>
      <c r="O108" s="56"/>
      <c r="P108" s="110"/>
      <c r="Q108" s="56"/>
    </row>
    <row r="109" spans="2:17" ht="13.5" thickBot="1" x14ac:dyDescent="0.25">
      <c r="B109" s="104" t="s">
        <v>5</v>
      </c>
      <c r="C109" s="56"/>
      <c r="D109" s="111">
        <f>SUM(D96:D107)</f>
        <v>7834751.6981998179</v>
      </c>
      <c r="E109" s="112">
        <f>IF(D109&lt;&gt;0,F109/D109,0)</f>
        <v>6.3031072691255252</v>
      </c>
      <c r="F109" s="113">
        <f>SUM(F96:F107)</f>
        <v>49383280.380716823</v>
      </c>
      <c r="G109" s="56"/>
      <c r="H109" s="111">
        <f>SUM(H96:H107)</f>
        <v>5433607.3026202656</v>
      </c>
      <c r="I109" s="112">
        <f>IF(H109&lt;&gt;0,J109/H109,0)</f>
        <v>0.91078657730985657</v>
      </c>
      <c r="J109" s="113">
        <f>SUM(J96:J107)</f>
        <v>4948856.5975993536</v>
      </c>
      <c r="K109" s="56"/>
      <c r="L109" s="111">
        <f>SUM(L96:L107)</f>
        <v>8014185.0631124955</v>
      </c>
      <c r="M109" s="112">
        <f>IF(L109&lt;&gt;0,N109/L109,0)</f>
        <v>3.7138406686899743</v>
      </c>
      <c r="N109" s="113">
        <f>SUM(N96:N107)</f>
        <v>29763406.413794912</v>
      </c>
      <c r="O109" s="56"/>
      <c r="P109" s="113">
        <f>SUM(P96:P107)</f>
        <v>34712263.01139427</v>
      </c>
      <c r="Q109" s="56"/>
    </row>
    <row r="111" spans="2:17" x14ac:dyDescent="0.2">
      <c r="N111" s="124" t="s">
        <v>82</v>
      </c>
      <c r="P111" s="125" t="e">
        <f>#REF!</f>
        <v>#REF!</v>
      </c>
    </row>
    <row r="113" spans="14:16" ht="13.5" thickBot="1" x14ac:dyDescent="0.25">
      <c r="N113" s="126" t="s">
        <v>83</v>
      </c>
      <c r="P113" s="113" t="e">
        <f>P109+P111</f>
        <v>#REF!</v>
      </c>
    </row>
  </sheetData>
  <mergeCells count="22">
    <mergeCell ref="B13:P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81B3F-47C8-4D87-AE7B-3EFFA01CECC1}">
  <dimension ref="A3:Q113"/>
  <sheetViews>
    <sheetView topLeftCell="A18" workbookViewId="0">
      <selection activeCell="A42" sqref="A42"/>
    </sheetView>
  </sheetViews>
  <sheetFormatPr defaultColWidth="9.28515625" defaultRowHeight="12.75" x14ac:dyDescent="0.2"/>
  <cols>
    <col min="1" max="1" width="56.7109375" style="31" customWidth="1"/>
    <col min="2" max="2" width="79.7109375" style="31" customWidth="1"/>
    <col min="3" max="3" width="9.28515625" style="129"/>
    <col min="4" max="4" width="16.28515625" style="129" customWidth="1"/>
    <col min="5" max="5" width="17.42578125" style="129" customWidth="1"/>
    <col min="6" max="6" width="16.28515625" style="129" customWidth="1"/>
    <col min="7" max="7" width="14.5703125" style="129" customWidth="1"/>
    <col min="8" max="8" width="11.5703125" style="129" customWidth="1"/>
    <col min="9" max="9" width="14.28515625" style="129" customWidth="1"/>
    <col min="10" max="10" width="14.42578125" style="129" customWidth="1"/>
    <col min="11" max="11" width="14.7109375" style="31" customWidth="1"/>
    <col min="12" max="12" width="14.28515625" style="31" customWidth="1"/>
    <col min="13" max="13" width="12.140625" style="31" customWidth="1"/>
    <col min="14" max="16384" width="9.28515625" style="31"/>
  </cols>
  <sheetData>
    <row r="3" spans="1:17" x14ac:dyDescent="0.2">
      <c r="D3" s="130"/>
      <c r="E3" s="131"/>
      <c r="F3" s="131"/>
      <c r="G3" s="131"/>
      <c r="H3" s="132"/>
      <c r="I3" s="131"/>
      <c r="J3" s="130"/>
    </row>
    <row r="4" spans="1:17" x14ac:dyDescent="0.2">
      <c r="D4" s="130"/>
      <c r="E4" s="131"/>
      <c r="F4" s="131"/>
      <c r="G4" s="131"/>
      <c r="H4" s="132"/>
      <c r="I4" s="131"/>
      <c r="J4" s="130"/>
    </row>
    <row r="5" spans="1:17" x14ac:dyDescent="0.2">
      <c r="D5" s="130"/>
      <c r="E5" s="131"/>
      <c r="F5" s="131"/>
      <c r="G5" s="131"/>
      <c r="H5" s="132"/>
      <c r="I5" s="131"/>
      <c r="J5" s="130"/>
    </row>
    <row r="6" spans="1:17" x14ac:dyDescent="0.2">
      <c r="D6" s="130"/>
      <c r="E6" s="131"/>
      <c r="F6" s="131"/>
      <c r="G6" s="131"/>
      <c r="H6" s="132"/>
      <c r="I6" s="131"/>
      <c r="J6" s="130"/>
    </row>
    <row r="7" spans="1:17" x14ac:dyDescent="0.2">
      <c r="D7" s="130"/>
      <c r="E7" s="131"/>
      <c r="F7" s="131"/>
      <c r="G7" s="131"/>
      <c r="H7" s="132"/>
      <c r="I7" s="131"/>
      <c r="J7" s="130"/>
    </row>
    <row r="8" spans="1:17" x14ac:dyDescent="0.2">
      <c r="D8" s="130"/>
      <c r="E8" s="131"/>
      <c r="F8" s="131"/>
      <c r="G8" s="131"/>
      <c r="H8" s="132"/>
      <c r="I8" s="131"/>
      <c r="J8" s="130"/>
    </row>
    <row r="9" spans="1:17" x14ac:dyDescent="0.2">
      <c r="D9" s="130"/>
      <c r="E9" s="131"/>
      <c r="F9" s="131"/>
      <c r="G9" s="131"/>
      <c r="H9" s="132"/>
      <c r="I9" s="131"/>
      <c r="J9" s="130"/>
    </row>
    <row r="10" spans="1:17" x14ac:dyDescent="0.2">
      <c r="D10" s="130"/>
      <c r="E10" s="131"/>
      <c r="F10" s="131"/>
      <c r="G10" s="131"/>
      <c r="H10" s="132"/>
      <c r="I10" s="131"/>
      <c r="J10" s="130"/>
    </row>
    <row r="11" spans="1:17" x14ac:dyDescent="0.2">
      <c r="D11" s="130"/>
      <c r="E11" s="131"/>
      <c r="F11" s="131"/>
      <c r="G11" s="131"/>
      <c r="H11" s="132"/>
      <c r="I11" s="131"/>
      <c r="J11" s="130"/>
    </row>
    <row r="12" spans="1:17" x14ac:dyDescent="0.2">
      <c r="D12" s="130"/>
      <c r="E12" s="131"/>
      <c r="F12" s="131"/>
      <c r="G12" s="131"/>
      <c r="H12" s="132"/>
      <c r="I12" s="131"/>
      <c r="J12" s="130"/>
    </row>
    <row r="13" spans="1:17" ht="15.75" x14ac:dyDescent="0.25">
      <c r="A13" s="133" t="s">
        <v>85</v>
      </c>
      <c r="C13" s="272" t="s">
        <v>201</v>
      </c>
      <c r="D13" s="272"/>
      <c r="E13" s="272"/>
      <c r="F13" s="272"/>
      <c r="G13" s="272"/>
      <c r="H13" s="272"/>
      <c r="I13" s="272" t="s">
        <v>200</v>
      </c>
      <c r="J13" s="272"/>
    </row>
    <row r="14" spans="1:17" x14ac:dyDescent="0.2">
      <c r="D14" s="130"/>
      <c r="E14" s="131"/>
      <c r="F14" s="131"/>
      <c r="G14" s="131"/>
      <c r="H14" s="132"/>
      <c r="I14" s="131"/>
      <c r="J14" s="130"/>
    </row>
    <row r="15" spans="1:17" ht="47.25" x14ac:dyDescent="0.2">
      <c r="A15" s="134" t="s">
        <v>20</v>
      </c>
      <c r="B15" s="134" t="s">
        <v>21</v>
      </c>
      <c r="C15" s="135" t="s">
        <v>22</v>
      </c>
      <c r="D15" s="136" t="s">
        <v>86</v>
      </c>
      <c r="E15" s="137" t="s">
        <v>27</v>
      </c>
      <c r="F15" s="138" t="s">
        <v>87</v>
      </c>
      <c r="G15" s="139" t="s">
        <v>88</v>
      </c>
      <c r="H15" s="140" t="s">
        <v>89</v>
      </c>
      <c r="I15" s="138" t="s">
        <v>90</v>
      </c>
      <c r="J15" s="141" t="s">
        <v>91</v>
      </c>
      <c r="K15" s="141" t="s">
        <v>205</v>
      </c>
      <c r="L15" s="141" t="s">
        <v>203</v>
      </c>
      <c r="M15" s="141" t="s">
        <v>204</v>
      </c>
    </row>
    <row r="16" spans="1:17" x14ac:dyDescent="0.2">
      <c r="A16" s="156" t="s">
        <v>227</v>
      </c>
      <c r="G16" s="142"/>
      <c r="Q16" s="154"/>
    </row>
    <row r="17" spans="1:17" x14ac:dyDescent="0.2">
      <c r="A17" s="31" t="s">
        <v>28</v>
      </c>
      <c r="B17" s="31" t="s">
        <v>29</v>
      </c>
      <c r="C17" s="129" t="s">
        <v>30</v>
      </c>
      <c r="D17" s="130">
        <v>1.1539144618924536E-2</v>
      </c>
      <c r="E17" s="142">
        <f>'3. RRR Data 2027'!H17</f>
        <v>1186764870.418963</v>
      </c>
      <c r="F17" s="142">
        <f>'3. RRR Data 2027'!F17</f>
        <v>0</v>
      </c>
      <c r="G17" s="142">
        <f>IF(D17*E17=0,ROUND(D17*F17,2),ROUND(D17*E17,2))</f>
        <v>13694251.470000001</v>
      </c>
      <c r="H17" s="143">
        <f t="shared" ref="H17:H27" si="0">G17/$G$38</f>
        <v>0.28447411001470185</v>
      </c>
      <c r="I17" s="142">
        <f>K17*$I$38</f>
        <v>20147108.719533972</v>
      </c>
      <c r="J17" s="130">
        <f>IF(I17*L17=0,ROUND(I17/M17,4),ROUND(I17/L17,4))</f>
        <v>1.23E-2</v>
      </c>
      <c r="K17" s="151">
        <f>H17+H29</f>
        <v>0.40797428935889429</v>
      </c>
      <c r="L17" s="148">
        <f>E17+E29</f>
        <v>1644084441.1349282</v>
      </c>
      <c r="M17" s="148">
        <f>F17+F29</f>
        <v>0</v>
      </c>
      <c r="Q17" s="154"/>
    </row>
    <row r="18" spans="1:17" x14ac:dyDescent="0.2">
      <c r="A18" s="31" t="s">
        <v>32</v>
      </c>
      <c r="B18" s="31" t="s">
        <v>29</v>
      </c>
      <c r="C18" s="129" t="s">
        <v>30</v>
      </c>
      <c r="D18" s="130">
        <v>1.2049726346911174E-2</v>
      </c>
      <c r="E18" s="142">
        <f>'3. RRR Data 2027'!H19</f>
        <v>14217780.440442448</v>
      </c>
      <c r="F18" s="142">
        <f>'3. RRR Data 2027'!F19</f>
        <v>0</v>
      </c>
      <c r="G18" s="142">
        <f t="shared" ref="G18:G37" si="1">IF(D18*E18=0,ROUND(D18*F18,2),ROUND(D18*E18,2))</f>
        <v>171320.36</v>
      </c>
      <c r="H18" s="143">
        <f t="shared" si="0"/>
        <v>3.5588806766959653E-3</v>
      </c>
      <c r="I18" s="142">
        <f t="shared" ref="I18:I27" si="2">K18*$I$38</f>
        <v>175749.20229879208</v>
      </c>
      <c r="J18" s="130">
        <f t="shared" ref="J18:J25" si="3">IF(I18*L18=0,ROUND(I18/M18,4),ROUND(I18/L18,4))</f>
        <v>1.24E-2</v>
      </c>
      <c r="K18" s="151">
        <f>H18</f>
        <v>3.5588806766959653E-3</v>
      </c>
      <c r="L18" s="148">
        <f>E18</f>
        <v>14217780.440442448</v>
      </c>
      <c r="M18" s="148">
        <f>F18</f>
        <v>0</v>
      </c>
      <c r="Q18" s="154"/>
    </row>
    <row r="19" spans="1:17" x14ac:dyDescent="0.2">
      <c r="A19" s="31" t="s">
        <v>33</v>
      </c>
      <c r="B19" s="31" t="s">
        <v>29</v>
      </c>
      <c r="C19" s="129" t="s">
        <v>30</v>
      </c>
      <c r="D19" s="130">
        <v>1.0517981379888372E-2</v>
      </c>
      <c r="E19" s="142">
        <f>'3. RRR Data 2027'!H21</f>
        <v>295848099.2037487</v>
      </c>
      <c r="F19" s="142">
        <f>'3. RRR Data 2027'!F21</f>
        <v>0</v>
      </c>
      <c r="G19" s="142">
        <f t="shared" si="1"/>
        <v>3111724.8</v>
      </c>
      <c r="H19" s="143">
        <f t="shared" si="0"/>
        <v>6.4640637352826116E-2</v>
      </c>
      <c r="I19" s="142">
        <f t="shared" si="2"/>
        <v>4364681.9308945546</v>
      </c>
      <c r="J19" s="130">
        <f>IF(I19*L19=0,ROUND(I19/M19,4),ROUND(I19/L19,4))</f>
        <v>1.11E-2</v>
      </c>
      <c r="K19" s="151">
        <f>H19+H30</f>
        <v>8.8383799076233005E-2</v>
      </c>
      <c r="L19" s="148">
        <f t="shared" ref="L19:M23" si="4">E19+E30</f>
        <v>391895836.7545191</v>
      </c>
      <c r="M19" s="148">
        <f t="shared" si="4"/>
        <v>0</v>
      </c>
      <c r="Q19" s="154"/>
    </row>
    <row r="20" spans="1:17" x14ac:dyDescent="0.2">
      <c r="A20" s="31" t="s">
        <v>34</v>
      </c>
      <c r="B20" s="31" t="s">
        <v>29</v>
      </c>
      <c r="C20" s="129" t="s">
        <v>35</v>
      </c>
      <c r="D20" s="130">
        <v>5.1449267536175354</v>
      </c>
      <c r="E20" s="142"/>
      <c r="F20" s="142">
        <f>'3. RRR Data 2027'!F23</f>
        <v>2423617.9621344004</v>
      </c>
      <c r="G20" s="142">
        <f t="shared" si="1"/>
        <v>12469336.890000001</v>
      </c>
      <c r="H20" s="143">
        <f t="shared" si="0"/>
        <v>0.25902865315618745</v>
      </c>
      <c r="I20" s="142">
        <f t="shared" si="2"/>
        <v>16907146.843400937</v>
      </c>
      <c r="J20" s="130">
        <f>IF(I20*L20=0,ROUND(I20/M20,4),ROUND(I20/L20,4))</f>
        <v>5.1581999999999999</v>
      </c>
      <c r="K20" s="151">
        <f>H20+H31</f>
        <v>0.3423658111218314</v>
      </c>
      <c r="L20" s="148">
        <f t="shared" si="4"/>
        <v>0</v>
      </c>
      <c r="M20" s="148">
        <f t="shared" si="4"/>
        <v>3277745.8909923313</v>
      </c>
      <c r="Q20" s="154"/>
    </row>
    <row r="21" spans="1:17" x14ac:dyDescent="0.2">
      <c r="A21" s="31" t="s">
        <v>34</v>
      </c>
      <c r="B21" s="31" t="s">
        <v>36</v>
      </c>
      <c r="C21" s="129" t="s">
        <v>35</v>
      </c>
      <c r="D21" s="130">
        <v>0.87463754811498107</v>
      </c>
      <c r="E21" s="142"/>
      <c r="F21" s="142">
        <f>'3. RRR Data 2027'!F25</f>
        <v>15773.007412233179</v>
      </c>
      <c r="G21" s="142">
        <f t="shared" si="1"/>
        <v>13795.66</v>
      </c>
      <c r="H21" s="143">
        <f t="shared" si="0"/>
        <v>2.8658069476545267E-4</v>
      </c>
      <c r="I21" s="142">
        <f t="shared" si="2"/>
        <v>17866.030137266385</v>
      </c>
      <c r="J21" s="130">
        <f t="shared" si="3"/>
        <v>0.87980000000000003</v>
      </c>
      <c r="K21" s="151">
        <f>H21+H32</f>
        <v>3.6178297592888767E-4</v>
      </c>
      <c r="L21" s="148">
        <f t="shared" si="4"/>
        <v>0</v>
      </c>
      <c r="M21" s="148">
        <f t="shared" si="4"/>
        <v>20306.695787369717</v>
      </c>
      <c r="Q21" s="154"/>
    </row>
    <row r="22" spans="1:17" x14ac:dyDescent="0.2">
      <c r="A22" s="31" t="s">
        <v>38</v>
      </c>
      <c r="B22" s="31" t="s">
        <v>29</v>
      </c>
      <c r="C22" s="129" t="s">
        <v>35</v>
      </c>
      <c r="D22" s="130">
        <v>5.6684771362466861</v>
      </c>
      <c r="E22" s="142"/>
      <c r="F22" s="142">
        <f>'3. RRR Data 2027'!F27</f>
        <v>409833.7729541196</v>
      </c>
      <c r="G22" s="142">
        <f t="shared" si="1"/>
        <v>2323133.37</v>
      </c>
      <c r="H22" s="143">
        <f t="shared" si="0"/>
        <v>4.8259030391254024E-2</v>
      </c>
      <c r="I22" s="142">
        <f t="shared" si="2"/>
        <v>3467471.2948111966</v>
      </c>
      <c r="J22" s="130">
        <f t="shared" si="3"/>
        <v>5.4617000000000004</v>
      </c>
      <c r="K22" s="151">
        <f>H22+H33</f>
        <v>7.021549131768845E-2</v>
      </c>
      <c r="L22" s="148">
        <f t="shared" si="4"/>
        <v>0</v>
      </c>
      <c r="M22" s="148">
        <f t="shared" si="4"/>
        <v>634866.96313706157</v>
      </c>
      <c r="Q22" s="154"/>
    </row>
    <row r="23" spans="1:17" x14ac:dyDescent="0.2">
      <c r="A23" s="31" t="s">
        <v>38</v>
      </c>
      <c r="B23" s="31" t="s">
        <v>36</v>
      </c>
      <c r="C23" s="129" t="s">
        <v>35</v>
      </c>
      <c r="D23" s="130">
        <v>0.96364111316193668</v>
      </c>
      <c r="E23" s="142"/>
      <c r="F23" s="142">
        <f>'3. RRR Data 2027'!F29</f>
        <v>0</v>
      </c>
      <c r="G23" s="142">
        <f t="shared" si="1"/>
        <v>0</v>
      </c>
      <c r="H23" s="143">
        <f t="shared" si="0"/>
        <v>0</v>
      </c>
      <c r="I23" s="142">
        <f t="shared" si="2"/>
        <v>0</v>
      </c>
      <c r="J23" s="130" t="e">
        <f t="shared" si="3"/>
        <v>#DIV/0!</v>
      </c>
      <c r="K23" s="151">
        <f>H23+H34</f>
        <v>0</v>
      </c>
      <c r="L23" s="148">
        <f t="shared" si="4"/>
        <v>0</v>
      </c>
      <c r="M23" s="148">
        <f t="shared" si="4"/>
        <v>0</v>
      </c>
      <c r="Q23" s="154"/>
    </row>
    <row r="24" spans="1:17" x14ac:dyDescent="0.2">
      <c r="A24" s="31" t="s">
        <v>41</v>
      </c>
      <c r="B24" s="31" t="s">
        <v>29</v>
      </c>
      <c r="C24" s="129" t="s">
        <v>35</v>
      </c>
      <c r="D24" s="130">
        <v>5.6684771560311722</v>
      </c>
      <c r="E24" s="142"/>
      <c r="F24" s="142">
        <f>'3. RRR Data 2027'!F31</f>
        <v>700459.585062181</v>
      </c>
      <c r="G24" s="142">
        <f t="shared" si="1"/>
        <v>3970539.16</v>
      </c>
      <c r="H24" s="143">
        <f t="shared" si="0"/>
        <v>8.2481002798433484E-2</v>
      </c>
      <c r="I24" s="142">
        <f t="shared" si="2"/>
        <v>4073182.4872777294</v>
      </c>
      <c r="J24" s="130">
        <f t="shared" si="3"/>
        <v>5.8150000000000004</v>
      </c>
      <c r="K24" s="151">
        <f>H24</f>
        <v>8.2481002798433484E-2</v>
      </c>
      <c r="L24" s="148">
        <f>E24</f>
        <v>0</v>
      </c>
      <c r="M24" s="148">
        <f>F24</f>
        <v>700459.585062181</v>
      </c>
      <c r="Q24" s="154"/>
    </row>
    <row r="25" spans="1:17" x14ac:dyDescent="0.2">
      <c r="A25" s="31" t="s">
        <v>42</v>
      </c>
      <c r="B25" s="31" t="s">
        <v>29</v>
      </c>
      <c r="C25" s="129" t="s">
        <v>30</v>
      </c>
      <c r="D25" s="130">
        <v>1.051798024896464E-2</v>
      </c>
      <c r="E25" s="142">
        <f>'3. RRR Data 2027'!H33</f>
        <v>4627579.9512102036</v>
      </c>
      <c r="F25" s="142">
        <f>'3. RRR Data 2027'!F33</f>
        <v>0</v>
      </c>
      <c r="G25" s="142">
        <f t="shared" si="1"/>
        <v>48672.79</v>
      </c>
      <c r="H25" s="143">
        <f t="shared" si="0"/>
        <v>1.0110920372329397E-3</v>
      </c>
      <c r="I25" s="142">
        <f t="shared" si="2"/>
        <v>74677.507205343645</v>
      </c>
      <c r="J25" s="130">
        <f t="shared" si="3"/>
        <v>1.12E-2</v>
      </c>
      <c r="K25" s="151">
        <f>H25+H35</f>
        <v>1.5122022399002822E-3</v>
      </c>
      <c r="L25" s="148">
        <f t="shared" ref="L25:M27" si="5">E25+E35</f>
        <v>6654711.1809060592</v>
      </c>
      <c r="M25" s="148">
        <f t="shared" si="5"/>
        <v>0</v>
      </c>
    </row>
    <row r="26" spans="1:17" x14ac:dyDescent="0.2">
      <c r="A26" s="31" t="s">
        <v>43</v>
      </c>
      <c r="B26" s="31" t="s">
        <v>29</v>
      </c>
      <c r="C26" s="129" t="s">
        <v>35</v>
      </c>
      <c r="D26" s="130">
        <v>3.2091196030135385</v>
      </c>
      <c r="E26" s="142"/>
      <c r="F26" s="142">
        <f>'3. RRR Data 2027'!F35</f>
        <v>571.17035989444037</v>
      </c>
      <c r="G26" s="142">
        <f t="shared" si="1"/>
        <v>1832.95</v>
      </c>
      <c r="H26" s="143">
        <f t="shared" si="0"/>
        <v>3.8076328676579191E-5</v>
      </c>
      <c r="I26" s="142">
        <f t="shared" si="2"/>
        <v>2223.9223678931412</v>
      </c>
      <c r="J26" s="130">
        <f>IF(I26*L26=0,ROUND(I26/M26,4),ROUND(I26/L26,4))</f>
        <v>3.3429000000000002</v>
      </c>
      <c r="K26" s="151">
        <f>H26+H36</f>
        <v>4.5033913315356388E-5</v>
      </c>
      <c r="L26" s="148">
        <f t="shared" si="5"/>
        <v>0</v>
      </c>
      <c r="M26" s="148">
        <f t="shared" si="5"/>
        <v>665.263182287826</v>
      </c>
    </row>
    <row r="27" spans="1:17" x14ac:dyDescent="0.2">
      <c r="A27" s="31" t="s">
        <v>44</v>
      </c>
      <c r="B27" s="31" t="s">
        <v>29</v>
      </c>
      <c r="C27" s="129" t="s">
        <v>35</v>
      </c>
      <c r="D27" s="130">
        <v>3.3789269189922151</v>
      </c>
      <c r="E27" s="142"/>
      <c r="F27" s="142">
        <f>'3. RRR Data 2027'!F37</f>
        <v>33370.10574138326</v>
      </c>
      <c r="G27" s="142">
        <f t="shared" si="1"/>
        <v>112755.15</v>
      </c>
      <c r="H27" s="143">
        <f t="shared" si="0"/>
        <v>2.342290925217266E-3</v>
      </c>
      <c r="I27" s="142">
        <f t="shared" si="2"/>
        <v>153172.44278913763</v>
      </c>
      <c r="J27" s="130">
        <f t="shared" ref="J27" si="6">IF(I27*L27=0,ROUND(I27/M27,4),ROUND(I27/L27,4))</f>
        <v>3.5059</v>
      </c>
      <c r="K27" s="151">
        <f>H27+H37</f>
        <v>3.101706521078911E-3</v>
      </c>
      <c r="L27" s="148">
        <f t="shared" si="5"/>
        <v>0</v>
      </c>
      <c r="M27" s="148">
        <f t="shared" si="5"/>
        <v>43690.053531874008</v>
      </c>
    </row>
    <row r="28" spans="1:17" x14ac:dyDescent="0.2">
      <c r="A28" s="156" t="s">
        <v>229</v>
      </c>
      <c r="D28" s="130"/>
      <c r="E28" s="142"/>
      <c r="F28" s="142"/>
      <c r="G28" s="142"/>
      <c r="H28" s="143"/>
      <c r="I28" s="142"/>
      <c r="J28" s="130"/>
      <c r="K28" s="151"/>
      <c r="L28" s="148"/>
      <c r="M28" s="148"/>
    </row>
    <row r="29" spans="1:17" x14ac:dyDescent="0.2">
      <c r="A29" s="31" t="s">
        <v>28</v>
      </c>
      <c r="B29" s="31" t="s">
        <v>29</v>
      </c>
      <c r="C29" s="129" t="s">
        <v>30</v>
      </c>
      <c r="D29" s="130">
        <v>1.2999999999999999E-2</v>
      </c>
      <c r="E29" s="142">
        <f>'3. RRR Data 2027'!H40</f>
        <v>457319570.71596515</v>
      </c>
      <c r="F29" s="142">
        <f>'3. RRR Data 2027'!F40</f>
        <v>0</v>
      </c>
      <c r="G29" s="142">
        <f>IF(D29*E29=0,ROUND(D29*F29,2),ROUND(D29*E29,2))</f>
        <v>5945154.4199999999</v>
      </c>
      <c r="H29" s="143">
        <f t="shared" ref="H29:H37" si="7">G29/$G$38</f>
        <v>0.12350017934419243</v>
      </c>
      <c r="I29" s="142"/>
      <c r="J29" s="130"/>
      <c r="K29" s="151"/>
      <c r="M29" s="148"/>
    </row>
    <row r="30" spans="1:17" x14ac:dyDescent="0.2">
      <c r="A30" s="31" t="s">
        <v>33</v>
      </c>
      <c r="B30" s="31" t="s">
        <v>29</v>
      </c>
      <c r="C30" s="129" t="s">
        <v>30</v>
      </c>
      <c r="D30" s="130">
        <v>1.1900000000000001E-2</v>
      </c>
      <c r="E30" s="142">
        <f>'3. RRR Data 2027'!H42</f>
        <v>96047737.550770387</v>
      </c>
      <c r="F30" s="142">
        <f>'3. RRR Data 2027'!F42</f>
        <v>0</v>
      </c>
      <c r="G30" s="142">
        <f t="shared" si="1"/>
        <v>1142968.08</v>
      </c>
      <c r="H30" s="143">
        <f t="shared" si="7"/>
        <v>2.3743161723406889E-2</v>
      </c>
      <c r="I30" s="142"/>
      <c r="J30" s="130"/>
    </row>
    <row r="31" spans="1:17" x14ac:dyDescent="0.2">
      <c r="A31" s="31" t="s">
        <v>95</v>
      </c>
      <c r="B31" s="31" t="s">
        <v>29</v>
      </c>
      <c r="C31" s="129" t="s">
        <v>35</v>
      </c>
      <c r="D31" s="130">
        <v>4.6969000000000003</v>
      </c>
      <c r="E31" s="142"/>
      <c r="F31" s="142">
        <f>'3. RRR Data 2027'!F44</f>
        <v>854127.9288579307</v>
      </c>
      <c r="G31" s="142">
        <f t="shared" si="1"/>
        <v>4011753.47</v>
      </c>
      <c r="H31" s="143">
        <f t="shared" si="7"/>
        <v>8.3337157965643949E-2</v>
      </c>
      <c r="I31" s="142"/>
      <c r="J31" s="130"/>
    </row>
    <row r="32" spans="1:17" x14ac:dyDescent="0.2">
      <c r="A32" s="31" t="s">
        <v>95</v>
      </c>
      <c r="B32" s="31" t="s">
        <v>36</v>
      </c>
      <c r="C32" s="129" t="s">
        <v>35</v>
      </c>
      <c r="D32" s="130">
        <v>0.79849999999999999</v>
      </c>
      <c r="E32" s="142"/>
      <c r="F32" s="142">
        <f>'3. RRR Data 2027'!F46</f>
        <v>4533.6883751365367</v>
      </c>
      <c r="G32" s="142">
        <f t="shared" si="1"/>
        <v>3620.15</v>
      </c>
      <c r="H32" s="143">
        <f>G32/$G$38</f>
        <v>7.5202281163434985E-5</v>
      </c>
      <c r="I32" s="142"/>
      <c r="J32" s="130"/>
    </row>
    <row r="33" spans="1:13" x14ac:dyDescent="0.2">
      <c r="A33" s="31" t="str">
        <f t="shared" ref="A33:C34" si="8">A20</f>
        <v>General Service 50 To 2,999 kW Service Classification</v>
      </c>
      <c r="B33" s="31" t="str">
        <f t="shared" si="8"/>
        <v>Retail Transmission Rate - Network Service Rate</v>
      </c>
      <c r="C33" s="129" t="str">
        <f t="shared" si="8"/>
        <v>$/kW</v>
      </c>
      <c r="D33" s="130">
        <f>D31</f>
        <v>4.6969000000000003</v>
      </c>
      <c r="E33" s="142"/>
      <c r="F33" s="142">
        <f>'3. RRR Data 2027'!F48</f>
        <v>225033.19018294194</v>
      </c>
      <c r="G33" s="142">
        <f t="shared" si="1"/>
        <v>1056958.3899999999</v>
      </c>
      <c r="H33" s="143">
        <f t="shared" si="7"/>
        <v>2.1956460926434419E-2</v>
      </c>
      <c r="I33" s="142"/>
      <c r="J33" s="130"/>
    </row>
    <row r="34" spans="1:13" x14ac:dyDescent="0.2">
      <c r="A34" s="31" t="str">
        <f t="shared" si="8"/>
        <v>General Service 50 To 2,999 kW Service Classification</v>
      </c>
      <c r="B34" s="31" t="str">
        <f t="shared" si="8"/>
        <v>Retail Transmission Rate - Network Service Rate - EV CHARGING</v>
      </c>
      <c r="C34" s="129" t="str">
        <f t="shared" si="8"/>
        <v>$/kW</v>
      </c>
      <c r="D34" s="130">
        <f>D32</f>
        <v>0.79849999999999999</v>
      </c>
      <c r="E34" s="142">
        <f>'3. RRR Data 2027'!H50</f>
        <v>0</v>
      </c>
      <c r="F34" s="142">
        <f>'3. RRR Data 2027'!F50</f>
        <v>0</v>
      </c>
      <c r="G34" s="142">
        <f t="shared" si="1"/>
        <v>0</v>
      </c>
      <c r="H34" s="143">
        <f t="shared" si="7"/>
        <v>0</v>
      </c>
      <c r="I34" s="142"/>
      <c r="J34" s="130"/>
    </row>
    <row r="35" spans="1:13" x14ac:dyDescent="0.2">
      <c r="A35" s="31" t="s">
        <v>42</v>
      </c>
      <c r="B35" s="31" t="s">
        <v>29</v>
      </c>
      <c r="C35" s="129" t="s">
        <v>30</v>
      </c>
      <c r="D35" s="130">
        <v>1.1900000000000001E-2</v>
      </c>
      <c r="E35" s="142">
        <f>'3. RRR Data 2027'!H52</f>
        <v>2027131.2296958554</v>
      </c>
      <c r="F35" s="142">
        <f>'3. RRR Data 2027'!F52</f>
        <v>0</v>
      </c>
      <c r="G35" s="142">
        <f t="shared" si="1"/>
        <v>24122.86</v>
      </c>
      <c r="H35" s="143">
        <f t="shared" si="7"/>
        <v>5.0111020266734236E-4</v>
      </c>
      <c r="I35" s="142"/>
      <c r="J35" s="130"/>
    </row>
    <row r="36" spans="1:13" x14ac:dyDescent="0.2">
      <c r="A36" s="31" t="s">
        <v>43</v>
      </c>
      <c r="B36" s="31" t="s">
        <v>29</v>
      </c>
      <c r="C36" s="129" t="s">
        <v>35</v>
      </c>
      <c r="D36" s="130">
        <v>3.5596000000000001</v>
      </c>
      <c r="E36" s="142"/>
      <c r="F36" s="142">
        <f>'3. RRR Data 2027'!F54</f>
        <v>94.092822393385603</v>
      </c>
      <c r="G36" s="142">
        <f>IF(D36*E36=0,ROUND(D36*F36,2),ROUND(D36*E36,2))</f>
        <v>334.93</v>
      </c>
      <c r="H36" s="143">
        <f>G36/$G$38</f>
        <v>6.9575846387771998E-6</v>
      </c>
      <c r="I36" s="142"/>
      <c r="J36" s="130"/>
    </row>
    <row r="37" spans="1:13" x14ac:dyDescent="0.2">
      <c r="A37" s="31" t="s">
        <v>44</v>
      </c>
      <c r="B37" s="31" t="s">
        <v>29</v>
      </c>
      <c r="C37" s="129" t="s">
        <v>35</v>
      </c>
      <c r="D37" s="130">
        <v>3.5424000000000002</v>
      </c>
      <c r="E37" s="142"/>
      <c r="F37" s="142">
        <f>'3. RRR Data 2027'!F56</f>
        <v>10319.947790490745</v>
      </c>
      <c r="G37" s="142">
        <f t="shared" si="1"/>
        <v>36557.379999999997</v>
      </c>
      <c r="H37" s="143">
        <f t="shared" si="7"/>
        <v>7.5941559586164512E-4</v>
      </c>
      <c r="I37" s="142"/>
      <c r="J37" s="130"/>
    </row>
    <row r="38" spans="1:13" x14ac:dyDescent="0.2">
      <c r="D38" s="130"/>
      <c r="E38" s="142"/>
      <c r="F38" s="142"/>
      <c r="G38" s="142">
        <f>SUM(G17:G37)</f>
        <v>48138832.280000001</v>
      </c>
      <c r="H38" s="143">
        <f>G38/$G$38</f>
        <v>1</v>
      </c>
      <c r="I38" s="142">
        <f>'7. Forecast Wholesale 2027'!F33+'7. Forecast Wholesale 2027'!F52</f>
        <v>49383280.380716823</v>
      </c>
      <c r="J38" s="130"/>
    </row>
    <row r="40" spans="1:13" ht="15.75" x14ac:dyDescent="0.25">
      <c r="A40" s="133" t="s">
        <v>92</v>
      </c>
    </row>
    <row r="41" spans="1:13" ht="47.25" x14ac:dyDescent="0.2">
      <c r="A41" s="134" t="s">
        <v>20</v>
      </c>
      <c r="B41" s="134" t="s">
        <v>21</v>
      </c>
      <c r="C41" s="135" t="s">
        <v>22</v>
      </c>
      <c r="D41" s="136" t="s">
        <v>93</v>
      </c>
      <c r="E41" s="137" t="s">
        <v>27</v>
      </c>
      <c r="F41" s="138" t="s">
        <v>87</v>
      </c>
      <c r="G41" s="139" t="s">
        <v>88</v>
      </c>
      <c r="H41" s="140" t="s">
        <v>89</v>
      </c>
      <c r="I41" s="138" t="s">
        <v>90</v>
      </c>
      <c r="J41" s="141" t="s">
        <v>94</v>
      </c>
      <c r="K41" s="141" t="s">
        <v>205</v>
      </c>
      <c r="L41" s="141" t="s">
        <v>203</v>
      </c>
      <c r="M41" s="141" t="s">
        <v>204</v>
      </c>
    </row>
    <row r="42" spans="1:13" x14ac:dyDescent="0.2">
      <c r="A42" s="156" t="s">
        <v>227</v>
      </c>
    </row>
    <row r="43" spans="1:13" x14ac:dyDescent="0.2">
      <c r="A43" s="31" t="s">
        <v>28</v>
      </c>
      <c r="B43" s="31" t="s">
        <v>31</v>
      </c>
      <c r="C43" s="129" t="s">
        <v>30</v>
      </c>
      <c r="D43" s="130">
        <v>7.8297897603691793E-3</v>
      </c>
      <c r="E43" s="142">
        <f>'3. RRR Data 2027'!H18</f>
        <v>1186764870.418963</v>
      </c>
      <c r="F43" s="142">
        <f>'3. RRR Data 2027'!F18</f>
        <v>0</v>
      </c>
      <c r="G43" s="142">
        <f>IF(D43*E43=0,ROUND(D43*F43,2),ROUND(D43*E43,2))</f>
        <v>9292119.4299999997</v>
      </c>
      <c r="H43" s="143">
        <f t="shared" ref="H43:H53" si="9">G43/$G$64</f>
        <v>0.28012025774677995</v>
      </c>
      <c r="I43" s="142">
        <f>K43*$I$64</f>
        <v>14365597.882345019</v>
      </c>
      <c r="J43" s="130">
        <f>IF(I43*L43=0,ROUND(I43/M43,4),ROUND(I43/L43,4))</f>
        <v>8.6999999999999994E-3</v>
      </c>
      <c r="K43" s="151">
        <f>H43+H55</f>
        <v>0.41384792105399537</v>
      </c>
      <c r="L43" s="148">
        <f>E43+E55</f>
        <v>1644084441.1349282</v>
      </c>
      <c r="M43" s="148">
        <f>F43+F55</f>
        <v>0</v>
      </c>
    </row>
    <row r="44" spans="1:13" x14ac:dyDescent="0.2">
      <c r="A44" s="31" t="s">
        <v>32</v>
      </c>
      <c r="B44" s="31" t="s">
        <v>31</v>
      </c>
      <c r="C44" s="129" t="s">
        <v>30</v>
      </c>
      <c r="D44" s="130">
        <v>1.0066872254823844E-2</v>
      </c>
      <c r="E44" s="142">
        <f>'3. RRR Data 2027'!H20</f>
        <v>14217780.440442448</v>
      </c>
      <c r="F44" s="142">
        <f>'3. RRR Data 2027'!F20</f>
        <v>0</v>
      </c>
      <c r="G44" s="142">
        <f t="shared" ref="G44:G63" si="10">IF(D44*E44=0,ROUND(D44*F44,2),ROUND(D44*E44,2))</f>
        <v>143128.57999999999</v>
      </c>
      <c r="H44" s="143">
        <f t="shared" si="9"/>
        <v>4.3147545640758742E-3</v>
      </c>
      <c r="I44" s="142">
        <f t="shared" ref="I44:I53" si="11">K44*$I$64</f>
        <v>149774.89525781557</v>
      </c>
      <c r="J44" s="130">
        <f t="shared" ref="J44:J45" si="12">IF(I44*L44=0,ROUND(I44/M44,4),ROUND(I44/L44,4))</f>
        <v>1.0500000000000001E-2</v>
      </c>
      <c r="K44" s="151">
        <f>H44</f>
        <v>4.3147545640758742E-3</v>
      </c>
      <c r="L44" s="148">
        <f>E44</f>
        <v>14217780.440442448</v>
      </c>
      <c r="M44" s="148">
        <f>F44</f>
        <v>0</v>
      </c>
    </row>
    <row r="45" spans="1:13" x14ac:dyDescent="0.2">
      <c r="A45" s="31" t="s">
        <v>33</v>
      </c>
      <c r="B45" s="31" t="s">
        <v>31</v>
      </c>
      <c r="C45" s="129" t="s">
        <v>30</v>
      </c>
      <c r="D45" s="130">
        <v>7.3213618475727257E-3</v>
      </c>
      <c r="E45" s="142">
        <f>'3. RRR Data 2027'!H22</f>
        <v>295848099.2037487</v>
      </c>
      <c r="F45" s="142">
        <f>'3. RRR Data 2027'!F22</f>
        <v>0</v>
      </c>
      <c r="G45" s="142">
        <f>IF(D45*E45=0,ROUND(D45*F45,2),ROUND(D45*E45,2))</f>
        <v>2166010.9900000002</v>
      </c>
      <c r="H45" s="143">
        <f t="shared" si="9"/>
        <v>6.5296573227660082E-2</v>
      </c>
      <c r="I45" s="142">
        <f t="shared" si="11"/>
        <v>3181212.8742142497</v>
      </c>
      <c r="J45" s="130">
        <f t="shared" si="12"/>
        <v>8.0999999999999996E-3</v>
      </c>
      <c r="K45" s="151">
        <f>H45+H56</f>
        <v>9.1645216941632968E-2</v>
      </c>
      <c r="L45" s="148">
        <f t="shared" ref="L45:M49" si="13">E45+E56</f>
        <v>391895836.7545191</v>
      </c>
      <c r="M45" s="148">
        <f t="shared" si="13"/>
        <v>0</v>
      </c>
    </row>
    <row r="46" spans="1:13" x14ac:dyDescent="0.2">
      <c r="A46" s="31" t="s">
        <v>34</v>
      </c>
      <c r="B46" s="31" t="s">
        <v>31</v>
      </c>
      <c r="C46" s="129" t="s">
        <v>35</v>
      </c>
      <c r="D46" s="130">
        <v>3.3911124474484144</v>
      </c>
      <c r="E46" s="142"/>
      <c r="F46" s="142">
        <f>'3. RRR Data 2027'!F24</f>
        <v>2423617.9621344004</v>
      </c>
      <c r="G46" s="142">
        <f t="shared" si="10"/>
        <v>8218761.04</v>
      </c>
      <c r="H46" s="143">
        <f t="shared" si="9"/>
        <v>0.24776279278666066</v>
      </c>
      <c r="I46" s="142">
        <f t="shared" si="11"/>
        <v>11697390.241272505</v>
      </c>
      <c r="J46" s="130">
        <f>IF(I46*L46=0,ROUND(I46/M46,4),ROUND(I46/L46,4))</f>
        <v>3.5687000000000002</v>
      </c>
      <c r="K46" s="151">
        <f>H46+H57</f>
        <v>0.33698149375720182</v>
      </c>
      <c r="L46" s="148">
        <f t="shared" si="13"/>
        <v>0</v>
      </c>
      <c r="M46" s="148">
        <f t="shared" si="13"/>
        <v>3277745.8909923313</v>
      </c>
    </row>
    <row r="47" spans="1:13" x14ac:dyDescent="0.2">
      <c r="A47" s="31" t="s">
        <v>34</v>
      </c>
      <c r="B47" s="31" t="s">
        <v>37</v>
      </c>
      <c r="C47" s="129" t="s">
        <v>35</v>
      </c>
      <c r="D47" s="130">
        <v>0.57648911606623054</v>
      </c>
      <c r="E47" s="142"/>
      <c r="F47" s="142">
        <f>'3. RRR Data 2027'!F26</f>
        <v>15773.007412233179</v>
      </c>
      <c r="G47" s="142">
        <f t="shared" si="10"/>
        <v>9092.9699999999993</v>
      </c>
      <c r="H47" s="143">
        <f t="shared" si="9"/>
        <v>2.7411669848541082E-4</v>
      </c>
      <c r="I47" s="142">
        <f t="shared" si="11"/>
        <v>12309.550776897349</v>
      </c>
      <c r="J47" s="130">
        <f t="shared" ref="J47:J51" si="14">IF(I47*L47=0,ROUND(I47/M47,4),ROUND(I47/L47,4))</f>
        <v>0.60619999999999996</v>
      </c>
      <c r="K47" s="151">
        <f>H47+H58</f>
        <v>3.5461677542765653E-4</v>
      </c>
      <c r="L47" s="148">
        <f t="shared" si="13"/>
        <v>0</v>
      </c>
      <c r="M47" s="148">
        <f t="shared" si="13"/>
        <v>20306.695787369717</v>
      </c>
    </row>
    <row r="48" spans="1:13" x14ac:dyDescent="0.2">
      <c r="A48" s="31" t="s">
        <v>38</v>
      </c>
      <c r="B48" s="31" t="s">
        <v>39</v>
      </c>
      <c r="C48" s="129" t="s">
        <v>35</v>
      </c>
      <c r="D48" s="130">
        <v>3.7242344123987525</v>
      </c>
      <c r="E48" s="142"/>
      <c r="F48" s="142">
        <f>'3. RRR Data 2027'!F28</f>
        <v>409833.7729541196</v>
      </c>
      <c r="G48" s="142">
        <f t="shared" si="10"/>
        <v>1526317.04</v>
      </c>
      <c r="H48" s="143">
        <f t="shared" si="9"/>
        <v>4.6012357661668828E-2</v>
      </c>
      <c r="I48" s="142">
        <f t="shared" si="11"/>
        <v>2413141.0485910522</v>
      </c>
      <c r="J48" s="130">
        <f t="shared" si="14"/>
        <v>3.8010000000000002</v>
      </c>
      <c r="K48" s="151">
        <f>H48+H59</f>
        <v>6.9518401833926546E-2</v>
      </c>
      <c r="L48" s="148">
        <f t="shared" si="13"/>
        <v>0</v>
      </c>
      <c r="M48" s="148">
        <f t="shared" si="13"/>
        <v>634866.96313706157</v>
      </c>
    </row>
    <row r="49" spans="1:13" x14ac:dyDescent="0.2">
      <c r="A49" s="31" t="s">
        <v>38</v>
      </c>
      <c r="B49" s="31" t="s">
        <v>40</v>
      </c>
      <c r="C49" s="129" t="s">
        <v>35</v>
      </c>
      <c r="D49" s="130">
        <v>0.63311985010778793</v>
      </c>
      <c r="E49" s="142">
        <f>'3. RRR Data 2027'!H30</f>
        <v>0</v>
      </c>
      <c r="F49" s="142">
        <f>'3. RRR Data 2027'!F30</f>
        <v>0</v>
      </c>
      <c r="G49" s="142">
        <f t="shared" si="10"/>
        <v>0</v>
      </c>
      <c r="H49" s="143">
        <f t="shared" si="9"/>
        <v>0</v>
      </c>
      <c r="I49" s="142">
        <f t="shared" si="11"/>
        <v>0</v>
      </c>
      <c r="J49" s="130" t="e">
        <f t="shared" si="14"/>
        <v>#DIV/0!</v>
      </c>
      <c r="K49" s="151">
        <f>H49+H60</f>
        <v>0</v>
      </c>
      <c r="L49" s="148">
        <f t="shared" si="13"/>
        <v>0</v>
      </c>
      <c r="M49" s="148">
        <f t="shared" si="13"/>
        <v>0</v>
      </c>
    </row>
    <row r="50" spans="1:13" x14ac:dyDescent="0.2">
      <c r="A50" s="31" t="s">
        <v>41</v>
      </c>
      <c r="B50" s="31" t="s">
        <v>39</v>
      </c>
      <c r="C50" s="129" t="s">
        <v>35</v>
      </c>
      <c r="D50" s="130">
        <v>3.7242344191692029</v>
      </c>
      <c r="E50" s="142"/>
      <c r="F50" s="142">
        <f>'3. RRR Data 2027'!F32</f>
        <v>700459.585062181</v>
      </c>
      <c r="G50" s="142">
        <f t="shared" si="10"/>
        <v>2608675.7000000002</v>
      </c>
      <c r="H50" s="143">
        <f t="shared" si="9"/>
        <v>7.8641144785820044E-2</v>
      </c>
      <c r="I50" s="142">
        <f t="shared" si="11"/>
        <v>2729812.1013225224</v>
      </c>
      <c r="J50" s="130">
        <f t="shared" si="14"/>
        <v>3.8972000000000002</v>
      </c>
      <c r="K50" s="151">
        <f>H50</f>
        <v>7.8641144785820044E-2</v>
      </c>
      <c r="L50" s="148">
        <f>E50</f>
        <v>0</v>
      </c>
      <c r="M50" s="148">
        <f>F50</f>
        <v>700459.585062181</v>
      </c>
    </row>
    <row r="51" spans="1:13" x14ac:dyDescent="0.2">
      <c r="A51" s="31" t="s">
        <v>42</v>
      </c>
      <c r="B51" s="31" t="s">
        <v>31</v>
      </c>
      <c r="C51" s="129" t="s">
        <v>30</v>
      </c>
      <c r="D51" s="130">
        <v>7.3213632576037049E-3</v>
      </c>
      <c r="E51" s="142">
        <f>'3. RRR Data 2027'!H34</f>
        <v>4627579.9512102036</v>
      </c>
      <c r="F51" s="142">
        <f>'3. RRR Data 2027'!F34</f>
        <v>0</v>
      </c>
      <c r="G51" s="142">
        <f t="shared" si="10"/>
        <v>33880.19</v>
      </c>
      <c r="H51" s="143">
        <f t="shared" si="9"/>
        <v>1.0213523003879297E-3</v>
      </c>
      <c r="I51" s="142">
        <f t="shared" si="11"/>
        <v>54756.939013489398</v>
      </c>
      <c r="J51" s="130">
        <f t="shared" si="14"/>
        <v>8.2000000000000007E-3</v>
      </c>
      <c r="K51" s="151">
        <f>H51+H61</f>
        <v>1.5774522967723389E-3</v>
      </c>
      <c r="L51" s="148">
        <f t="shared" ref="L51:M53" si="15">E51+E61</f>
        <v>6654711.1809060592</v>
      </c>
      <c r="M51" s="148">
        <f t="shared" si="15"/>
        <v>0</v>
      </c>
    </row>
    <row r="52" spans="1:13" x14ac:dyDescent="0.2">
      <c r="A52" s="31" t="s">
        <v>43</v>
      </c>
      <c r="B52" s="31" t="s">
        <v>31</v>
      </c>
      <c r="C52" s="129" t="s">
        <v>35</v>
      </c>
      <c r="D52" s="130">
        <v>2.1320431883230291</v>
      </c>
      <c r="E52" s="142"/>
      <c r="F52" s="142">
        <f>'3. RRR Data 2027'!F36</f>
        <v>571.17035989444037</v>
      </c>
      <c r="G52" s="142">
        <f t="shared" si="10"/>
        <v>1217.76</v>
      </c>
      <c r="H52" s="143">
        <f t="shared" si="9"/>
        <v>3.6710596290056373E-5</v>
      </c>
      <c r="I52" s="142">
        <f t="shared" si="11"/>
        <v>1543.5872433433713</v>
      </c>
      <c r="J52" s="130">
        <f>IF(I52*L52=0,ROUND(I52/M52,4),ROUND(I52/L52,4))</f>
        <v>2.3203</v>
      </c>
      <c r="K52" s="151">
        <f>H52+H62</f>
        <v>4.4468067173744623E-5</v>
      </c>
      <c r="L52" s="148">
        <f t="shared" si="15"/>
        <v>0</v>
      </c>
      <c r="M52" s="148">
        <f t="shared" si="15"/>
        <v>665.263182287826</v>
      </c>
    </row>
    <row r="53" spans="1:13" x14ac:dyDescent="0.2">
      <c r="A53" s="31" t="s">
        <v>44</v>
      </c>
      <c r="B53" s="31" t="s">
        <v>31</v>
      </c>
      <c r="C53" s="129" t="s">
        <v>35</v>
      </c>
      <c r="D53" s="130">
        <v>2.2278292755400595</v>
      </c>
      <c r="E53" s="142"/>
      <c r="F53" s="142">
        <f>'3. RRR Data 2027'!F38</f>
        <v>33370.10574138326</v>
      </c>
      <c r="G53" s="142">
        <f t="shared" si="10"/>
        <v>74342.899999999994</v>
      </c>
      <c r="H53" s="143">
        <f t="shared" si="9"/>
        <v>2.2411412666962552E-3</v>
      </c>
      <c r="I53" s="142">
        <f t="shared" si="11"/>
        <v>106723.89135738084</v>
      </c>
      <c r="J53" s="130">
        <f t="shared" ref="J53" si="16">IF(I53*L53=0,ROUND(I53/M53,4),ROUND(I53/L53,4))</f>
        <v>2.4428000000000001</v>
      </c>
      <c r="K53" s="151">
        <f>H53+H63</f>
        <v>3.0745299239738075E-3</v>
      </c>
      <c r="L53" s="148">
        <f t="shared" si="15"/>
        <v>0</v>
      </c>
      <c r="M53" s="148">
        <f t="shared" si="15"/>
        <v>43690.053531874008</v>
      </c>
    </row>
    <row r="54" spans="1:13" x14ac:dyDescent="0.2">
      <c r="A54" s="156" t="s">
        <v>229</v>
      </c>
      <c r="D54" s="130"/>
      <c r="E54" s="142"/>
      <c r="F54" s="142"/>
      <c r="G54" s="142"/>
      <c r="H54" s="143"/>
      <c r="I54" s="142"/>
      <c r="J54" s="130"/>
      <c r="K54" s="151"/>
      <c r="L54" s="148"/>
      <c r="M54" s="148"/>
    </row>
    <row r="55" spans="1:13" x14ac:dyDescent="0.2">
      <c r="A55" s="31" t="s">
        <v>28</v>
      </c>
      <c r="B55" s="31" t="s">
        <v>31</v>
      </c>
      <c r="C55" s="44" t="s">
        <v>30</v>
      </c>
      <c r="D55" s="130">
        <v>9.7000000000000003E-3</v>
      </c>
      <c r="E55" s="142">
        <f>'3. RRR Data 2027'!H41</f>
        <v>457319570.71596515</v>
      </c>
      <c r="F55" s="142">
        <f>'3. RRR Data 2027'!F41</f>
        <v>0</v>
      </c>
      <c r="G55" s="142">
        <f t="shared" si="10"/>
        <v>4435999.84</v>
      </c>
      <c r="H55" s="143">
        <f t="shared" ref="H55:H64" si="17">G55/$G$64</f>
        <v>0.13372766330721544</v>
      </c>
      <c r="I55" s="142"/>
      <c r="J55" s="130"/>
    </row>
    <row r="56" spans="1:13" x14ac:dyDescent="0.2">
      <c r="A56" s="31" t="s">
        <v>33</v>
      </c>
      <c r="B56" s="31" t="s">
        <v>31</v>
      </c>
      <c r="C56" s="129" t="s">
        <v>30</v>
      </c>
      <c r="D56" s="130">
        <v>9.1000000000000004E-3</v>
      </c>
      <c r="E56" s="142">
        <f>'3. RRR Data 2027'!H43</f>
        <v>96047737.550770387</v>
      </c>
      <c r="F56" s="142">
        <f>'3. RRR Data 2027'!F43</f>
        <v>0</v>
      </c>
      <c r="G56" s="142">
        <f>IF(D56*E56=0,ROUND(D56*F56,2),ROUND(D56*E56,2))</f>
        <v>874034.41</v>
      </c>
      <c r="H56" s="143">
        <f t="shared" si="17"/>
        <v>2.6348643713972879E-2</v>
      </c>
      <c r="I56" s="142"/>
      <c r="J56" s="130"/>
    </row>
    <row r="57" spans="1:13" x14ac:dyDescent="0.2">
      <c r="A57" s="31" t="s">
        <v>95</v>
      </c>
      <c r="B57" s="31" t="s">
        <v>31</v>
      </c>
      <c r="C57" s="129" t="s">
        <v>35</v>
      </c>
      <c r="D57" s="130">
        <v>3.4649999999999999</v>
      </c>
      <c r="E57" s="142"/>
      <c r="F57" s="142">
        <f>'3. RRR Data 2027'!F45</f>
        <v>854127.9288579307</v>
      </c>
      <c r="G57" s="142">
        <f t="shared" si="10"/>
        <v>2959553.27</v>
      </c>
      <c r="H57" s="143">
        <f t="shared" si="17"/>
        <v>8.9218700970541173E-2</v>
      </c>
      <c r="I57" s="142"/>
      <c r="J57" s="130"/>
    </row>
    <row r="58" spans="1:13" x14ac:dyDescent="0.2">
      <c r="A58" s="31" t="s">
        <v>95</v>
      </c>
      <c r="B58" s="31" t="s">
        <v>37</v>
      </c>
      <c r="C58" s="129" t="s">
        <v>35</v>
      </c>
      <c r="D58" s="130">
        <v>0.58899999999999997</v>
      </c>
      <c r="E58" s="142"/>
      <c r="F58" s="142">
        <f>'3. RRR Data 2027'!F47</f>
        <v>4533.6883751365367</v>
      </c>
      <c r="G58" s="142">
        <f t="shared" si="10"/>
        <v>2670.34</v>
      </c>
      <c r="H58" s="143">
        <f t="shared" si="17"/>
        <v>8.0500076942245711E-5</v>
      </c>
      <c r="I58" s="142"/>
      <c r="J58" s="130"/>
    </row>
    <row r="59" spans="1:13" x14ac:dyDescent="0.2">
      <c r="A59" s="31" t="str">
        <f t="shared" ref="A59:C60" si="18">A48</f>
        <v>General Service 3,000 To 4,999 kW Service Classification</v>
      </c>
      <c r="B59" s="31" t="str">
        <f t="shared" si="18"/>
        <v xml:space="preserve">Retail Transmission Rate - Line and Transformation Connection Service Rate </v>
      </c>
      <c r="C59" s="44" t="str">
        <f t="shared" si="18"/>
        <v>$/kW</v>
      </c>
      <c r="D59" s="130">
        <f>D57</f>
        <v>3.4649999999999999</v>
      </c>
      <c r="E59" s="142"/>
      <c r="F59" s="142">
        <f>'3. RRR Data 2027'!F49</f>
        <v>225033.19018294194</v>
      </c>
      <c r="G59" s="142">
        <f t="shared" si="10"/>
        <v>779740</v>
      </c>
      <c r="H59" s="143">
        <f t="shared" si="17"/>
        <v>2.3506044172257719E-2</v>
      </c>
      <c r="I59" s="142"/>
      <c r="J59" s="130"/>
    </row>
    <row r="60" spans="1:13" x14ac:dyDescent="0.2">
      <c r="A60" s="31" t="str">
        <f t="shared" si="18"/>
        <v>General Service 3,000 To 4,999 kW Service Classification</v>
      </c>
      <c r="B60" s="31" t="str">
        <f t="shared" si="18"/>
        <v>Retail Transmission Rate - Line and Transformation Connection Service Rate  - EV CHARGING</v>
      </c>
      <c r="C60" s="44" t="str">
        <f t="shared" si="18"/>
        <v>$/kW</v>
      </c>
      <c r="D60" s="130">
        <f>D58</f>
        <v>0.58899999999999997</v>
      </c>
      <c r="E60" s="142">
        <f>'3. RRR Data 2027'!H51</f>
        <v>0</v>
      </c>
      <c r="F60" s="142">
        <f>'3. RRR Data 2027'!F51</f>
        <v>0</v>
      </c>
      <c r="G60" s="142">
        <f t="shared" si="10"/>
        <v>0</v>
      </c>
      <c r="H60" s="143">
        <f t="shared" si="17"/>
        <v>0</v>
      </c>
      <c r="I60" s="142"/>
      <c r="J60" s="130"/>
    </row>
    <row r="61" spans="1:13" x14ac:dyDescent="0.2">
      <c r="A61" s="31" t="s">
        <v>42</v>
      </c>
      <c r="B61" s="31" t="s">
        <v>31</v>
      </c>
      <c r="C61" s="129" t="s">
        <v>30</v>
      </c>
      <c r="D61" s="130">
        <v>9.1000000000000004E-3</v>
      </c>
      <c r="E61" s="142">
        <f>'3. RRR Data 2027'!H53</f>
        <v>2027131.2296958554</v>
      </c>
      <c r="F61" s="142">
        <f>'3. RRR Data 2027'!F53</f>
        <v>0</v>
      </c>
      <c r="G61" s="142">
        <f t="shared" si="10"/>
        <v>18446.89</v>
      </c>
      <c r="H61" s="143">
        <f t="shared" si="17"/>
        <v>5.5609999638440912E-4</v>
      </c>
      <c r="I61" s="142"/>
      <c r="J61" s="130"/>
    </row>
    <row r="62" spans="1:13" x14ac:dyDescent="0.2">
      <c r="A62" s="31" t="s">
        <v>43</v>
      </c>
      <c r="B62" s="31" t="s">
        <v>31</v>
      </c>
      <c r="C62" s="44" t="s">
        <v>35</v>
      </c>
      <c r="D62" s="130">
        <v>2.7347999999999999</v>
      </c>
      <c r="E62" s="142"/>
      <c r="F62" s="142">
        <f>'3. RRR Data 2027'!F55</f>
        <v>94.092822393385603</v>
      </c>
      <c r="G62" s="142">
        <f t="shared" si="10"/>
        <v>257.33</v>
      </c>
      <c r="H62" s="143">
        <f t="shared" si="17"/>
        <v>7.7574708836882517E-6</v>
      </c>
      <c r="I62" s="142"/>
      <c r="J62" s="130"/>
    </row>
    <row r="63" spans="1:13" x14ac:dyDescent="0.2">
      <c r="A63" s="31" t="s">
        <v>44</v>
      </c>
      <c r="B63" s="31" t="s">
        <v>31</v>
      </c>
      <c r="C63" s="44" t="s">
        <v>35</v>
      </c>
      <c r="D63" s="130">
        <v>2.6787999999999998</v>
      </c>
      <c r="E63" s="142"/>
      <c r="F63" s="142">
        <f>'3. RRR Data 2027'!F57</f>
        <v>10319.947790490745</v>
      </c>
      <c r="G63" s="142">
        <f t="shared" si="10"/>
        <v>27645.08</v>
      </c>
      <c r="H63" s="143">
        <f t="shared" si="17"/>
        <v>8.3338865727755206E-4</v>
      </c>
      <c r="I63" s="142"/>
      <c r="J63" s="130"/>
    </row>
    <row r="64" spans="1:13" x14ac:dyDescent="0.2">
      <c r="D64" s="130"/>
      <c r="E64" s="142"/>
      <c r="F64" s="142"/>
      <c r="G64" s="142">
        <f>SUM(G43:G63)</f>
        <v>33171893.759999994</v>
      </c>
      <c r="H64" s="143">
        <f t="shared" si="17"/>
        <v>1</v>
      </c>
      <c r="I64" s="142">
        <f>'7. Forecast Wholesale 2027'!J33+'7. Forecast Wholesale 2027'!N33+'7. Forecast Wholesale 2027'!J52+'7. Forecast Wholesale 2027'!N52</f>
        <v>34712263.01139427</v>
      </c>
      <c r="J64" s="130"/>
    </row>
    <row r="66" spans="1:10" ht="15.75" x14ac:dyDescent="0.25">
      <c r="A66" s="133"/>
    </row>
    <row r="67" spans="1:10" ht="15.75" x14ac:dyDescent="0.2">
      <c r="A67" s="134"/>
      <c r="B67" s="134"/>
      <c r="C67" s="135"/>
      <c r="D67" s="136"/>
      <c r="E67" s="137"/>
      <c r="F67" s="138"/>
      <c r="G67" s="139"/>
      <c r="H67" s="140"/>
      <c r="I67" s="138"/>
      <c r="J67" s="141"/>
    </row>
    <row r="69" spans="1:10" x14ac:dyDescent="0.2">
      <c r="D69" s="130"/>
      <c r="E69" s="142"/>
      <c r="F69" s="142"/>
      <c r="G69" s="142"/>
      <c r="H69" s="143"/>
      <c r="I69" s="142"/>
      <c r="J69" s="144"/>
    </row>
    <row r="70" spans="1:10" x14ac:dyDescent="0.2">
      <c r="D70" s="130"/>
      <c r="E70" s="142"/>
      <c r="F70" s="142"/>
      <c r="G70" s="142"/>
      <c r="H70" s="143"/>
      <c r="I70" s="142"/>
      <c r="J70" s="144"/>
    </row>
    <row r="71" spans="1:10" x14ac:dyDescent="0.2">
      <c r="D71" s="130"/>
      <c r="E71" s="142"/>
      <c r="F71" s="142"/>
      <c r="G71" s="142"/>
      <c r="H71" s="143"/>
      <c r="I71" s="142"/>
      <c r="J71" s="144"/>
    </row>
    <row r="72" spans="1:10" x14ac:dyDescent="0.2">
      <c r="D72" s="130"/>
      <c r="E72" s="142"/>
      <c r="F72" s="142"/>
      <c r="G72" s="142"/>
      <c r="H72" s="143"/>
      <c r="I72" s="142"/>
      <c r="J72" s="144"/>
    </row>
    <row r="73" spans="1:10" x14ac:dyDescent="0.2">
      <c r="D73" s="130"/>
      <c r="E73" s="142"/>
      <c r="F73" s="142"/>
      <c r="G73" s="142"/>
      <c r="H73" s="143"/>
      <c r="I73" s="142"/>
      <c r="J73" s="144"/>
    </row>
    <row r="74" spans="1:10" x14ac:dyDescent="0.2">
      <c r="D74" s="130"/>
      <c r="E74" s="142"/>
      <c r="F74" s="142"/>
      <c r="G74" s="142"/>
      <c r="H74" s="143"/>
      <c r="I74" s="142"/>
      <c r="J74" s="144"/>
    </row>
    <row r="75" spans="1:10" x14ac:dyDescent="0.2">
      <c r="D75" s="130"/>
      <c r="E75" s="142"/>
      <c r="F75" s="142"/>
      <c r="G75" s="142"/>
      <c r="H75" s="143"/>
      <c r="I75" s="142"/>
      <c r="J75" s="144"/>
    </row>
    <row r="76" spans="1:10" x14ac:dyDescent="0.2">
      <c r="D76" s="130"/>
      <c r="E76" s="142"/>
      <c r="F76" s="142"/>
      <c r="G76" s="142"/>
      <c r="H76" s="143"/>
      <c r="I76" s="142"/>
      <c r="J76" s="144"/>
    </row>
    <row r="77" spans="1:10" x14ac:dyDescent="0.2">
      <c r="D77" s="130"/>
      <c r="E77" s="142"/>
      <c r="F77" s="142"/>
      <c r="G77" s="142"/>
      <c r="H77" s="143"/>
      <c r="I77" s="142"/>
      <c r="J77" s="144"/>
    </row>
    <row r="78" spans="1:10" x14ac:dyDescent="0.2">
      <c r="D78" s="130"/>
      <c r="E78" s="142"/>
      <c r="F78" s="142"/>
      <c r="G78" s="142"/>
      <c r="H78" s="143"/>
      <c r="I78" s="142"/>
      <c r="J78" s="144"/>
    </row>
    <row r="79" spans="1:10" x14ac:dyDescent="0.2">
      <c r="D79" s="130"/>
      <c r="E79" s="142"/>
      <c r="F79" s="142"/>
      <c r="G79" s="142"/>
      <c r="H79" s="143"/>
      <c r="I79" s="142"/>
      <c r="J79" s="144"/>
    </row>
    <row r="80" spans="1:10" x14ac:dyDescent="0.2">
      <c r="C80" s="31"/>
      <c r="D80" s="31"/>
      <c r="E80" s="142"/>
      <c r="F80" s="142"/>
      <c r="G80" s="142"/>
      <c r="H80" s="143"/>
      <c r="I80" s="142"/>
      <c r="J80" s="144"/>
    </row>
    <row r="81" spans="1:10" x14ac:dyDescent="0.2">
      <c r="C81" s="31"/>
      <c r="D81" s="31"/>
      <c r="E81" s="142"/>
      <c r="F81" s="142"/>
      <c r="G81" s="142"/>
      <c r="H81" s="143"/>
      <c r="I81" s="142"/>
      <c r="J81" s="144"/>
    </row>
    <row r="82" spans="1:10" x14ac:dyDescent="0.2">
      <c r="C82" s="31"/>
      <c r="D82" s="31"/>
      <c r="E82" s="142"/>
      <c r="F82" s="142"/>
      <c r="G82" s="142"/>
      <c r="H82" s="143"/>
      <c r="I82" s="142"/>
      <c r="J82" s="144"/>
    </row>
    <row r="83" spans="1:10" x14ac:dyDescent="0.2">
      <c r="C83" s="31"/>
      <c r="D83" s="31"/>
      <c r="E83" s="142"/>
      <c r="F83" s="142"/>
      <c r="G83" s="142"/>
      <c r="H83" s="143"/>
      <c r="I83" s="142"/>
      <c r="J83" s="144"/>
    </row>
    <row r="84" spans="1:10" x14ac:dyDescent="0.2">
      <c r="C84" s="31"/>
      <c r="D84" s="31"/>
      <c r="E84" s="142"/>
      <c r="F84" s="142"/>
      <c r="G84" s="142"/>
      <c r="H84" s="143"/>
      <c r="I84" s="142"/>
      <c r="J84" s="144"/>
    </row>
    <row r="85" spans="1:10" x14ac:dyDescent="0.2">
      <c r="C85" s="31"/>
      <c r="D85" s="31"/>
      <c r="E85" s="142"/>
      <c r="F85" s="142"/>
      <c r="G85" s="142"/>
      <c r="H85" s="143"/>
      <c r="I85" s="142"/>
      <c r="J85" s="144"/>
    </row>
    <row r="86" spans="1:10" x14ac:dyDescent="0.2">
      <c r="C86" s="31"/>
      <c r="D86" s="31"/>
      <c r="E86" s="142"/>
      <c r="F86" s="142"/>
      <c r="G86" s="142"/>
      <c r="H86" s="143"/>
      <c r="I86" s="142"/>
      <c r="J86" s="144"/>
    </row>
    <row r="87" spans="1:10" x14ac:dyDescent="0.2">
      <c r="D87" s="130"/>
      <c r="E87" s="142"/>
      <c r="F87" s="142"/>
      <c r="G87" s="142"/>
      <c r="H87" s="143"/>
      <c r="I87" s="142"/>
      <c r="J87" s="144"/>
    </row>
    <row r="89" spans="1:10" ht="15.75" x14ac:dyDescent="0.25">
      <c r="A89" s="133"/>
    </row>
    <row r="90" spans="1:10" ht="15.75" x14ac:dyDescent="0.2">
      <c r="A90" s="134"/>
      <c r="B90" s="134"/>
      <c r="C90" s="135"/>
      <c r="D90" s="136"/>
      <c r="E90" s="137"/>
      <c r="F90" s="138"/>
      <c r="G90" s="139"/>
      <c r="H90" s="140"/>
      <c r="I90" s="138"/>
      <c r="J90" s="141"/>
    </row>
    <row r="92" spans="1:10" x14ac:dyDescent="0.2">
      <c r="D92" s="130"/>
      <c r="E92" s="142"/>
      <c r="F92" s="142"/>
      <c r="G92" s="142"/>
      <c r="H92" s="143"/>
      <c r="I92" s="142"/>
      <c r="J92" s="144"/>
    </row>
    <row r="93" spans="1:10" x14ac:dyDescent="0.2">
      <c r="D93" s="130"/>
      <c r="E93" s="142"/>
      <c r="F93" s="142"/>
      <c r="G93" s="142"/>
      <c r="H93" s="143"/>
      <c r="I93" s="142"/>
      <c r="J93" s="144"/>
    </row>
    <row r="94" spans="1:10" x14ac:dyDescent="0.2">
      <c r="D94" s="130"/>
      <c r="E94" s="142"/>
      <c r="F94" s="142"/>
      <c r="G94" s="142"/>
      <c r="H94" s="143"/>
      <c r="I94" s="142"/>
      <c r="J94" s="144"/>
    </row>
    <row r="95" spans="1:10" x14ac:dyDescent="0.2">
      <c r="D95" s="130"/>
      <c r="E95" s="142"/>
      <c r="F95" s="142"/>
      <c r="G95" s="142"/>
      <c r="H95" s="143"/>
      <c r="I95" s="142"/>
      <c r="J95" s="144"/>
    </row>
    <row r="96" spans="1:10" x14ac:dyDescent="0.2">
      <c r="D96" s="130"/>
      <c r="E96" s="142"/>
      <c r="F96" s="142"/>
      <c r="G96" s="142"/>
      <c r="H96" s="143"/>
      <c r="I96" s="142"/>
      <c r="J96" s="144"/>
    </row>
    <row r="97" spans="3:10" x14ac:dyDescent="0.2">
      <c r="D97" s="130"/>
      <c r="E97" s="142"/>
      <c r="F97" s="142"/>
      <c r="G97" s="142"/>
      <c r="H97" s="143"/>
      <c r="I97" s="142"/>
      <c r="J97" s="144"/>
    </row>
    <row r="98" spans="3:10" x14ac:dyDescent="0.2">
      <c r="D98" s="130"/>
      <c r="E98" s="142"/>
      <c r="F98" s="142"/>
      <c r="G98" s="142"/>
      <c r="H98" s="143"/>
      <c r="I98" s="142"/>
      <c r="J98" s="144"/>
    </row>
    <row r="99" spans="3:10" x14ac:dyDescent="0.2">
      <c r="D99" s="130"/>
      <c r="E99" s="142"/>
      <c r="F99" s="142"/>
      <c r="G99" s="142"/>
      <c r="H99" s="143"/>
      <c r="I99" s="142"/>
      <c r="J99" s="144"/>
    </row>
    <row r="100" spans="3:10" x14ac:dyDescent="0.2">
      <c r="D100" s="130"/>
      <c r="E100" s="142"/>
      <c r="F100" s="142"/>
      <c r="G100" s="142"/>
      <c r="H100" s="143"/>
      <c r="I100" s="142"/>
      <c r="J100" s="144"/>
    </row>
    <row r="101" spans="3:10" x14ac:dyDescent="0.2">
      <c r="D101" s="130"/>
      <c r="E101" s="142"/>
      <c r="F101" s="142"/>
      <c r="G101" s="142"/>
      <c r="H101" s="143"/>
      <c r="I101" s="142"/>
      <c r="J101" s="144"/>
    </row>
    <row r="102" spans="3:10" x14ac:dyDescent="0.2">
      <c r="D102" s="130"/>
      <c r="E102" s="142"/>
      <c r="F102" s="142"/>
      <c r="G102" s="142"/>
      <c r="H102" s="143"/>
      <c r="I102" s="142"/>
      <c r="J102" s="144"/>
    </row>
    <row r="103" spans="3:10" x14ac:dyDescent="0.2">
      <c r="C103" s="31"/>
      <c r="D103" s="31"/>
      <c r="E103" s="142"/>
      <c r="F103" s="142"/>
      <c r="G103" s="142"/>
      <c r="H103" s="143"/>
      <c r="I103" s="142"/>
      <c r="J103" s="144"/>
    </row>
    <row r="104" spans="3:10" x14ac:dyDescent="0.2">
      <c r="C104" s="31"/>
      <c r="D104" s="31"/>
      <c r="E104" s="142"/>
      <c r="F104" s="142"/>
      <c r="G104" s="142"/>
      <c r="H104" s="143"/>
      <c r="I104" s="142"/>
      <c r="J104" s="144"/>
    </row>
    <row r="105" spans="3:10" x14ac:dyDescent="0.2">
      <c r="C105" s="31"/>
      <c r="D105" s="31"/>
      <c r="E105" s="142"/>
      <c r="F105" s="142"/>
      <c r="G105" s="142"/>
      <c r="H105" s="143"/>
      <c r="I105" s="142"/>
      <c r="J105" s="144"/>
    </row>
    <row r="106" spans="3:10" x14ac:dyDescent="0.2">
      <c r="C106" s="31"/>
      <c r="D106" s="31"/>
      <c r="E106" s="142"/>
      <c r="F106" s="142"/>
      <c r="G106" s="142"/>
      <c r="H106" s="143"/>
      <c r="I106" s="142"/>
      <c r="J106" s="144"/>
    </row>
    <row r="107" spans="3:10" x14ac:dyDescent="0.2">
      <c r="C107" s="31"/>
      <c r="D107" s="31"/>
      <c r="E107" s="142"/>
      <c r="F107" s="142"/>
      <c r="G107" s="142"/>
      <c r="H107" s="143"/>
      <c r="I107" s="142"/>
      <c r="J107" s="144"/>
    </row>
    <row r="108" spans="3:10" x14ac:dyDescent="0.2">
      <c r="C108" s="31"/>
      <c r="D108" s="31"/>
      <c r="E108" s="142"/>
      <c r="F108" s="142"/>
      <c r="G108" s="142"/>
      <c r="H108" s="143"/>
      <c r="I108" s="142"/>
      <c r="J108" s="144"/>
    </row>
    <row r="109" spans="3:10" x14ac:dyDescent="0.2">
      <c r="C109" s="31"/>
      <c r="D109" s="31"/>
      <c r="E109" s="142"/>
      <c r="F109" s="142"/>
      <c r="G109" s="142"/>
      <c r="H109" s="143"/>
      <c r="I109" s="142"/>
      <c r="J109" s="144"/>
    </row>
    <row r="110" spans="3:10" x14ac:dyDescent="0.2">
      <c r="D110" s="130"/>
      <c r="E110" s="142"/>
      <c r="F110" s="142"/>
      <c r="G110" s="142"/>
      <c r="H110" s="143"/>
      <c r="I110" s="142"/>
      <c r="J110" s="144"/>
    </row>
    <row r="111" spans="3:10" x14ac:dyDescent="0.2">
      <c r="D111" s="130"/>
      <c r="E111" s="142"/>
      <c r="F111" s="142"/>
      <c r="G111" s="142"/>
      <c r="H111" s="143"/>
      <c r="I111" s="142"/>
      <c r="J111" s="144"/>
    </row>
    <row r="112" spans="3:10" x14ac:dyDescent="0.2">
      <c r="D112" s="130"/>
      <c r="E112" s="142"/>
      <c r="F112" s="142"/>
      <c r="G112" s="142"/>
      <c r="H112" s="143"/>
      <c r="I112" s="142"/>
      <c r="J112" s="144"/>
    </row>
    <row r="113" spans="4:10" x14ac:dyDescent="0.2">
      <c r="D113" s="130"/>
      <c r="E113" s="142"/>
      <c r="F113" s="142"/>
      <c r="G113" s="142"/>
      <c r="H113" s="143"/>
      <c r="I113" s="142"/>
      <c r="J113" s="144"/>
    </row>
  </sheetData>
  <mergeCells count="2">
    <mergeCell ref="I13:J13"/>
    <mergeCell ref="C13:H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5E6E-8274-4B3D-BE62-AD87945D6E24}">
  <dimension ref="A13:Q113"/>
  <sheetViews>
    <sheetView topLeftCell="B7" workbookViewId="0">
      <selection activeCell="D20" sqref="D20"/>
    </sheetView>
  </sheetViews>
  <sheetFormatPr defaultColWidth="9.28515625" defaultRowHeight="12.75" x14ac:dyDescent="0.2"/>
  <cols>
    <col min="1" max="1" width="11.7109375" style="31" hidden="1" customWidth="1"/>
    <col min="2" max="2" width="30.28515625" style="31" customWidth="1"/>
    <col min="3" max="3" width="3.7109375" style="31" customWidth="1"/>
    <col min="4" max="4" width="13.7109375" style="31" customWidth="1"/>
    <col min="5" max="5" width="15.28515625" style="31" customWidth="1"/>
    <col min="6" max="6" width="13.7109375" style="31" customWidth="1"/>
    <col min="7" max="7" width="2.7109375" style="31" customWidth="1"/>
    <col min="8" max="8" width="13.7109375" style="31" customWidth="1"/>
    <col min="9" max="9" width="10.28515625" style="31" bestFit="1" customWidth="1"/>
    <col min="10" max="10" width="13.7109375" style="31" customWidth="1"/>
    <col min="11" max="11" width="3.28515625" style="31" customWidth="1"/>
    <col min="12" max="12" width="13.7109375" style="31" customWidth="1"/>
    <col min="13" max="13" width="9.42578125" style="31" bestFit="1" customWidth="1"/>
    <col min="14" max="14" width="13.7109375" style="31" customWidth="1"/>
    <col min="15" max="15" width="3.7109375" style="31" customWidth="1"/>
    <col min="16" max="16" width="18.28515625" style="31" customWidth="1"/>
    <col min="17" max="16384" width="9.28515625" style="31"/>
  </cols>
  <sheetData>
    <row r="13" spans="2:17" ht="18.75" customHeight="1" x14ac:dyDescent="0.25">
      <c r="B13" s="271" t="s">
        <v>84</v>
      </c>
      <c r="C13" s="270"/>
      <c r="D13" s="270"/>
      <c r="E13" s="270"/>
      <c r="F13" s="270"/>
      <c r="G13" s="270"/>
      <c r="H13" s="270"/>
      <c r="I13" s="270"/>
      <c r="J13" s="270"/>
      <c r="K13" s="270"/>
      <c r="L13" s="270"/>
      <c r="M13" s="270"/>
      <c r="N13" s="270"/>
      <c r="O13" s="270"/>
      <c r="P13" s="270"/>
    </row>
    <row r="16" spans="2:17" x14ac:dyDescent="0.2">
      <c r="B16" s="101" t="s">
        <v>61</v>
      </c>
      <c r="C16" s="102"/>
      <c r="D16" s="267" t="s">
        <v>2</v>
      </c>
      <c r="E16" s="267"/>
      <c r="F16" s="267"/>
      <c r="G16" s="102"/>
      <c r="H16" s="267" t="s">
        <v>3</v>
      </c>
      <c r="I16" s="267"/>
      <c r="J16" s="267"/>
      <c r="K16" s="102"/>
      <c r="L16" s="267" t="s">
        <v>4</v>
      </c>
      <c r="M16" s="267"/>
      <c r="N16" s="267"/>
      <c r="O16" s="102"/>
      <c r="P16" s="101" t="s">
        <v>62</v>
      </c>
      <c r="Q16" s="56"/>
    </row>
    <row r="17" spans="2:17" ht="15.75" x14ac:dyDescent="0.25">
      <c r="B17" s="56"/>
      <c r="C17" s="56"/>
      <c r="D17" s="268"/>
      <c r="E17" s="268"/>
      <c r="F17" s="268"/>
      <c r="G17" s="56"/>
      <c r="H17" s="268"/>
      <c r="I17" s="268"/>
      <c r="J17" s="268"/>
      <c r="K17" s="56"/>
      <c r="L17" s="268"/>
      <c r="M17" s="268"/>
      <c r="N17" s="268"/>
      <c r="O17" s="56"/>
      <c r="P17" s="120"/>
      <c r="Q17" s="103"/>
    </row>
    <row r="18" spans="2:17" x14ac:dyDescent="0.2">
      <c r="B18" s="104" t="s">
        <v>63</v>
      </c>
      <c r="C18" s="56"/>
      <c r="D18" s="120" t="s">
        <v>64</v>
      </c>
      <c r="E18" s="120" t="s">
        <v>23</v>
      </c>
      <c r="F18" s="120" t="s">
        <v>65</v>
      </c>
      <c r="G18" s="56"/>
      <c r="H18" s="120" t="s">
        <v>64</v>
      </c>
      <c r="I18" s="120" t="s">
        <v>23</v>
      </c>
      <c r="J18" s="120" t="s">
        <v>65</v>
      </c>
      <c r="K18" s="56"/>
      <c r="L18" s="120" t="s">
        <v>64</v>
      </c>
      <c r="M18" s="120" t="s">
        <v>23</v>
      </c>
      <c r="N18" s="120" t="s">
        <v>65</v>
      </c>
      <c r="O18" s="56"/>
      <c r="P18" s="120" t="s">
        <v>65</v>
      </c>
      <c r="Q18" s="56"/>
    </row>
    <row r="19" spans="2:17" x14ac:dyDescent="0.2">
      <c r="B19" s="56"/>
      <c r="C19" s="56"/>
      <c r="D19" s="56"/>
      <c r="E19" s="56"/>
      <c r="F19" s="56"/>
      <c r="G19" s="56"/>
      <c r="H19" s="56"/>
      <c r="I19" s="56"/>
      <c r="J19" s="56"/>
      <c r="K19" s="56"/>
      <c r="L19" s="56"/>
      <c r="M19" s="56"/>
      <c r="N19" s="56"/>
      <c r="O19" s="56"/>
      <c r="P19" s="56"/>
      <c r="Q19" s="56"/>
    </row>
    <row r="20" spans="2:17" x14ac:dyDescent="0.2">
      <c r="B20" s="57" t="s">
        <v>66</v>
      </c>
      <c r="C20" s="56"/>
      <c r="D20" s="127">
        <v>348114.6815267487</v>
      </c>
      <c r="E20" s="122">
        <f>'4. UTRs &amp; Sub-Transmission'!N22</f>
        <v>7.1669218204916403</v>
      </c>
      <c r="F20" s="128">
        <f>D20*E20</f>
        <v>2494910.7070675534</v>
      </c>
      <c r="G20" s="56"/>
      <c r="H20" s="127">
        <v>180129.68593305603</v>
      </c>
      <c r="I20" s="122">
        <f>'4. UTRs &amp; Sub-Transmission'!N24</f>
        <v>1.1453732354140098</v>
      </c>
      <c r="J20" s="128">
        <f>H20*I20</f>
        <v>206315.72117125383</v>
      </c>
      <c r="K20" s="56"/>
      <c r="L20" s="127">
        <v>370898.39148868073</v>
      </c>
      <c r="M20" s="122">
        <f>'4. UTRs &amp; Sub-Transmission'!N26</f>
        <v>3.8746069074442788</v>
      </c>
      <c r="N20" s="128">
        <f>L20*M20</f>
        <v>1437085.4696220148</v>
      </c>
      <c r="O20" s="56"/>
      <c r="P20" s="110">
        <f t="shared" ref="P20:P31" si="0">J20+N20</f>
        <v>1643401.1907932686</v>
      </c>
      <c r="Q20" s="56"/>
    </row>
    <row r="21" spans="2:17" x14ac:dyDescent="0.2">
      <c r="B21" s="57" t="s">
        <v>67</v>
      </c>
      <c r="C21" s="56"/>
      <c r="D21" s="127">
        <v>341570.54448328866</v>
      </c>
      <c r="E21" s="122">
        <f>E20</f>
        <v>7.1669218204916403</v>
      </c>
      <c r="F21" s="128">
        <f t="shared" ref="F21:F31" si="1">D21*E21</f>
        <v>2448009.388494492</v>
      </c>
      <c r="G21" s="56"/>
      <c r="H21" s="127">
        <v>189187.41269638232</v>
      </c>
      <c r="I21" s="122">
        <f>I20</f>
        <v>1.1453732354140098</v>
      </c>
      <c r="J21" s="128">
        <f t="shared" ref="J21:J31" si="2">H21*I21</f>
        <v>216690.19897966093</v>
      </c>
      <c r="K21" s="56"/>
      <c r="L21" s="127">
        <v>362906.14685178187</v>
      </c>
      <c r="M21" s="122">
        <f>M20</f>
        <v>3.8746069074442788</v>
      </c>
      <c r="N21" s="128">
        <f t="shared" ref="N21:N31" si="3">L21*M21</f>
        <v>1406118.6633459018</v>
      </c>
      <c r="O21" s="56"/>
      <c r="P21" s="110">
        <f t="shared" si="0"/>
        <v>1622808.8623255626</v>
      </c>
      <c r="Q21" s="56"/>
    </row>
    <row r="22" spans="2:17" x14ac:dyDescent="0.2">
      <c r="B22" s="57" t="s">
        <v>68</v>
      </c>
      <c r="C22" s="56"/>
      <c r="D22" s="127">
        <v>336004.98053687601</v>
      </c>
      <c r="E22" s="122">
        <f>E21</f>
        <v>7.1669218204916403</v>
      </c>
      <c r="F22" s="128">
        <f t="shared" si="1"/>
        <v>2408121.4268036056</v>
      </c>
      <c r="G22" s="56"/>
      <c r="H22" s="127">
        <v>180909.60982009137</v>
      </c>
      <c r="I22" s="122">
        <f t="shared" ref="I22:I31" si="4">I21</f>
        <v>1.1453732354140098</v>
      </c>
      <c r="J22" s="128">
        <f t="shared" si="2"/>
        <v>207209.02511712417</v>
      </c>
      <c r="K22" s="56"/>
      <c r="L22" s="127">
        <v>345577.38934432407</v>
      </c>
      <c r="M22" s="122">
        <f t="shared" ref="M22:M31" si="5">M21</f>
        <v>3.8746069074442788</v>
      </c>
      <c r="N22" s="128">
        <f t="shared" si="3"/>
        <v>1338976.5398100789</v>
      </c>
      <c r="O22" s="56"/>
      <c r="P22" s="110">
        <f t="shared" si="0"/>
        <v>1546185.5649272031</v>
      </c>
      <c r="Q22" s="56"/>
    </row>
    <row r="23" spans="2:17" x14ac:dyDescent="0.2">
      <c r="B23" s="57" t="s">
        <v>69</v>
      </c>
      <c r="C23" s="56"/>
      <c r="D23" s="127">
        <v>326949.51115093619</v>
      </c>
      <c r="E23" s="122">
        <f t="shared" ref="E23:E31" si="6">E22</f>
        <v>7.1669218204916403</v>
      </c>
      <c r="F23" s="128">
        <f t="shared" si="1"/>
        <v>2343221.5856667194</v>
      </c>
      <c r="G23" s="56"/>
      <c r="H23" s="127">
        <v>172890.27665455444</v>
      </c>
      <c r="I23" s="122">
        <f t="shared" si="4"/>
        <v>1.1453732354140098</v>
      </c>
      <c r="J23" s="128">
        <f t="shared" si="2"/>
        <v>198023.89554345029</v>
      </c>
      <c r="K23" s="56"/>
      <c r="L23" s="127">
        <v>329517.27792807849</v>
      </c>
      <c r="M23" s="122">
        <f t="shared" si="5"/>
        <v>3.8746069074442788</v>
      </c>
      <c r="N23" s="128">
        <f t="shared" si="3"/>
        <v>1276749.9211823691</v>
      </c>
      <c r="O23" s="56"/>
      <c r="P23" s="110">
        <f t="shared" si="0"/>
        <v>1474773.8167258194</v>
      </c>
      <c r="Q23" s="56"/>
    </row>
    <row r="24" spans="2:17" x14ac:dyDescent="0.2">
      <c r="B24" s="57" t="s">
        <v>70</v>
      </c>
      <c r="C24" s="56"/>
      <c r="D24" s="127">
        <v>401511.81491568388</v>
      </c>
      <c r="E24" s="122">
        <f t="shared" si="6"/>
        <v>7.1669218204916403</v>
      </c>
      <c r="F24" s="128">
        <f t="shared" si="1"/>
        <v>2877603.7875044155</v>
      </c>
      <c r="G24" s="56"/>
      <c r="H24" s="127">
        <v>230509.83444493561</v>
      </c>
      <c r="I24" s="122">
        <f t="shared" si="4"/>
        <v>1.1453732354140098</v>
      </c>
      <c r="J24" s="128">
        <f t="shared" si="2"/>
        <v>264019.79487294366</v>
      </c>
      <c r="K24" s="56"/>
      <c r="L24" s="127">
        <v>413971.40940046386</v>
      </c>
      <c r="M24" s="122">
        <f t="shared" si="5"/>
        <v>3.8746069074442788</v>
      </c>
      <c r="N24" s="128">
        <f t="shared" si="3"/>
        <v>1603976.4823474807</v>
      </c>
      <c r="O24" s="56"/>
      <c r="P24" s="110">
        <f t="shared" si="0"/>
        <v>1867996.2772204243</v>
      </c>
      <c r="Q24" s="56"/>
    </row>
    <row r="25" spans="2:17" x14ac:dyDescent="0.2">
      <c r="B25" s="57" t="s">
        <v>71</v>
      </c>
      <c r="C25" s="56"/>
      <c r="D25" s="127">
        <v>457022.98222707515</v>
      </c>
      <c r="E25" s="122">
        <f t="shared" si="6"/>
        <v>7.1669218204916403</v>
      </c>
      <c r="F25" s="128">
        <f t="shared" si="1"/>
        <v>3275447.9837893881</v>
      </c>
      <c r="G25" s="56"/>
      <c r="H25" s="127">
        <v>287536.83067136089</v>
      </c>
      <c r="I25" s="122">
        <f t="shared" si="4"/>
        <v>1.1453732354140098</v>
      </c>
      <c r="J25" s="128">
        <f t="shared" si="2"/>
        <v>329336.99004674691</v>
      </c>
      <c r="K25" s="56"/>
      <c r="L25" s="127">
        <v>494221.17549049517</v>
      </c>
      <c r="M25" s="122">
        <f t="shared" si="5"/>
        <v>3.8746069074442788</v>
      </c>
      <c r="N25" s="128">
        <f t="shared" si="3"/>
        <v>1914912.7803607036</v>
      </c>
      <c r="O25" s="56"/>
      <c r="P25" s="110">
        <f t="shared" si="0"/>
        <v>2244249.7704074504</v>
      </c>
      <c r="Q25" s="56"/>
    </row>
    <row r="26" spans="2:17" x14ac:dyDescent="0.2">
      <c r="B26" s="57" t="s">
        <v>72</v>
      </c>
      <c r="C26" s="56"/>
      <c r="D26" s="127">
        <v>499994.41815646581</v>
      </c>
      <c r="E26" s="122">
        <f t="shared" si="6"/>
        <v>7.1669218204916403</v>
      </c>
      <c r="F26" s="128">
        <f t="shared" si="1"/>
        <v>3583420.9056095965</v>
      </c>
      <c r="G26" s="56"/>
      <c r="H26" s="127">
        <v>301140.91549109574</v>
      </c>
      <c r="I26" s="122">
        <f t="shared" si="4"/>
        <v>1.1453732354140098</v>
      </c>
      <c r="J26" s="128">
        <f t="shared" si="2"/>
        <v>344918.74469157326</v>
      </c>
      <c r="K26" s="56"/>
      <c r="L26" s="127">
        <v>512757.62989972992</v>
      </c>
      <c r="M26" s="122">
        <f t="shared" si="5"/>
        <v>3.8746069074442788</v>
      </c>
      <c r="N26" s="128">
        <f t="shared" si="3"/>
        <v>1986734.2546542506</v>
      </c>
      <c r="O26" s="56"/>
      <c r="P26" s="110">
        <f t="shared" si="0"/>
        <v>2331652.9993458237</v>
      </c>
      <c r="Q26" s="56"/>
    </row>
    <row r="27" spans="2:17" x14ac:dyDescent="0.2">
      <c r="B27" s="57" t="s">
        <v>73</v>
      </c>
      <c r="C27" s="56"/>
      <c r="D27" s="127">
        <v>486179.26855109335</v>
      </c>
      <c r="E27" s="122">
        <f t="shared" si="6"/>
        <v>7.1669218204916403</v>
      </c>
      <c r="F27" s="128">
        <f t="shared" si="1"/>
        <v>3484408.808449496</v>
      </c>
      <c r="G27" s="56"/>
      <c r="H27" s="127">
        <v>292017.7247835609</v>
      </c>
      <c r="I27" s="122">
        <f t="shared" si="4"/>
        <v>1.1453732354140098</v>
      </c>
      <c r="J27" s="128">
        <f t="shared" si="2"/>
        <v>334469.28623358504</v>
      </c>
      <c r="K27" s="56"/>
      <c r="L27" s="127">
        <v>504669.44672390475</v>
      </c>
      <c r="M27" s="122">
        <f t="shared" si="5"/>
        <v>3.8746069074442788</v>
      </c>
      <c r="N27" s="128">
        <f t="shared" si="3"/>
        <v>1955395.7242525239</v>
      </c>
      <c r="O27" s="56"/>
      <c r="P27" s="110">
        <f t="shared" si="0"/>
        <v>2289865.0104861087</v>
      </c>
      <c r="Q27" s="56"/>
    </row>
    <row r="28" spans="2:17" x14ac:dyDescent="0.2">
      <c r="B28" s="57" t="s">
        <v>74</v>
      </c>
      <c r="C28" s="56"/>
      <c r="D28" s="127">
        <v>422656.66889501788</v>
      </c>
      <c r="E28" s="122">
        <f t="shared" si="6"/>
        <v>7.1669218204916403</v>
      </c>
      <c r="F28" s="128">
        <f t="shared" si="1"/>
        <v>3029147.3028800138</v>
      </c>
      <c r="G28" s="56"/>
      <c r="H28" s="127">
        <v>238051.73229322801</v>
      </c>
      <c r="I28" s="122">
        <f t="shared" si="4"/>
        <v>1.1453732354140098</v>
      </c>
      <c r="J28" s="128">
        <f t="shared" si="2"/>
        <v>272658.08281260426</v>
      </c>
      <c r="K28" s="56"/>
      <c r="L28" s="127">
        <v>423783.10021088074</v>
      </c>
      <c r="M28" s="122">
        <f t="shared" si="5"/>
        <v>3.8746069074442788</v>
      </c>
      <c r="N28" s="128">
        <f t="shared" si="3"/>
        <v>1641992.9273352295</v>
      </c>
      <c r="O28" s="56"/>
      <c r="P28" s="110">
        <f t="shared" si="0"/>
        <v>1914651.0101478337</v>
      </c>
      <c r="Q28" s="56"/>
    </row>
    <row r="29" spans="2:17" x14ac:dyDescent="0.2">
      <c r="B29" s="57" t="s">
        <v>75</v>
      </c>
      <c r="C29" s="56"/>
      <c r="D29" s="127">
        <v>346164.30746481376</v>
      </c>
      <c r="E29" s="122">
        <f t="shared" si="6"/>
        <v>7.1669218204916403</v>
      </c>
      <c r="F29" s="128">
        <f t="shared" si="1"/>
        <v>2480932.5286449511</v>
      </c>
      <c r="G29" s="56"/>
      <c r="H29" s="127">
        <v>249047.41754286355</v>
      </c>
      <c r="I29" s="122">
        <f t="shared" si="4"/>
        <v>1.1453732354140098</v>
      </c>
      <c r="J29" s="128">
        <f t="shared" si="2"/>
        <v>285252.24640257342</v>
      </c>
      <c r="K29" s="56"/>
      <c r="L29" s="127">
        <v>362726.68534955528</v>
      </c>
      <c r="M29" s="122">
        <f t="shared" si="5"/>
        <v>3.8746069074442788</v>
      </c>
      <c r="N29" s="128">
        <f t="shared" si="3"/>
        <v>1405423.3205697543</v>
      </c>
      <c r="O29" s="56"/>
      <c r="P29" s="110">
        <f t="shared" si="0"/>
        <v>1690675.5669723279</v>
      </c>
      <c r="Q29" s="56"/>
    </row>
    <row r="30" spans="2:17" x14ac:dyDescent="0.2">
      <c r="B30" s="57" t="s">
        <v>76</v>
      </c>
      <c r="C30" s="56"/>
      <c r="D30" s="127">
        <v>333201.31782284455</v>
      </c>
      <c r="E30" s="122">
        <f t="shared" si="6"/>
        <v>7.1669218204916403</v>
      </c>
      <c r="F30" s="128">
        <f t="shared" si="1"/>
        <v>2388027.7953211148</v>
      </c>
      <c r="G30" s="56"/>
      <c r="H30" s="127">
        <v>189313.8258300263</v>
      </c>
      <c r="I30" s="122">
        <f t="shared" si="4"/>
        <v>1.1453732354140098</v>
      </c>
      <c r="J30" s="128">
        <f t="shared" si="2"/>
        <v>216834.98919954157</v>
      </c>
      <c r="K30" s="56"/>
      <c r="L30" s="127">
        <v>312579.04670848494</v>
      </c>
      <c r="M30" s="122">
        <f t="shared" si="5"/>
        <v>3.8746069074442788</v>
      </c>
      <c r="N30" s="128">
        <f t="shared" si="3"/>
        <v>1211120.9334990436</v>
      </c>
      <c r="O30" s="56"/>
      <c r="P30" s="110">
        <f t="shared" si="0"/>
        <v>1427955.9226985851</v>
      </c>
      <c r="Q30" s="56"/>
    </row>
    <row r="31" spans="2:17" x14ac:dyDescent="0.2">
      <c r="B31" s="57" t="s">
        <v>77</v>
      </c>
      <c r="C31" s="56"/>
      <c r="D31" s="127">
        <v>362880.18701183709</v>
      </c>
      <c r="E31" s="122">
        <f t="shared" si="6"/>
        <v>7.1669218204916403</v>
      </c>
      <c r="F31" s="128">
        <f t="shared" si="1"/>
        <v>2600733.9305192223</v>
      </c>
      <c r="G31" s="56"/>
      <c r="H31" s="127">
        <v>233393.63405618782</v>
      </c>
      <c r="I31" s="122">
        <f t="shared" si="4"/>
        <v>1.1453732354140098</v>
      </c>
      <c r="J31" s="128">
        <f t="shared" si="2"/>
        <v>267322.82176396926</v>
      </c>
      <c r="K31" s="56"/>
      <c r="L31" s="127">
        <v>361688.29175176576</v>
      </c>
      <c r="M31" s="122">
        <f t="shared" si="5"/>
        <v>3.8746069074442788</v>
      </c>
      <c r="N31" s="128">
        <f t="shared" si="3"/>
        <v>1401399.9535631132</v>
      </c>
      <c r="O31" s="56"/>
      <c r="P31" s="110">
        <f t="shared" si="0"/>
        <v>1668722.7753270825</v>
      </c>
      <c r="Q31" s="56"/>
    </row>
    <row r="32" spans="2:17" x14ac:dyDescent="0.2">
      <c r="B32" s="56"/>
      <c r="C32" s="56"/>
      <c r="D32" s="56"/>
      <c r="E32" s="56"/>
      <c r="F32" s="56"/>
      <c r="G32" s="56"/>
      <c r="H32" s="56"/>
      <c r="I32" s="56"/>
      <c r="J32" s="56"/>
      <c r="K32" s="56"/>
      <c r="L32" s="56"/>
      <c r="M32" s="56"/>
      <c r="N32" s="56"/>
      <c r="O32" s="56"/>
      <c r="P32" s="56"/>
      <c r="Q32" s="56"/>
    </row>
    <row r="33" spans="2:17" ht="13.5" thickBot="1" x14ac:dyDescent="0.25">
      <c r="B33" s="104" t="s">
        <v>5</v>
      </c>
      <c r="C33" s="56"/>
      <c r="D33" s="111">
        <f>SUM(D20:D31)</f>
        <v>4662250.6827426814</v>
      </c>
      <c r="E33" s="112">
        <f>IF(D33&lt;&gt;0,F33/D33,0)</f>
        <v>7.1669218204916403</v>
      </c>
      <c r="F33" s="113">
        <f>SUM(F20:F31)</f>
        <v>33413986.15075057</v>
      </c>
      <c r="G33" s="56"/>
      <c r="H33" s="111">
        <f>SUM(H20:H31)</f>
        <v>2744128.9002173427</v>
      </c>
      <c r="I33" s="112">
        <f>IF(H33&lt;&gt;0,J33/H33,0)</f>
        <v>1.14537323541401</v>
      </c>
      <c r="J33" s="113">
        <f>SUM(J20:J31)</f>
        <v>3143051.7968350267</v>
      </c>
      <c r="K33" s="56"/>
      <c r="L33" s="111">
        <f>SUM(L20:L31)</f>
        <v>4795295.9911481459</v>
      </c>
      <c r="M33" s="112">
        <f>IF(L33&lt;&gt;0,N33/L33,0)</f>
        <v>3.8746069074442779</v>
      </c>
      <c r="N33" s="113">
        <f>SUM(N20:N31)</f>
        <v>18579886.970542461</v>
      </c>
      <c r="O33" s="56"/>
      <c r="P33" s="113">
        <f>SUM(P20:P31)</f>
        <v>21722938.767377488</v>
      </c>
      <c r="Q33" s="56"/>
    </row>
    <row r="34" spans="2:17" x14ac:dyDescent="0.2">
      <c r="B34" s="56"/>
      <c r="C34" s="56"/>
      <c r="D34" s="56"/>
      <c r="E34" s="56"/>
      <c r="F34" s="56"/>
      <c r="G34" s="56"/>
      <c r="H34" s="56"/>
      <c r="I34" s="56"/>
      <c r="J34" s="56"/>
      <c r="K34" s="56"/>
      <c r="L34" s="56"/>
      <c r="M34" s="56"/>
      <c r="N34" s="56"/>
      <c r="O34" s="56"/>
      <c r="P34" s="56"/>
      <c r="Q34" s="56"/>
    </row>
    <row r="35" spans="2:17" x14ac:dyDescent="0.2">
      <c r="B35" s="101" t="s">
        <v>78</v>
      </c>
      <c r="C35" s="102"/>
      <c r="D35" s="267" t="s">
        <v>2</v>
      </c>
      <c r="E35" s="267"/>
      <c r="F35" s="267"/>
      <c r="G35" s="102"/>
      <c r="H35" s="267" t="s">
        <v>3</v>
      </c>
      <c r="I35" s="267"/>
      <c r="J35" s="267"/>
      <c r="K35" s="102"/>
      <c r="L35" s="267" t="s">
        <v>4</v>
      </c>
      <c r="M35" s="267"/>
      <c r="N35" s="267"/>
      <c r="O35" s="102"/>
      <c r="P35" s="101" t="s">
        <v>62</v>
      </c>
      <c r="Q35" s="56"/>
    </row>
    <row r="36" spans="2:17" x14ac:dyDescent="0.2">
      <c r="B36" s="104"/>
      <c r="C36" s="56"/>
      <c r="D36" s="120"/>
      <c r="E36" s="120"/>
      <c r="F36" s="120"/>
      <c r="G36" s="56"/>
      <c r="H36" s="120"/>
      <c r="I36" s="120"/>
      <c r="J36" s="120"/>
      <c r="K36" s="56"/>
      <c r="L36" s="120"/>
      <c r="M36" s="120"/>
      <c r="N36" s="120"/>
      <c r="O36" s="56"/>
      <c r="P36" s="120"/>
      <c r="Q36" s="56"/>
    </row>
    <row r="37" spans="2:17" x14ac:dyDescent="0.2">
      <c r="B37" s="104" t="s">
        <v>63</v>
      </c>
      <c r="C37" s="56"/>
      <c r="D37" s="120" t="s">
        <v>64</v>
      </c>
      <c r="E37" s="120" t="s">
        <v>23</v>
      </c>
      <c r="F37" s="120" t="s">
        <v>65</v>
      </c>
      <c r="G37" s="56"/>
      <c r="H37" s="120" t="s">
        <v>64</v>
      </c>
      <c r="I37" s="120" t="s">
        <v>23</v>
      </c>
      <c r="J37" s="120" t="s">
        <v>65</v>
      </c>
      <c r="K37" s="56"/>
      <c r="L37" s="120" t="s">
        <v>64</v>
      </c>
      <c r="M37" s="120" t="s">
        <v>23</v>
      </c>
      <c r="N37" s="120" t="s">
        <v>65</v>
      </c>
      <c r="O37" s="56"/>
      <c r="P37" s="120" t="s">
        <v>65</v>
      </c>
      <c r="Q37" s="56"/>
    </row>
    <row r="38" spans="2:17" x14ac:dyDescent="0.2">
      <c r="B38" s="56"/>
      <c r="C38" s="56"/>
      <c r="D38" s="56"/>
      <c r="E38" s="56"/>
      <c r="F38" s="56"/>
      <c r="G38" s="56"/>
      <c r="H38" s="56"/>
      <c r="I38" s="56"/>
      <c r="J38" s="56"/>
      <c r="K38" s="56"/>
      <c r="L38" s="56"/>
      <c r="M38" s="56"/>
      <c r="N38" s="56"/>
      <c r="O38" s="56"/>
      <c r="P38" s="56"/>
      <c r="Q38" s="56"/>
    </row>
    <row r="39" spans="2:17" x14ac:dyDescent="0.2">
      <c r="B39" s="57" t="s">
        <v>66</v>
      </c>
      <c r="C39" s="56"/>
      <c r="D39" s="127">
        <v>304745.04422637966</v>
      </c>
      <c r="E39" s="122">
        <f>'4. UTRs &amp; Sub-Transmission'!N35</f>
        <v>5.9945619245807622</v>
      </c>
      <c r="F39" s="128">
        <f>D39*E39</f>
        <v>1826813.0388241359</v>
      </c>
      <c r="G39" s="56"/>
      <c r="H39" s="127">
        <v>277069.41687771375</v>
      </c>
      <c r="I39" s="122">
        <f>'4. UTRs &amp; Sub-Transmission'!N37</f>
        <v>0.7882458606119217</v>
      </c>
      <c r="J39" s="128">
        <f>H39*I39</f>
        <v>218398.82095601677</v>
      </c>
      <c r="K39" s="56"/>
      <c r="L39" s="127">
        <v>321243.19972447521</v>
      </c>
      <c r="M39" s="122">
        <f>'4. UTRs &amp; Sub-Transmission'!N39</f>
        <v>3.9882163253203733</v>
      </c>
      <c r="N39" s="128">
        <f>L39*M39</f>
        <v>1281187.3735393053</v>
      </c>
      <c r="O39" s="56"/>
      <c r="P39" s="110">
        <f t="shared" ref="P39:P50" si="7">J39+N39</f>
        <v>1499586.1944953222</v>
      </c>
      <c r="Q39" s="56"/>
    </row>
    <row r="40" spans="2:17" x14ac:dyDescent="0.2">
      <c r="B40" s="57" t="s">
        <v>67</v>
      </c>
      <c r="C40" s="56"/>
      <c r="D40" s="127">
        <v>304868.16158903932</v>
      </c>
      <c r="E40" s="122">
        <f t="shared" ref="E40:E50" si="8">E39</f>
        <v>5.9945619245807622</v>
      </c>
      <c r="F40" s="128">
        <f t="shared" ref="F40:F50" si="9">D40*E40</f>
        <v>1827551.0734785902</v>
      </c>
      <c r="G40" s="56"/>
      <c r="H40" s="127">
        <v>254077.12524526918</v>
      </c>
      <c r="I40" s="122">
        <f t="shared" ref="I40:I50" si="10">I39</f>
        <v>0.7882458606119217</v>
      </c>
      <c r="J40" s="128">
        <f t="shared" ref="J40:J50" si="11">H40*I40</f>
        <v>200275.24225076023</v>
      </c>
      <c r="K40" s="56"/>
      <c r="L40" s="127">
        <v>306532.33405902697</v>
      </c>
      <c r="M40" s="122">
        <f t="shared" ref="M40:M50" si="12">M39</f>
        <v>3.9882163253203733</v>
      </c>
      <c r="N40" s="128">
        <f t="shared" ref="N40:N50" si="13">L40*M40</f>
        <v>1222517.2589327695</v>
      </c>
      <c r="O40" s="56"/>
      <c r="P40" s="110">
        <f t="shared" si="7"/>
        <v>1422792.5011835299</v>
      </c>
      <c r="Q40" s="56"/>
    </row>
    <row r="41" spans="2:17" x14ac:dyDescent="0.2">
      <c r="B41" s="57" t="s">
        <v>68</v>
      </c>
      <c r="C41" s="56"/>
      <c r="D41" s="127">
        <v>256533.32114508381</v>
      </c>
      <c r="E41" s="122">
        <f t="shared" si="8"/>
        <v>5.9945619245807622</v>
      </c>
      <c r="F41" s="128">
        <f t="shared" si="9"/>
        <v>1537804.8793225684</v>
      </c>
      <c r="G41" s="56"/>
      <c r="H41" s="127">
        <v>218795.73884204688</v>
      </c>
      <c r="I41" s="122">
        <f t="shared" si="10"/>
        <v>0.7882458606119217</v>
      </c>
      <c r="J41" s="128">
        <f t="shared" si="11"/>
        <v>172464.8354617705</v>
      </c>
      <c r="K41" s="56"/>
      <c r="L41" s="127">
        <v>261232.35692102823</v>
      </c>
      <c r="M41" s="122">
        <f t="shared" si="12"/>
        <v>3.9882163253203733</v>
      </c>
      <c r="N41" s="128">
        <f t="shared" si="13"/>
        <v>1041851.1505743634</v>
      </c>
      <c r="O41" s="56"/>
      <c r="P41" s="110">
        <f t="shared" si="7"/>
        <v>1214315.986036134</v>
      </c>
      <c r="Q41" s="56"/>
    </row>
    <row r="42" spans="2:17" x14ac:dyDescent="0.2">
      <c r="B42" s="57" t="s">
        <v>69</v>
      </c>
      <c r="C42" s="56"/>
      <c r="D42" s="127">
        <v>225746.01193799876</v>
      </c>
      <c r="E42" s="122">
        <f t="shared" si="8"/>
        <v>5.9945619245807622</v>
      </c>
      <c r="F42" s="128">
        <f t="shared" si="9"/>
        <v>1353248.4477894816</v>
      </c>
      <c r="G42" s="56"/>
      <c r="H42" s="127">
        <v>199678.05490333648</v>
      </c>
      <c r="I42" s="122">
        <f t="shared" si="10"/>
        <v>0.7882458606119217</v>
      </c>
      <c r="J42" s="128">
        <f t="shared" si="11"/>
        <v>157395.40023259501</v>
      </c>
      <c r="K42" s="56"/>
      <c r="L42" s="127">
        <v>230384.71930328893</v>
      </c>
      <c r="M42" s="122">
        <f t="shared" si="12"/>
        <v>3.9882163253203733</v>
      </c>
      <c r="N42" s="128">
        <f t="shared" si="13"/>
        <v>918824.09862972866</v>
      </c>
      <c r="O42" s="56"/>
      <c r="P42" s="110">
        <f t="shared" si="7"/>
        <v>1076219.4988623236</v>
      </c>
      <c r="Q42" s="56"/>
    </row>
    <row r="43" spans="2:17" x14ac:dyDescent="0.2">
      <c r="B43" s="57" t="s">
        <v>70</v>
      </c>
      <c r="C43" s="56"/>
      <c r="D43" s="127">
        <v>263744.7502308797</v>
      </c>
      <c r="E43" s="122">
        <f t="shared" si="8"/>
        <v>5.9945619245807622</v>
      </c>
      <c r="F43" s="128">
        <f t="shared" si="9"/>
        <v>1581034.2375420947</v>
      </c>
      <c r="G43" s="56"/>
      <c r="H43" s="127">
        <v>219142.06568068353</v>
      </c>
      <c r="I43" s="122">
        <f t="shared" si="10"/>
        <v>0.7882458606119217</v>
      </c>
      <c r="J43" s="128">
        <f t="shared" si="11"/>
        <v>172737.82615874466</v>
      </c>
      <c r="K43" s="56"/>
      <c r="L43" s="127">
        <v>266018.33558701357</v>
      </c>
      <c r="M43" s="122">
        <f t="shared" si="12"/>
        <v>3.9882163253203733</v>
      </c>
      <c r="N43" s="128">
        <f t="shared" si="13"/>
        <v>1060938.6688226811</v>
      </c>
      <c r="O43" s="56"/>
      <c r="P43" s="110">
        <f t="shared" si="7"/>
        <v>1233676.4949814258</v>
      </c>
      <c r="Q43" s="56"/>
    </row>
    <row r="44" spans="2:17" x14ac:dyDescent="0.2">
      <c r="B44" s="57" t="s">
        <v>71</v>
      </c>
      <c r="C44" s="56"/>
      <c r="D44" s="127">
        <v>341426.19648630905</v>
      </c>
      <c r="E44" s="122">
        <f t="shared" si="8"/>
        <v>5.9945619245807622</v>
      </c>
      <c r="F44" s="128">
        <f t="shared" si="9"/>
        <v>2046700.4775112583</v>
      </c>
      <c r="G44" s="56"/>
      <c r="H44" s="127">
        <v>297704.65662515879</v>
      </c>
      <c r="I44" s="122">
        <f t="shared" si="10"/>
        <v>0.7882458606119217</v>
      </c>
      <c r="J44" s="128">
        <f t="shared" si="11"/>
        <v>234664.46326967492</v>
      </c>
      <c r="K44" s="56"/>
      <c r="L44" s="127">
        <v>344680.69132508518</v>
      </c>
      <c r="M44" s="122">
        <f t="shared" si="12"/>
        <v>3.9882163253203733</v>
      </c>
      <c r="N44" s="128">
        <f t="shared" si="13"/>
        <v>1374661.160165417</v>
      </c>
      <c r="O44" s="56"/>
      <c r="P44" s="110">
        <f t="shared" si="7"/>
        <v>1609325.6234350919</v>
      </c>
      <c r="Q44" s="56"/>
    </row>
    <row r="45" spans="2:17" x14ac:dyDescent="0.2">
      <c r="B45" s="57" t="s">
        <v>72</v>
      </c>
      <c r="C45" s="56"/>
      <c r="D45" s="127">
        <v>324204.7885604662</v>
      </c>
      <c r="E45" s="122">
        <f t="shared" si="8"/>
        <v>5.9945619245807622</v>
      </c>
      <c r="F45" s="128">
        <f t="shared" si="9"/>
        <v>1943465.6812713274</v>
      </c>
      <c r="G45" s="56"/>
      <c r="H45" s="127">
        <v>275392.00488935428</v>
      </c>
      <c r="I45" s="122">
        <f t="shared" si="10"/>
        <v>0.7882458606119217</v>
      </c>
      <c r="J45" s="128">
        <f t="shared" si="11"/>
        <v>217076.60789965163</v>
      </c>
      <c r="K45" s="56"/>
      <c r="L45" s="127">
        <v>325149.98633285408</v>
      </c>
      <c r="M45" s="122">
        <f t="shared" si="12"/>
        <v>3.9882163253203733</v>
      </c>
      <c r="N45" s="128">
        <f t="shared" si="13"/>
        <v>1296768.4836703849</v>
      </c>
      <c r="O45" s="56"/>
      <c r="P45" s="110">
        <f t="shared" si="7"/>
        <v>1513845.0915700365</v>
      </c>
      <c r="Q45" s="56"/>
    </row>
    <row r="46" spans="2:17" x14ac:dyDescent="0.2">
      <c r="B46" s="57" t="s">
        <v>73</v>
      </c>
      <c r="C46" s="56"/>
      <c r="D46" s="127">
        <v>354932.28855369601</v>
      </c>
      <c r="E46" s="122">
        <f t="shared" si="8"/>
        <v>5.9945619245807622</v>
      </c>
      <c r="F46" s="128">
        <f t="shared" si="9"/>
        <v>2127663.5827682982</v>
      </c>
      <c r="G46" s="56"/>
      <c r="H46" s="127">
        <v>268174.06326979829</v>
      </c>
      <c r="I46" s="122">
        <f t="shared" si="10"/>
        <v>0.7882458606119217</v>
      </c>
      <c r="J46" s="128">
        <f t="shared" si="11"/>
        <v>211387.09529589809</v>
      </c>
      <c r="K46" s="56"/>
      <c r="L46" s="127">
        <v>358850.77966382378</v>
      </c>
      <c r="M46" s="122">
        <f t="shared" si="12"/>
        <v>3.9882163253203733</v>
      </c>
      <c r="N46" s="128">
        <f t="shared" si="13"/>
        <v>1431174.5378092062</v>
      </c>
      <c r="O46" s="56"/>
      <c r="P46" s="110">
        <f t="shared" si="7"/>
        <v>1642561.6331051043</v>
      </c>
      <c r="Q46" s="56"/>
    </row>
    <row r="47" spans="2:17" x14ac:dyDescent="0.2">
      <c r="B47" s="57" t="s">
        <v>74</v>
      </c>
      <c r="C47" s="56"/>
      <c r="D47" s="127">
        <v>295987.70667187468</v>
      </c>
      <c r="E47" s="122">
        <f t="shared" si="8"/>
        <v>5.9945619245807622</v>
      </c>
      <c r="F47" s="128">
        <f t="shared" si="9"/>
        <v>1774316.6365591991</v>
      </c>
      <c r="G47" s="56"/>
      <c r="H47" s="127">
        <v>230775.6632059697</v>
      </c>
      <c r="I47" s="122">
        <f t="shared" si="10"/>
        <v>0.7882458606119217</v>
      </c>
      <c r="J47" s="128">
        <f t="shared" si="11"/>
        <v>181907.96125207658</v>
      </c>
      <c r="K47" s="56"/>
      <c r="L47" s="127">
        <v>297558.2882754181</v>
      </c>
      <c r="M47" s="122">
        <f t="shared" si="12"/>
        <v>3.9882163253203733</v>
      </c>
      <c r="N47" s="128">
        <f t="shared" si="13"/>
        <v>1186726.8230344083</v>
      </c>
      <c r="O47" s="56"/>
      <c r="P47" s="110">
        <f t="shared" si="7"/>
        <v>1368634.7842864848</v>
      </c>
      <c r="Q47" s="56"/>
    </row>
    <row r="48" spans="2:17" x14ac:dyDescent="0.2">
      <c r="B48" s="57" t="s">
        <v>75</v>
      </c>
      <c r="C48" s="56"/>
      <c r="D48" s="127">
        <v>249231.60825071493</v>
      </c>
      <c r="E48" s="122">
        <f t="shared" si="8"/>
        <v>5.9945619245807622</v>
      </c>
      <c r="F48" s="128">
        <f t="shared" si="9"/>
        <v>1494034.3092217643</v>
      </c>
      <c r="G48" s="56"/>
      <c r="H48" s="127">
        <v>197872.35615810222</v>
      </c>
      <c r="I48" s="122">
        <f t="shared" si="10"/>
        <v>0.7882458606119217</v>
      </c>
      <c r="J48" s="128">
        <f t="shared" si="11"/>
        <v>155972.06567115197</v>
      </c>
      <c r="K48" s="56"/>
      <c r="L48" s="127">
        <v>252151.19858043006</v>
      </c>
      <c r="M48" s="122">
        <f t="shared" si="12"/>
        <v>3.9882163253203733</v>
      </c>
      <c r="N48" s="128">
        <f t="shared" si="13"/>
        <v>1005633.5266275705</v>
      </c>
      <c r="O48" s="56"/>
      <c r="P48" s="110">
        <f t="shared" si="7"/>
        <v>1161605.5922987224</v>
      </c>
      <c r="Q48" s="56"/>
    </row>
    <row r="49" spans="2:17" x14ac:dyDescent="0.2">
      <c r="B49" s="57" t="s">
        <v>76</v>
      </c>
      <c r="C49" s="56"/>
      <c r="D49" s="127">
        <v>270953.17700475163</v>
      </c>
      <c r="E49" s="122">
        <f t="shared" si="8"/>
        <v>5.9945619245807622</v>
      </c>
      <c r="F49" s="128">
        <f t="shared" si="9"/>
        <v>1624245.5982168759</v>
      </c>
      <c r="G49" s="56"/>
      <c r="H49" s="127">
        <v>219626.03610546194</v>
      </c>
      <c r="I49" s="122">
        <f t="shared" si="10"/>
        <v>0.7882458606119217</v>
      </c>
      <c r="J49" s="128">
        <f t="shared" si="11"/>
        <v>173119.31384273485</v>
      </c>
      <c r="K49" s="56"/>
      <c r="L49" s="127">
        <v>274982.11030351382</v>
      </c>
      <c r="M49" s="122">
        <f t="shared" si="12"/>
        <v>3.9882163253203733</v>
      </c>
      <c r="N49" s="128">
        <f t="shared" si="13"/>
        <v>1096688.1414835216</v>
      </c>
      <c r="O49" s="56"/>
      <c r="P49" s="110">
        <f t="shared" si="7"/>
        <v>1269807.4553262563</v>
      </c>
      <c r="Q49" s="56"/>
    </row>
    <row r="50" spans="2:17" x14ac:dyDescent="0.2">
      <c r="B50" s="57" t="s">
        <v>77</v>
      </c>
      <c r="C50" s="56"/>
      <c r="D50" s="127">
        <v>278935.53432869771</v>
      </c>
      <c r="E50" s="122">
        <f t="shared" si="8"/>
        <v>5.9945619245807622</v>
      </c>
      <c r="F50" s="128">
        <f t="shared" si="9"/>
        <v>1672096.3334994013</v>
      </c>
      <c r="G50" s="56"/>
      <c r="H50" s="127">
        <v>238402.16755870814</v>
      </c>
      <c r="I50" s="122">
        <f t="shared" si="10"/>
        <v>0.7882458606119217</v>
      </c>
      <c r="J50" s="128">
        <f t="shared" si="11"/>
        <v>187919.52173906146</v>
      </c>
      <c r="K50" s="56"/>
      <c r="L50" s="127">
        <v>285756.00822492584</v>
      </c>
      <c r="M50" s="122">
        <f t="shared" si="12"/>
        <v>3.9882163253203733</v>
      </c>
      <c r="N50" s="128">
        <f t="shared" si="13"/>
        <v>1139656.7770610321</v>
      </c>
      <c r="O50" s="56"/>
      <c r="P50" s="110">
        <f t="shared" si="7"/>
        <v>1327576.2988000936</v>
      </c>
      <c r="Q50" s="56"/>
    </row>
    <row r="51" spans="2:17" x14ac:dyDescent="0.2">
      <c r="B51" s="56"/>
      <c r="C51" s="56"/>
      <c r="D51" s="56"/>
      <c r="E51" s="56"/>
      <c r="F51" s="56"/>
      <c r="G51" s="56"/>
      <c r="H51" s="56"/>
      <c r="I51" s="56"/>
      <c r="J51" s="56"/>
      <c r="K51" s="56"/>
      <c r="L51" s="56"/>
      <c r="M51" s="56"/>
      <c r="N51" s="56"/>
      <c r="O51" s="56"/>
      <c r="P51" s="56"/>
      <c r="Q51" s="56"/>
    </row>
    <row r="52" spans="2:17" ht="13.5" thickBot="1" x14ac:dyDescent="0.25">
      <c r="B52" s="104" t="s">
        <v>5</v>
      </c>
      <c r="C52" s="56"/>
      <c r="D52" s="111">
        <f>SUM(D39:D50)</f>
        <v>3471308.5889858911</v>
      </c>
      <c r="E52" s="112">
        <f>IF(D52&lt;&gt;0,F52/D52,0)</f>
        <v>5.9945619245807631</v>
      </c>
      <c r="F52" s="113">
        <f>SUM(F39:F50)</f>
        <v>20808974.296004996</v>
      </c>
      <c r="G52" s="56"/>
      <c r="H52" s="111">
        <f>SUM(H39:H50)</f>
        <v>2896709.3493616031</v>
      </c>
      <c r="I52" s="112">
        <f>IF(H52&lt;&gt;0,J52/H52,0)</f>
        <v>0.7882458606119217</v>
      </c>
      <c r="J52" s="113">
        <f>SUM(J39:J50)</f>
        <v>2283319.1540301368</v>
      </c>
      <c r="K52" s="56"/>
      <c r="L52" s="111">
        <f>SUM(L39:L50)</f>
        <v>3524540.0083008837</v>
      </c>
      <c r="M52" s="112">
        <f>IF(L52&lt;&gt;0,N52/L52,0)</f>
        <v>3.9882163253203724</v>
      </c>
      <c r="N52" s="113">
        <f>SUM(N39:N50)</f>
        <v>14056628.000350386</v>
      </c>
      <c r="O52" s="56"/>
      <c r="P52" s="113">
        <f>SUM(P39:P50)</f>
        <v>16339947.154380525</v>
      </c>
      <c r="Q52" s="56"/>
    </row>
    <row r="53" spans="2:17" x14ac:dyDescent="0.2">
      <c r="B53" s="56"/>
      <c r="C53" s="56"/>
      <c r="D53" s="56"/>
      <c r="E53" s="56"/>
      <c r="F53" s="56"/>
      <c r="G53" s="56"/>
      <c r="H53" s="56"/>
      <c r="I53" s="56"/>
      <c r="J53" s="56"/>
      <c r="K53" s="56"/>
      <c r="L53" s="56"/>
      <c r="M53" s="56"/>
      <c r="N53" s="56"/>
      <c r="O53" s="56"/>
      <c r="P53" s="56"/>
      <c r="Q53" s="56"/>
    </row>
    <row r="54" spans="2:17" x14ac:dyDescent="0.2">
      <c r="B54" s="101" t="e">
        <f>#REF!</f>
        <v>#REF!</v>
      </c>
      <c r="C54" s="102"/>
      <c r="D54" s="267" t="s">
        <v>2</v>
      </c>
      <c r="E54" s="267"/>
      <c r="F54" s="267"/>
      <c r="G54" s="102"/>
      <c r="H54" s="267" t="s">
        <v>3</v>
      </c>
      <c r="I54" s="267"/>
      <c r="J54" s="267"/>
      <c r="K54" s="102"/>
      <c r="L54" s="267" t="s">
        <v>4</v>
      </c>
      <c r="M54" s="267"/>
      <c r="N54" s="267"/>
      <c r="O54" s="102"/>
      <c r="P54" s="101" t="s">
        <v>62</v>
      </c>
      <c r="Q54" s="56"/>
    </row>
    <row r="55" spans="2:17" x14ac:dyDescent="0.2">
      <c r="B55" s="104"/>
      <c r="C55" s="56"/>
      <c r="D55" s="120"/>
      <c r="E55" s="120"/>
      <c r="F55" s="120"/>
      <c r="G55" s="56"/>
      <c r="H55" s="120"/>
      <c r="I55" s="120"/>
      <c r="J55" s="120"/>
      <c r="K55" s="56"/>
      <c r="L55" s="120"/>
      <c r="M55" s="120"/>
      <c r="N55" s="120"/>
      <c r="O55" s="56"/>
      <c r="P55" s="120"/>
      <c r="Q55" s="56"/>
    </row>
    <row r="56" spans="2:17" x14ac:dyDescent="0.2">
      <c r="B56" s="104" t="s">
        <v>63</v>
      </c>
      <c r="C56" s="56"/>
      <c r="D56" s="120" t="s">
        <v>64</v>
      </c>
      <c r="E56" s="120" t="s">
        <v>23</v>
      </c>
      <c r="F56" s="120" t="s">
        <v>65</v>
      </c>
      <c r="G56" s="56"/>
      <c r="H56" s="120" t="s">
        <v>64</v>
      </c>
      <c r="I56" s="120" t="s">
        <v>23</v>
      </c>
      <c r="J56" s="120" t="s">
        <v>65</v>
      </c>
      <c r="K56" s="56"/>
      <c r="L56" s="120" t="s">
        <v>64</v>
      </c>
      <c r="M56" s="120" t="s">
        <v>23</v>
      </c>
      <c r="N56" s="120" t="s">
        <v>65</v>
      </c>
      <c r="O56" s="56"/>
      <c r="P56" s="120" t="s">
        <v>65</v>
      </c>
      <c r="Q56" s="56"/>
    </row>
    <row r="57" spans="2:17" x14ac:dyDescent="0.2">
      <c r="B57" s="56"/>
      <c r="C57" s="56"/>
      <c r="D57" s="56"/>
      <c r="E57" s="56"/>
      <c r="F57" s="56"/>
      <c r="G57" s="56"/>
      <c r="H57" s="56"/>
      <c r="I57" s="56"/>
      <c r="J57" s="56"/>
      <c r="K57" s="56"/>
      <c r="L57" s="56"/>
      <c r="M57" s="56"/>
      <c r="N57" s="56"/>
      <c r="O57" s="56"/>
      <c r="P57" s="56"/>
      <c r="Q57" s="56"/>
    </row>
    <row r="58" spans="2:17" x14ac:dyDescent="0.2">
      <c r="B58" s="57" t="s">
        <v>66</v>
      </c>
      <c r="C58" s="56"/>
      <c r="D58" s="127"/>
      <c r="E58" s="122"/>
      <c r="F58" s="128"/>
      <c r="G58" s="56"/>
      <c r="H58" s="127"/>
      <c r="I58" s="122"/>
      <c r="J58" s="128"/>
      <c r="K58" s="56"/>
      <c r="L58" s="127"/>
      <c r="M58" s="122"/>
      <c r="N58" s="128"/>
      <c r="O58" s="56"/>
      <c r="P58" s="110"/>
      <c r="Q58" s="56"/>
    </row>
    <row r="59" spans="2:17" x14ac:dyDescent="0.2">
      <c r="B59" s="57" t="s">
        <v>67</v>
      </c>
      <c r="C59" s="56"/>
      <c r="D59" s="127"/>
      <c r="E59" s="122"/>
      <c r="F59" s="128"/>
      <c r="G59" s="56"/>
      <c r="H59" s="127"/>
      <c r="I59" s="122"/>
      <c r="J59" s="128"/>
      <c r="K59" s="56"/>
      <c r="L59" s="127"/>
      <c r="M59" s="122"/>
      <c r="N59" s="128"/>
      <c r="O59" s="56"/>
      <c r="P59" s="110"/>
      <c r="Q59" s="56"/>
    </row>
    <row r="60" spans="2:17" x14ac:dyDescent="0.2">
      <c r="B60" s="57" t="s">
        <v>68</v>
      </c>
      <c r="C60" s="56"/>
      <c r="D60" s="127"/>
      <c r="E60" s="122"/>
      <c r="F60" s="128"/>
      <c r="G60" s="56"/>
      <c r="H60" s="127"/>
      <c r="I60" s="122"/>
      <c r="J60" s="128"/>
      <c r="K60" s="56"/>
      <c r="L60" s="127"/>
      <c r="M60" s="122"/>
      <c r="N60" s="128"/>
      <c r="O60" s="56"/>
      <c r="P60" s="110"/>
      <c r="Q60" s="56"/>
    </row>
    <row r="61" spans="2:17" x14ac:dyDescent="0.2">
      <c r="B61" s="57" t="s">
        <v>69</v>
      </c>
      <c r="C61" s="56"/>
      <c r="D61" s="127"/>
      <c r="E61" s="122"/>
      <c r="F61" s="128"/>
      <c r="G61" s="56"/>
      <c r="H61" s="127"/>
      <c r="I61" s="122"/>
      <c r="J61" s="128"/>
      <c r="K61" s="56"/>
      <c r="L61" s="127"/>
      <c r="M61" s="122"/>
      <c r="N61" s="128"/>
      <c r="O61" s="56"/>
      <c r="P61" s="110"/>
      <c r="Q61" s="56"/>
    </row>
    <row r="62" spans="2:17" x14ac:dyDescent="0.2">
      <c r="B62" s="57" t="s">
        <v>70</v>
      </c>
      <c r="C62" s="56"/>
      <c r="D62" s="127"/>
      <c r="E62" s="122"/>
      <c r="F62" s="128"/>
      <c r="G62" s="56"/>
      <c r="H62" s="127"/>
      <c r="I62" s="122"/>
      <c r="J62" s="128"/>
      <c r="K62" s="56"/>
      <c r="L62" s="127"/>
      <c r="M62" s="122"/>
      <c r="N62" s="128"/>
      <c r="O62" s="56"/>
      <c r="P62" s="110"/>
      <c r="Q62" s="56"/>
    </row>
    <row r="63" spans="2:17" x14ac:dyDescent="0.2">
      <c r="B63" s="57" t="s">
        <v>71</v>
      </c>
      <c r="C63" s="56"/>
      <c r="D63" s="127"/>
      <c r="E63" s="122"/>
      <c r="F63" s="128"/>
      <c r="G63" s="56"/>
      <c r="H63" s="127"/>
      <c r="I63" s="122"/>
      <c r="J63" s="128"/>
      <c r="K63" s="56"/>
      <c r="L63" s="127"/>
      <c r="M63" s="122"/>
      <c r="N63" s="128"/>
      <c r="O63" s="56"/>
      <c r="P63" s="110"/>
      <c r="Q63" s="56"/>
    </row>
    <row r="64" spans="2:17" x14ac:dyDescent="0.2">
      <c r="B64" s="57" t="s">
        <v>72</v>
      </c>
      <c r="C64" s="56"/>
      <c r="D64" s="127"/>
      <c r="E64" s="122"/>
      <c r="F64" s="128"/>
      <c r="G64" s="56"/>
      <c r="H64" s="127"/>
      <c r="I64" s="122"/>
      <c r="J64" s="128"/>
      <c r="K64" s="56"/>
      <c r="L64" s="127"/>
      <c r="M64" s="122"/>
      <c r="N64" s="128"/>
      <c r="O64" s="56"/>
      <c r="P64" s="110"/>
      <c r="Q64" s="56"/>
    </row>
    <row r="65" spans="2:17" x14ac:dyDescent="0.2">
      <c r="B65" s="57" t="s">
        <v>73</v>
      </c>
      <c r="C65" s="56"/>
      <c r="D65" s="127"/>
      <c r="E65" s="122"/>
      <c r="F65" s="128"/>
      <c r="G65" s="56"/>
      <c r="H65" s="127"/>
      <c r="I65" s="122"/>
      <c r="J65" s="128"/>
      <c r="K65" s="56"/>
      <c r="L65" s="127"/>
      <c r="M65" s="122"/>
      <c r="N65" s="128"/>
      <c r="O65" s="56"/>
      <c r="P65" s="110"/>
      <c r="Q65" s="56"/>
    </row>
    <row r="66" spans="2:17" x14ac:dyDescent="0.2">
      <c r="B66" s="57" t="s">
        <v>74</v>
      </c>
      <c r="C66" s="56"/>
      <c r="D66" s="127"/>
      <c r="E66" s="122"/>
      <c r="F66" s="128"/>
      <c r="G66" s="56"/>
      <c r="H66" s="127"/>
      <c r="I66" s="122"/>
      <c r="J66" s="128"/>
      <c r="K66" s="56"/>
      <c r="L66" s="127"/>
      <c r="M66" s="122"/>
      <c r="N66" s="128"/>
      <c r="O66" s="56"/>
      <c r="P66" s="110"/>
      <c r="Q66" s="56"/>
    </row>
    <row r="67" spans="2:17" x14ac:dyDescent="0.2">
      <c r="B67" s="57" t="s">
        <v>75</v>
      </c>
      <c r="C67" s="56"/>
      <c r="D67" s="127"/>
      <c r="E67" s="122"/>
      <c r="F67" s="128"/>
      <c r="G67" s="56"/>
      <c r="H67" s="127"/>
      <c r="I67" s="122"/>
      <c r="J67" s="128"/>
      <c r="K67" s="56"/>
      <c r="L67" s="127"/>
      <c r="M67" s="122"/>
      <c r="N67" s="128"/>
      <c r="O67" s="56"/>
      <c r="P67" s="110"/>
      <c r="Q67" s="56"/>
    </row>
    <row r="68" spans="2:17" x14ac:dyDescent="0.2">
      <c r="B68" s="57" t="s">
        <v>76</v>
      </c>
      <c r="C68" s="56"/>
      <c r="D68" s="127"/>
      <c r="E68" s="122"/>
      <c r="F68" s="128"/>
      <c r="G68" s="56"/>
      <c r="H68" s="127"/>
      <c r="I68" s="122"/>
      <c r="J68" s="128"/>
      <c r="K68" s="56"/>
      <c r="L68" s="127"/>
      <c r="M68" s="122"/>
      <c r="N68" s="128"/>
      <c r="O68" s="56"/>
      <c r="P68" s="110"/>
      <c r="Q68" s="56"/>
    </row>
    <row r="69" spans="2:17" x14ac:dyDescent="0.2">
      <c r="B69" s="57" t="s">
        <v>77</v>
      </c>
      <c r="C69" s="56"/>
      <c r="D69" s="127"/>
      <c r="E69" s="122"/>
      <c r="F69" s="128"/>
      <c r="G69" s="56"/>
      <c r="H69" s="127"/>
      <c r="I69" s="122"/>
      <c r="J69" s="128"/>
      <c r="K69" s="56"/>
      <c r="L69" s="127"/>
      <c r="M69" s="122"/>
      <c r="N69" s="128"/>
      <c r="O69" s="56"/>
      <c r="P69" s="110"/>
      <c r="Q69" s="56"/>
    </row>
    <row r="70" spans="2:17" x14ac:dyDescent="0.2">
      <c r="B70" s="56"/>
      <c r="C70" s="56"/>
      <c r="D70" s="56"/>
      <c r="E70" s="56"/>
      <c r="F70" s="56"/>
      <c r="G70" s="56"/>
      <c r="H70" s="56"/>
      <c r="I70" s="56"/>
      <c r="J70" s="56"/>
      <c r="K70" s="56"/>
      <c r="L70" s="56"/>
      <c r="M70" s="56"/>
      <c r="N70" s="56"/>
      <c r="O70" s="56"/>
      <c r="P70" s="56"/>
      <c r="Q70" s="56"/>
    </row>
    <row r="71" spans="2:17" ht="13.5" thickBot="1" x14ac:dyDescent="0.25">
      <c r="B71" s="104" t="s">
        <v>5</v>
      </c>
      <c r="C71" s="56"/>
      <c r="D71" s="111">
        <f>SUM(D58:D69)</f>
        <v>0</v>
      </c>
      <c r="E71" s="112">
        <f>IF(D71&lt;&gt;0,F71/D71,0)</f>
        <v>0</v>
      </c>
      <c r="F71" s="113">
        <f>SUM(F58:F69)</f>
        <v>0</v>
      </c>
      <c r="G71" s="56"/>
      <c r="H71" s="111">
        <f>SUM(H58:H69)</f>
        <v>0</v>
      </c>
      <c r="I71" s="112">
        <f>IF(H71&lt;&gt;0,J71/H71,0)</f>
        <v>0</v>
      </c>
      <c r="J71" s="113">
        <f>SUM(J58:J69)</f>
        <v>0</v>
      </c>
      <c r="K71" s="56"/>
      <c r="L71" s="111">
        <f>SUM(L58:L69)</f>
        <v>0</v>
      </c>
      <c r="M71" s="112">
        <f>IF(L71&lt;&gt;0,N71/L71,0)</f>
        <v>0</v>
      </c>
      <c r="N71" s="113">
        <f>SUM(N58:N69)</f>
        <v>0</v>
      </c>
      <c r="O71" s="56"/>
      <c r="P71" s="113">
        <f>SUM(P58:P69)</f>
        <v>0</v>
      </c>
      <c r="Q71" s="56"/>
    </row>
    <row r="72" spans="2:17" x14ac:dyDescent="0.2">
      <c r="B72" s="56"/>
      <c r="C72" s="56"/>
      <c r="D72" s="56"/>
      <c r="E72" s="56"/>
      <c r="F72" s="56"/>
      <c r="G72" s="56"/>
      <c r="H72" s="56"/>
      <c r="I72" s="56"/>
      <c r="J72" s="56"/>
      <c r="K72" s="56"/>
      <c r="L72" s="56"/>
      <c r="M72" s="56"/>
      <c r="N72" s="56"/>
      <c r="O72" s="56"/>
      <c r="P72" s="56"/>
      <c r="Q72" s="56"/>
    </row>
    <row r="73" spans="2:17" x14ac:dyDescent="0.2">
      <c r="B73" s="101" t="e">
        <f>#REF!</f>
        <v>#REF!</v>
      </c>
      <c r="C73" s="102"/>
      <c r="D73" s="267" t="s">
        <v>2</v>
      </c>
      <c r="E73" s="267"/>
      <c r="F73" s="267"/>
      <c r="G73" s="102"/>
      <c r="H73" s="267" t="s">
        <v>3</v>
      </c>
      <c r="I73" s="267"/>
      <c r="J73" s="267"/>
      <c r="K73" s="102"/>
      <c r="L73" s="267" t="s">
        <v>4</v>
      </c>
      <c r="M73" s="267"/>
      <c r="N73" s="267"/>
      <c r="O73" s="102"/>
      <c r="P73" s="101" t="s">
        <v>62</v>
      </c>
      <c r="Q73" s="56"/>
    </row>
    <row r="74" spans="2:17" x14ac:dyDescent="0.2">
      <c r="B74" s="104"/>
      <c r="C74" s="56"/>
      <c r="D74" s="120"/>
      <c r="E74" s="120"/>
      <c r="F74" s="120"/>
      <c r="G74" s="56"/>
      <c r="H74" s="120"/>
      <c r="I74" s="120"/>
      <c r="J74" s="120"/>
      <c r="K74" s="56"/>
      <c r="L74" s="120"/>
      <c r="M74" s="120"/>
      <c r="N74" s="120"/>
      <c r="O74" s="56"/>
      <c r="P74" s="120"/>
      <c r="Q74" s="56"/>
    </row>
    <row r="75" spans="2:17" x14ac:dyDescent="0.2">
      <c r="B75" s="104" t="s">
        <v>63</v>
      </c>
      <c r="C75" s="56"/>
      <c r="D75" s="120" t="s">
        <v>64</v>
      </c>
      <c r="E75" s="120" t="s">
        <v>23</v>
      </c>
      <c r="F75" s="120" t="s">
        <v>65</v>
      </c>
      <c r="G75" s="56"/>
      <c r="H75" s="120" t="s">
        <v>64</v>
      </c>
      <c r="I75" s="120" t="s">
        <v>23</v>
      </c>
      <c r="J75" s="120" t="s">
        <v>65</v>
      </c>
      <c r="K75" s="56"/>
      <c r="L75" s="120" t="s">
        <v>64</v>
      </c>
      <c r="M75" s="120" t="s">
        <v>23</v>
      </c>
      <c r="N75" s="120" t="s">
        <v>65</v>
      </c>
      <c r="O75" s="56"/>
      <c r="P75" s="120" t="s">
        <v>65</v>
      </c>
      <c r="Q75" s="56"/>
    </row>
    <row r="76" spans="2:17" x14ac:dyDescent="0.2">
      <c r="B76" s="56"/>
      <c r="C76" s="56"/>
      <c r="D76" s="56"/>
      <c r="E76" s="56"/>
      <c r="F76" s="56"/>
      <c r="G76" s="56"/>
      <c r="H76" s="56"/>
      <c r="I76" s="56"/>
      <c r="J76" s="56"/>
      <c r="K76" s="56"/>
      <c r="L76" s="56"/>
      <c r="M76" s="56"/>
      <c r="N76" s="56"/>
      <c r="O76" s="56"/>
      <c r="P76" s="56"/>
      <c r="Q76" s="56"/>
    </row>
    <row r="77" spans="2:17" x14ac:dyDescent="0.2">
      <c r="B77" s="57" t="s">
        <v>66</v>
      </c>
      <c r="C77" s="56"/>
      <c r="D77" s="127"/>
      <c r="E77" s="122"/>
      <c r="F77" s="128"/>
      <c r="G77" s="56"/>
      <c r="H77" s="127"/>
      <c r="I77" s="122"/>
      <c r="J77" s="128"/>
      <c r="K77" s="56"/>
      <c r="L77" s="127"/>
      <c r="M77" s="122"/>
      <c r="N77" s="128"/>
      <c r="O77" s="56"/>
      <c r="P77" s="110"/>
      <c r="Q77" s="56"/>
    </row>
    <row r="78" spans="2:17" x14ac:dyDescent="0.2">
      <c r="B78" s="57" t="s">
        <v>67</v>
      </c>
      <c r="C78" s="56"/>
      <c r="D78" s="127"/>
      <c r="E78" s="122"/>
      <c r="F78" s="128"/>
      <c r="G78" s="56"/>
      <c r="H78" s="127"/>
      <c r="I78" s="122"/>
      <c r="J78" s="128"/>
      <c r="K78" s="56"/>
      <c r="L78" s="127"/>
      <c r="M78" s="122"/>
      <c r="N78" s="128"/>
      <c r="O78" s="56"/>
      <c r="P78" s="110"/>
      <c r="Q78" s="56"/>
    </row>
    <row r="79" spans="2:17" x14ac:dyDescent="0.2">
      <c r="B79" s="57" t="s">
        <v>68</v>
      </c>
      <c r="C79" s="56"/>
      <c r="D79" s="127"/>
      <c r="E79" s="122"/>
      <c r="F79" s="128"/>
      <c r="G79" s="56"/>
      <c r="H79" s="127"/>
      <c r="I79" s="122"/>
      <c r="J79" s="128"/>
      <c r="K79" s="56"/>
      <c r="L79" s="127"/>
      <c r="M79" s="122"/>
      <c r="N79" s="128"/>
      <c r="O79" s="56"/>
      <c r="P79" s="110"/>
      <c r="Q79" s="56"/>
    </row>
    <row r="80" spans="2:17" x14ac:dyDescent="0.2">
      <c r="B80" s="57" t="s">
        <v>69</v>
      </c>
      <c r="C80" s="56"/>
      <c r="D80" s="127"/>
      <c r="E80" s="122"/>
      <c r="F80" s="128"/>
      <c r="G80" s="56"/>
      <c r="H80" s="127"/>
      <c r="I80" s="122"/>
      <c r="J80" s="128"/>
      <c r="K80" s="56"/>
      <c r="L80" s="127"/>
      <c r="M80" s="122"/>
      <c r="N80" s="128"/>
      <c r="O80" s="56"/>
      <c r="P80" s="110"/>
      <c r="Q80" s="56"/>
    </row>
    <row r="81" spans="2:17" x14ac:dyDescent="0.2">
      <c r="B81" s="57" t="s">
        <v>70</v>
      </c>
      <c r="C81" s="56"/>
      <c r="D81" s="127"/>
      <c r="E81" s="122"/>
      <c r="F81" s="128"/>
      <c r="G81" s="56"/>
      <c r="H81" s="127"/>
      <c r="I81" s="122"/>
      <c r="J81" s="128"/>
      <c r="K81" s="56"/>
      <c r="L81" s="127"/>
      <c r="M81" s="122"/>
      <c r="N81" s="128"/>
      <c r="O81" s="56"/>
      <c r="P81" s="110"/>
      <c r="Q81" s="56"/>
    </row>
    <row r="82" spans="2:17" x14ac:dyDescent="0.2">
      <c r="B82" s="57" t="s">
        <v>71</v>
      </c>
      <c r="C82" s="56"/>
      <c r="D82" s="127"/>
      <c r="E82" s="122"/>
      <c r="F82" s="128"/>
      <c r="G82" s="56"/>
      <c r="H82" s="127"/>
      <c r="I82" s="122"/>
      <c r="J82" s="128"/>
      <c r="K82" s="56"/>
      <c r="L82" s="127"/>
      <c r="M82" s="122"/>
      <c r="N82" s="128"/>
      <c r="O82" s="56"/>
      <c r="P82" s="110"/>
      <c r="Q82" s="56"/>
    </row>
    <row r="83" spans="2:17" x14ac:dyDescent="0.2">
      <c r="B83" s="57" t="s">
        <v>72</v>
      </c>
      <c r="C83" s="56"/>
      <c r="D83" s="127"/>
      <c r="E83" s="122"/>
      <c r="F83" s="128"/>
      <c r="G83" s="56"/>
      <c r="H83" s="127"/>
      <c r="I83" s="122"/>
      <c r="J83" s="128"/>
      <c r="K83" s="56"/>
      <c r="L83" s="127"/>
      <c r="M83" s="122"/>
      <c r="N83" s="128"/>
      <c r="O83" s="56"/>
      <c r="P83" s="110"/>
      <c r="Q83" s="56"/>
    </row>
    <row r="84" spans="2:17" x14ac:dyDescent="0.2">
      <c r="B84" s="57" t="s">
        <v>73</v>
      </c>
      <c r="C84" s="56"/>
      <c r="D84" s="127"/>
      <c r="E84" s="122"/>
      <c r="F84" s="128"/>
      <c r="G84" s="56"/>
      <c r="H84" s="127"/>
      <c r="I84" s="122"/>
      <c r="J84" s="128"/>
      <c r="K84" s="56"/>
      <c r="L84" s="127"/>
      <c r="M84" s="122"/>
      <c r="N84" s="128"/>
      <c r="O84" s="56"/>
      <c r="P84" s="110"/>
      <c r="Q84" s="56"/>
    </row>
    <row r="85" spans="2:17" x14ac:dyDescent="0.2">
      <c r="B85" s="57" t="s">
        <v>74</v>
      </c>
      <c r="C85" s="56"/>
      <c r="D85" s="127"/>
      <c r="E85" s="122"/>
      <c r="F85" s="128"/>
      <c r="G85" s="56"/>
      <c r="H85" s="127"/>
      <c r="I85" s="122"/>
      <c r="J85" s="128"/>
      <c r="K85" s="56"/>
      <c r="L85" s="127"/>
      <c r="M85" s="122"/>
      <c r="N85" s="128"/>
      <c r="O85" s="56"/>
      <c r="P85" s="110"/>
      <c r="Q85" s="56"/>
    </row>
    <row r="86" spans="2:17" x14ac:dyDescent="0.2">
      <c r="B86" s="57" t="s">
        <v>75</v>
      </c>
      <c r="C86" s="56"/>
      <c r="D86" s="127"/>
      <c r="E86" s="122"/>
      <c r="F86" s="128"/>
      <c r="G86" s="56"/>
      <c r="H86" s="127"/>
      <c r="I86" s="122"/>
      <c r="J86" s="128"/>
      <c r="K86" s="56"/>
      <c r="L86" s="127"/>
      <c r="M86" s="122"/>
      <c r="N86" s="128"/>
      <c r="O86" s="56"/>
      <c r="P86" s="110"/>
      <c r="Q86" s="56"/>
    </row>
    <row r="87" spans="2:17" x14ac:dyDescent="0.2">
      <c r="B87" s="57" t="s">
        <v>76</v>
      </c>
      <c r="C87" s="56"/>
      <c r="D87" s="127"/>
      <c r="E87" s="122"/>
      <c r="F87" s="128"/>
      <c r="G87" s="56"/>
      <c r="H87" s="127"/>
      <c r="I87" s="122"/>
      <c r="J87" s="128"/>
      <c r="K87" s="56"/>
      <c r="L87" s="127"/>
      <c r="M87" s="122"/>
      <c r="N87" s="128"/>
      <c r="O87" s="56"/>
      <c r="P87" s="110"/>
      <c r="Q87" s="56"/>
    </row>
    <row r="88" spans="2:17" x14ac:dyDescent="0.2">
      <c r="B88" s="57" t="s">
        <v>77</v>
      </c>
      <c r="C88" s="56"/>
      <c r="D88" s="127"/>
      <c r="E88" s="122"/>
      <c r="F88" s="128"/>
      <c r="G88" s="56"/>
      <c r="H88" s="127"/>
      <c r="I88" s="122"/>
      <c r="J88" s="128"/>
      <c r="K88" s="56"/>
      <c r="L88" s="127"/>
      <c r="M88" s="122"/>
      <c r="N88" s="128"/>
      <c r="O88" s="56"/>
      <c r="P88" s="110"/>
      <c r="Q88" s="56"/>
    </row>
    <row r="89" spans="2:17" x14ac:dyDescent="0.2">
      <c r="B89" s="56"/>
      <c r="C89" s="56"/>
      <c r="D89" s="56"/>
      <c r="E89" s="56"/>
      <c r="F89" s="56"/>
      <c r="G89" s="56"/>
      <c r="H89" s="56"/>
      <c r="I89" s="56"/>
      <c r="J89" s="56"/>
      <c r="K89" s="56"/>
      <c r="L89" s="56"/>
      <c r="M89" s="56"/>
      <c r="N89" s="56"/>
      <c r="O89" s="56"/>
      <c r="P89" s="56"/>
      <c r="Q89" s="56"/>
    </row>
    <row r="90" spans="2:17" ht="13.5" thickBot="1" x14ac:dyDescent="0.25">
      <c r="B90" s="104" t="s">
        <v>5</v>
      </c>
      <c r="C90" s="56"/>
      <c r="D90" s="111">
        <f>SUM(D77:D88)</f>
        <v>0</v>
      </c>
      <c r="E90" s="112">
        <f>IF(D90&lt;&gt;0,F90/D90,0)</f>
        <v>0</v>
      </c>
      <c r="F90" s="113">
        <f>SUM(F77:F88)</f>
        <v>0</v>
      </c>
      <c r="G90" s="56"/>
      <c r="H90" s="111">
        <f>SUM(H77:H88)</f>
        <v>0</v>
      </c>
      <c r="I90" s="112">
        <f>IF(H90&lt;&gt;0,J90/H90,0)</f>
        <v>0</v>
      </c>
      <c r="J90" s="113">
        <f>SUM(J77:J88)</f>
        <v>0</v>
      </c>
      <c r="K90" s="56"/>
      <c r="L90" s="111">
        <f>SUM(L77:L88)</f>
        <v>0</v>
      </c>
      <c r="M90" s="112">
        <f>IF(L90&lt;&gt;0,N90/L90,0)</f>
        <v>0</v>
      </c>
      <c r="N90" s="113">
        <f>SUM(N77:N88)</f>
        <v>0</v>
      </c>
      <c r="O90" s="56"/>
      <c r="P90" s="113">
        <f>SUM(P77:P88)</f>
        <v>0</v>
      </c>
      <c r="Q90" s="56"/>
    </row>
    <row r="91" spans="2:17" x14ac:dyDescent="0.2">
      <c r="B91" s="56"/>
      <c r="C91" s="56"/>
      <c r="D91" s="56"/>
      <c r="E91" s="56"/>
      <c r="F91" s="56"/>
      <c r="G91" s="56"/>
      <c r="H91" s="56"/>
      <c r="I91" s="56"/>
      <c r="J91" s="56"/>
      <c r="K91" s="56"/>
      <c r="L91" s="56"/>
      <c r="M91" s="56"/>
      <c r="N91" s="56"/>
      <c r="O91" s="56"/>
      <c r="P91" s="56"/>
      <c r="Q91" s="56"/>
    </row>
    <row r="92" spans="2:17" x14ac:dyDescent="0.2">
      <c r="B92" s="101" t="s">
        <v>5</v>
      </c>
      <c r="C92" s="102"/>
      <c r="D92" s="267" t="s">
        <v>2</v>
      </c>
      <c r="E92" s="267"/>
      <c r="F92" s="267"/>
      <c r="G92" s="102"/>
      <c r="H92" s="267" t="s">
        <v>3</v>
      </c>
      <c r="I92" s="267"/>
      <c r="J92" s="267"/>
      <c r="K92" s="102"/>
      <c r="L92" s="267" t="s">
        <v>4</v>
      </c>
      <c r="M92" s="267"/>
      <c r="N92" s="267"/>
      <c r="O92" s="102"/>
      <c r="P92" s="101" t="s">
        <v>62</v>
      </c>
      <c r="Q92" s="56"/>
    </row>
    <row r="93" spans="2:17" x14ac:dyDescent="0.2">
      <c r="B93" s="56"/>
      <c r="C93" s="56"/>
      <c r="D93" s="268"/>
      <c r="E93" s="268"/>
      <c r="F93" s="268"/>
      <c r="G93" s="56"/>
      <c r="H93" s="268"/>
      <c r="I93" s="268"/>
      <c r="J93" s="268"/>
      <c r="K93" s="56"/>
      <c r="L93" s="268"/>
      <c r="M93" s="268"/>
      <c r="N93" s="268"/>
      <c r="O93" s="56"/>
      <c r="P93" s="120"/>
      <c r="Q93" s="56"/>
    </row>
    <row r="94" spans="2:17" x14ac:dyDescent="0.2">
      <c r="B94" s="104" t="s">
        <v>63</v>
      </c>
      <c r="C94" s="56"/>
      <c r="D94" s="120" t="s">
        <v>64</v>
      </c>
      <c r="E94" s="120" t="s">
        <v>23</v>
      </c>
      <c r="F94" s="120" t="s">
        <v>65</v>
      </c>
      <c r="G94" s="56"/>
      <c r="H94" s="120" t="s">
        <v>64</v>
      </c>
      <c r="I94" s="120" t="s">
        <v>23</v>
      </c>
      <c r="J94" s="120" t="s">
        <v>65</v>
      </c>
      <c r="K94" s="56"/>
      <c r="L94" s="120" t="s">
        <v>64</v>
      </c>
      <c r="M94" s="120" t="s">
        <v>23</v>
      </c>
      <c r="N94" s="120" t="s">
        <v>65</v>
      </c>
      <c r="O94" s="56"/>
      <c r="P94" s="120" t="s">
        <v>65</v>
      </c>
      <c r="Q94" s="56"/>
    </row>
    <row r="95" spans="2:17" x14ac:dyDescent="0.2">
      <c r="B95" s="56"/>
      <c r="C95" s="56"/>
      <c r="D95" s="56"/>
      <c r="E95" s="56"/>
      <c r="F95" s="56"/>
      <c r="G95" s="56"/>
      <c r="H95" s="56"/>
      <c r="I95" s="56"/>
      <c r="J95" s="56"/>
      <c r="K95" s="56"/>
      <c r="L95" s="56"/>
      <c r="M95" s="56"/>
      <c r="N95" s="56"/>
      <c r="O95" s="56"/>
      <c r="P95" s="56"/>
      <c r="Q95" s="56"/>
    </row>
    <row r="96" spans="2:17" x14ac:dyDescent="0.2">
      <c r="B96" s="57" t="s">
        <v>66</v>
      </c>
      <c r="C96" s="56"/>
      <c r="D96" s="121">
        <f>D20+D39+D58+D77</f>
        <v>652859.7257531283</v>
      </c>
      <c r="E96" s="122">
        <f t="shared" ref="E96:E107" si="14">IF(D96&lt;&gt;0,F96/D96,0)</f>
        <v>6.6196819552718154</v>
      </c>
      <c r="F96" s="110">
        <f>F20+F39+F58+F77</f>
        <v>4321723.7458916893</v>
      </c>
      <c r="G96" s="56"/>
      <c r="H96" s="121">
        <f>H20+H39+H58+H77</f>
        <v>457199.10281076981</v>
      </c>
      <c r="I96" s="122">
        <f t="shared" ref="I96:I107" si="15">IF(H96&lt;&gt;0,J96/H96,0)</f>
        <v>0.92894876546390726</v>
      </c>
      <c r="J96" s="110">
        <f>J20+J39+J58+J77</f>
        <v>424714.5421272706</v>
      </c>
      <c r="K96" s="56"/>
      <c r="L96" s="121">
        <f>L20+L39+L58+L77</f>
        <v>692141.591213156</v>
      </c>
      <c r="M96" s="122">
        <f t="shared" ref="M96:M107" si="16">IF(L96&lt;&gt;0,N96/L96,0)</f>
        <v>3.9273363682665692</v>
      </c>
      <c r="N96" s="110">
        <f>N20+N39+N58+N77</f>
        <v>2718272.8431613203</v>
      </c>
      <c r="O96" s="56"/>
      <c r="P96" s="110">
        <f t="shared" ref="P96:P107" si="17">J96+N96</f>
        <v>3142987.385288591</v>
      </c>
      <c r="Q96" s="56"/>
    </row>
    <row r="97" spans="2:17" x14ac:dyDescent="0.2">
      <c r="B97" s="57" t="s">
        <v>67</v>
      </c>
      <c r="C97" s="56"/>
      <c r="D97" s="121">
        <f t="shared" ref="D97:D107" si="18">D21+D40+D59+D78</f>
        <v>646438.70607232791</v>
      </c>
      <c r="E97" s="122">
        <f t="shared" si="14"/>
        <v>6.6140229875014693</v>
      </c>
      <c r="F97" s="110">
        <f t="shared" ref="F97:F107" si="19">F21+F40+F59+F78</f>
        <v>4275560.4619730823</v>
      </c>
      <c r="G97" s="56"/>
      <c r="H97" s="121">
        <f t="shared" ref="H97:H107" si="20">H21+H40+H59+H78</f>
        <v>443264.53794165154</v>
      </c>
      <c r="I97" s="122">
        <f t="shared" si="15"/>
        <v>0.94066952246314772</v>
      </c>
      <c r="J97" s="110">
        <f t="shared" ref="J97:J107" si="21">J21+J40+J59+J78</f>
        <v>416965.44123042119</v>
      </c>
      <c r="K97" s="56"/>
      <c r="L97" s="121">
        <f t="shared" ref="L97:L107" si="22">L21+L40+L59+L78</f>
        <v>669438.48091080878</v>
      </c>
      <c r="M97" s="122">
        <f t="shared" si="16"/>
        <v>3.9266280580439061</v>
      </c>
      <c r="N97" s="110">
        <f t="shared" ref="N97:N107" si="23">N21+N40+N59+N78</f>
        <v>2628635.9222786715</v>
      </c>
      <c r="O97" s="56"/>
      <c r="P97" s="110">
        <f t="shared" si="17"/>
        <v>3045601.3635090925</v>
      </c>
      <c r="Q97" s="56"/>
    </row>
    <row r="98" spans="2:17" x14ac:dyDescent="0.2">
      <c r="B98" s="57" t="s">
        <v>68</v>
      </c>
      <c r="C98" s="56"/>
      <c r="D98" s="121">
        <f t="shared" si="18"/>
        <v>592538.30168195977</v>
      </c>
      <c r="E98" s="122">
        <f t="shared" si="14"/>
        <v>6.6593607449938634</v>
      </c>
      <c r="F98" s="110">
        <f t="shared" si="19"/>
        <v>3945926.3061261741</v>
      </c>
      <c r="G98" s="56"/>
      <c r="H98" s="121">
        <f t="shared" si="20"/>
        <v>399705.34866213822</v>
      </c>
      <c r="I98" s="122">
        <f t="shared" si="15"/>
        <v>0.94988436319330893</v>
      </c>
      <c r="J98" s="110">
        <f t="shared" si="21"/>
        <v>379673.86057889467</v>
      </c>
      <c r="K98" s="56"/>
      <c r="L98" s="121">
        <f t="shared" si="22"/>
        <v>606809.74626535224</v>
      </c>
      <c r="M98" s="122">
        <f t="shared" si="16"/>
        <v>3.9235159043462837</v>
      </c>
      <c r="N98" s="110">
        <f t="shared" si="23"/>
        <v>2380827.6903844425</v>
      </c>
      <c r="O98" s="56"/>
      <c r="P98" s="110">
        <f t="shared" si="17"/>
        <v>2760501.5509633371</v>
      </c>
      <c r="Q98" s="56"/>
    </row>
    <row r="99" spans="2:17" x14ac:dyDescent="0.2">
      <c r="B99" s="57" t="s">
        <v>69</v>
      </c>
      <c r="C99" s="56"/>
      <c r="D99" s="121">
        <f t="shared" si="18"/>
        <v>552695.52308893495</v>
      </c>
      <c r="E99" s="122">
        <f t="shared" si="14"/>
        <v>6.6880766697677716</v>
      </c>
      <c r="F99" s="110">
        <f t="shared" si="19"/>
        <v>3696470.0334562007</v>
      </c>
      <c r="G99" s="56"/>
      <c r="H99" s="121">
        <f t="shared" si="20"/>
        <v>372568.33155789092</v>
      </c>
      <c r="I99" s="122">
        <f t="shared" si="15"/>
        <v>0.95397076367135902</v>
      </c>
      <c r="J99" s="110">
        <f t="shared" si="21"/>
        <v>355419.2957760453</v>
      </c>
      <c r="K99" s="56"/>
      <c r="L99" s="121">
        <f t="shared" si="22"/>
        <v>559901.99723136739</v>
      </c>
      <c r="M99" s="122">
        <f t="shared" si="16"/>
        <v>3.921354148884781</v>
      </c>
      <c r="N99" s="110">
        <f t="shared" si="23"/>
        <v>2195574.0198120978</v>
      </c>
      <c r="O99" s="56"/>
      <c r="P99" s="110">
        <f t="shared" si="17"/>
        <v>2550993.3155881432</v>
      </c>
      <c r="Q99" s="56"/>
    </row>
    <row r="100" spans="2:17" x14ac:dyDescent="0.2">
      <c r="B100" s="57" t="s">
        <v>70</v>
      </c>
      <c r="C100" s="56"/>
      <c r="D100" s="121">
        <f t="shared" si="18"/>
        <v>665256.56514656357</v>
      </c>
      <c r="E100" s="122">
        <f t="shared" si="14"/>
        <v>6.7021330696138595</v>
      </c>
      <c r="F100" s="110">
        <f t="shared" si="19"/>
        <v>4458638.0250465106</v>
      </c>
      <c r="G100" s="56"/>
      <c r="H100" s="121">
        <f t="shared" si="20"/>
        <v>449651.90012561914</v>
      </c>
      <c r="I100" s="122">
        <f t="shared" si="15"/>
        <v>0.97132386388153014</v>
      </c>
      <c r="J100" s="110">
        <f t="shared" si="21"/>
        <v>436757.62103168829</v>
      </c>
      <c r="K100" s="56"/>
      <c r="L100" s="121">
        <f t="shared" si="22"/>
        <v>679989.74498747743</v>
      </c>
      <c r="M100" s="122">
        <f t="shared" si="16"/>
        <v>3.919051972201784</v>
      </c>
      <c r="N100" s="110">
        <f t="shared" si="23"/>
        <v>2664915.1511701616</v>
      </c>
      <c r="O100" s="56"/>
      <c r="P100" s="110">
        <f t="shared" si="17"/>
        <v>3101672.7722018501</v>
      </c>
      <c r="Q100" s="56"/>
    </row>
    <row r="101" spans="2:17" x14ac:dyDescent="0.2">
      <c r="B101" s="57" t="s">
        <v>71</v>
      </c>
      <c r="C101" s="56"/>
      <c r="D101" s="121">
        <f t="shared" si="18"/>
        <v>798449.1787133842</v>
      </c>
      <c r="E101" s="122">
        <f t="shared" si="14"/>
        <v>6.6656070332199757</v>
      </c>
      <c r="F101" s="110">
        <f t="shared" si="19"/>
        <v>5322148.4613006469</v>
      </c>
      <c r="G101" s="56"/>
      <c r="H101" s="121">
        <f t="shared" si="20"/>
        <v>585241.48729651968</v>
      </c>
      <c r="I101" s="122">
        <f t="shared" si="15"/>
        <v>0.96370723121798041</v>
      </c>
      <c r="J101" s="110">
        <f t="shared" si="21"/>
        <v>564001.45331642183</v>
      </c>
      <c r="K101" s="56"/>
      <c r="L101" s="121">
        <f t="shared" si="22"/>
        <v>838901.86681558029</v>
      </c>
      <c r="M101" s="122">
        <f t="shared" si="16"/>
        <v>3.9212857554044311</v>
      </c>
      <c r="N101" s="110">
        <f t="shared" si="23"/>
        <v>3289573.9405261204</v>
      </c>
      <c r="O101" s="56"/>
      <c r="P101" s="110">
        <f t="shared" si="17"/>
        <v>3853575.3938425421</v>
      </c>
      <c r="Q101" s="56"/>
    </row>
    <row r="102" spans="2:17" x14ac:dyDescent="0.2">
      <c r="B102" s="57" t="s">
        <v>72</v>
      </c>
      <c r="C102" s="56"/>
      <c r="D102" s="121">
        <f t="shared" si="18"/>
        <v>824199.20671693201</v>
      </c>
      <c r="E102" s="122">
        <f t="shared" si="14"/>
        <v>6.7057654773733741</v>
      </c>
      <c r="F102" s="110">
        <f t="shared" si="19"/>
        <v>5526886.5868809242</v>
      </c>
      <c r="G102" s="56"/>
      <c r="H102" s="121">
        <f t="shared" si="20"/>
        <v>576532.92038045009</v>
      </c>
      <c r="I102" s="122">
        <f t="shared" si="15"/>
        <v>0.9747844966430852</v>
      </c>
      <c r="J102" s="110">
        <f t="shared" si="21"/>
        <v>561995.35259122495</v>
      </c>
      <c r="K102" s="56"/>
      <c r="L102" s="121">
        <f t="shared" si="22"/>
        <v>837907.616232584</v>
      </c>
      <c r="M102" s="122">
        <f t="shared" si="16"/>
        <v>3.9186930333537036</v>
      </c>
      <c r="N102" s="110">
        <f t="shared" si="23"/>
        <v>3283502.7383246357</v>
      </c>
      <c r="O102" s="56"/>
      <c r="P102" s="110">
        <f t="shared" si="17"/>
        <v>3845498.0909158606</v>
      </c>
      <c r="Q102" s="56"/>
    </row>
    <row r="103" spans="2:17" x14ac:dyDescent="0.2">
      <c r="B103" s="57" t="s">
        <v>73</v>
      </c>
      <c r="C103" s="56"/>
      <c r="D103" s="121">
        <f t="shared" si="18"/>
        <v>841111.55710478942</v>
      </c>
      <c r="E103" s="122">
        <f t="shared" si="14"/>
        <v>6.672209344662015</v>
      </c>
      <c r="F103" s="110">
        <f t="shared" si="19"/>
        <v>5612072.3912177943</v>
      </c>
      <c r="G103" s="56"/>
      <c r="H103" s="121">
        <f t="shared" si="20"/>
        <v>560191.78805335914</v>
      </c>
      <c r="I103" s="122">
        <f t="shared" si="15"/>
        <v>0.97440982386819541</v>
      </c>
      <c r="J103" s="110">
        <f t="shared" si="21"/>
        <v>545856.38152948313</v>
      </c>
      <c r="K103" s="56"/>
      <c r="L103" s="121">
        <f t="shared" si="22"/>
        <v>863520.22638772847</v>
      </c>
      <c r="M103" s="122">
        <f t="shared" si="16"/>
        <v>3.9218192678918546</v>
      </c>
      <c r="N103" s="110">
        <f t="shared" si="23"/>
        <v>3386570.26206173</v>
      </c>
      <c r="O103" s="56"/>
      <c r="P103" s="110">
        <f t="shared" si="17"/>
        <v>3932426.643591213</v>
      </c>
      <c r="Q103" s="56"/>
    </row>
    <row r="104" spans="2:17" x14ac:dyDescent="0.2">
      <c r="B104" s="57" t="s">
        <v>74</v>
      </c>
      <c r="C104" s="56"/>
      <c r="D104" s="121">
        <f t="shared" si="18"/>
        <v>718644.37556689256</v>
      </c>
      <c r="E104" s="122">
        <f t="shared" si="14"/>
        <v>6.6840625248754888</v>
      </c>
      <c r="F104" s="110">
        <f t="shared" si="19"/>
        <v>4803463.9394392129</v>
      </c>
      <c r="G104" s="56"/>
      <c r="H104" s="121">
        <f t="shared" si="20"/>
        <v>468827.39549919771</v>
      </c>
      <c r="I104" s="122">
        <f t="shared" si="15"/>
        <v>0.96958080613157915</v>
      </c>
      <c r="J104" s="110">
        <f t="shared" si="21"/>
        <v>454566.04406468081</v>
      </c>
      <c r="K104" s="56"/>
      <c r="L104" s="121">
        <f t="shared" si="22"/>
        <v>721341.38848629885</v>
      </c>
      <c r="M104" s="122">
        <f t="shared" si="16"/>
        <v>3.9214715743755861</v>
      </c>
      <c r="N104" s="110">
        <f t="shared" si="23"/>
        <v>2828719.7503696377</v>
      </c>
      <c r="O104" s="56"/>
      <c r="P104" s="110">
        <f t="shared" si="17"/>
        <v>3283285.7944343183</v>
      </c>
      <c r="Q104" s="56"/>
    </row>
    <row r="105" spans="2:17" x14ac:dyDescent="0.2">
      <c r="B105" s="57" t="s">
        <v>75</v>
      </c>
      <c r="C105" s="56"/>
      <c r="D105" s="121">
        <f t="shared" si="18"/>
        <v>595395.91571552865</v>
      </c>
      <c r="E105" s="122">
        <f t="shared" si="14"/>
        <v>6.6761741774626069</v>
      </c>
      <c r="F105" s="110">
        <f t="shared" si="19"/>
        <v>3974966.8378667152</v>
      </c>
      <c r="G105" s="56"/>
      <c r="H105" s="121">
        <f t="shared" si="20"/>
        <v>446919.7737009658</v>
      </c>
      <c r="I105" s="122">
        <f t="shared" si="15"/>
        <v>0.98725618788339575</v>
      </c>
      <c r="J105" s="110">
        <f t="shared" si="21"/>
        <v>441224.31207372539</v>
      </c>
      <c r="K105" s="56"/>
      <c r="L105" s="121">
        <f t="shared" si="22"/>
        <v>614877.88392998534</v>
      </c>
      <c r="M105" s="122">
        <f t="shared" si="16"/>
        <v>3.9211962410927534</v>
      </c>
      <c r="N105" s="110">
        <f t="shared" si="23"/>
        <v>2411056.847197325</v>
      </c>
      <c r="O105" s="56"/>
      <c r="P105" s="110">
        <f t="shared" si="17"/>
        <v>2852281.1592710502</v>
      </c>
      <c r="Q105" s="56"/>
    </row>
    <row r="106" spans="2:17" x14ac:dyDescent="0.2">
      <c r="B106" s="57" t="s">
        <v>76</v>
      </c>
      <c r="C106" s="56"/>
      <c r="D106" s="121">
        <f t="shared" si="18"/>
        <v>604154.49482759624</v>
      </c>
      <c r="E106" s="122">
        <f t="shared" si="14"/>
        <v>6.6411380332160697</v>
      </c>
      <c r="F106" s="110">
        <f t="shared" si="19"/>
        <v>4012273.3935379907</v>
      </c>
      <c r="G106" s="56"/>
      <c r="H106" s="121">
        <f t="shared" si="20"/>
        <v>408939.86193548824</v>
      </c>
      <c r="I106" s="122">
        <f t="shared" si="15"/>
        <v>0.95357371422938741</v>
      </c>
      <c r="J106" s="110">
        <f t="shared" si="21"/>
        <v>389954.30304227641</v>
      </c>
      <c r="K106" s="56"/>
      <c r="L106" s="121">
        <f t="shared" si="22"/>
        <v>587561.15701199882</v>
      </c>
      <c r="M106" s="122">
        <f t="shared" si="16"/>
        <v>3.9277767896005353</v>
      </c>
      <c r="N106" s="110">
        <f t="shared" si="23"/>
        <v>2307809.0749825649</v>
      </c>
      <c r="O106" s="56"/>
      <c r="P106" s="110">
        <f t="shared" si="17"/>
        <v>2697763.3780248412</v>
      </c>
      <c r="Q106" s="56"/>
    </row>
    <row r="107" spans="2:17" x14ac:dyDescent="0.2">
      <c r="B107" s="57" t="s">
        <v>77</v>
      </c>
      <c r="C107" s="56"/>
      <c r="D107" s="121">
        <f t="shared" si="18"/>
        <v>641815.72134053474</v>
      </c>
      <c r="E107" s="122">
        <f t="shared" si="14"/>
        <v>6.6574097859337789</v>
      </c>
      <c r="F107" s="110">
        <f t="shared" si="19"/>
        <v>4272830.2640186232</v>
      </c>
      <c r="G107" s="56"/>
      <c r="H107" s="121">
        <f t="shared" si="20"/>
        <v>471795.80161489593</v>
      </c>
      <c r="I107" s="122">
        <f t="shared" si="15"/>
        <v>0.96491393510666079</v>
      </c>
      <c r="J107" s="110">
        <f t="shared" si="21"/>
        <v>455242.34350303072</v>
      </c>
      <c r="K107" s="56"/>
      <c r="L107" s="121">
        <f t="shared" si="22"/>
        <v>647444.2999766916</v>
      </c>
      <c r="M107" s="122">
        <f t="shared" si="16"/>
        <v>3.9247495587120391</v>
      </c>
      <c r="N107" s="110">
        <f t="shared" si="23"/>
        <v>2541056.7306241454</v>
      </c>
      <c r="O107" s="56"/>
      <c r="P107" s="110">
        <f t="shared" si="17"/>
        <v>2996299.0741271758</v>
      </c>
      <c r="Q107" s="56"/>
    </row>
    <row r="108" spans="2:17" x14ac:dyDescent="0.2">
      <c r="B108" s="56"/>
      <c r="C108" s="56"/>
      <c r="D108" s="56"/>
      <c r="E108" s="56"/>
      <c r="F108" s="56"/>
      <c r="G108" s="56"/>
      <c r="H108" s="56"/>
      <c r="I108" s="56"/>
      <c r="J108" s="56"/>
      <c r="K108" s="56"/>
      <c r="L108" s="56"/>
      <c r="M108" s="56"/>
      <c r="N108" s="56"/>
      <c r="O108" s="56"/>
      <c r="P108" s="110"/>
      <c r="Q108" s="56"/>
    </row>
    <row r="109" spans="2:17" ht="13.5" thickBot="1" x14ac:dyDescent="0.25">
      <c r="B109" s="104" t="s">
        <v>5</v>
      </c>
      <c r="C109" s="56"/>
      <c r="D109" s="111">
        <f>SUM(D96:D107)</f>
        <v>8133559.2717285734</v>
      </c>
      <c r="E109" s="112">
        <f>IF(D109&lt;&gt;0,F109/D109,0)</f>
        <v>6.6665722391953386</v>
      </c>
      <c r="F109" s="113">
        <f>SUM(F96:F107)</f>
        <v>54222960.446755566</v>
      </c>
      <c r="G109" s="56"/>
      <c r="H109" s="111">
        <f>SUM(H96:H107)</f>
        <v>5640838.2495789453</v>
      </c>
      <c r="I109" s="112">
        <f>IF(H109&lt;&gt;0,J109/H109,0)</f>
        <v>0.96197953402939884</v>
      </c>
      <c r="J109" s="113">
        <f>SUM(J96:J107)</f>
        <v>5426370.9508651635</v>
      </c>
      <c r="K109" s="56"/>
      <c r="L109" s="111">
        <f>SUM(L96:L107)</f>
        <v>8319835.9994490296</v>
      </c>
      <c r="M109" s="112">
        <f>IF(L109&lt;&gt;0,N109/L109,0)</f>
        <v>3.9227353727951084</v>
      </c>
      <c r="N109" s="113">
        <f>SUM(N96:N107)</f>
        <v>32636514.970892854</v>
      </c>
      <c r="O109" s="56"/>
      <c r="P109" s="113">
        <f>SUM(P96:P107)</f>
        <v>38062885.921758018</v>
      </c>
      <c r="Q109" s="56"/>
    </row>
    <row r="111" spans="2:17" x14ac:dyDescent="0.2">
      <c r="N111" s="124" t="s">
        <v>82</v>
      </c>
      <c r="P111" s="125" t="e">
        <f>#REF!</f>
        <v>#REF!</v>
      </c>
    </row>
    <row r="113" spans="14:16" ht="13.5" thickBot="1" x14ac:dyDescent="0.25">
      <c r="N113" s="126" t="s">
        <v>83</v>
      </c>
      <c r="P113" s="113" t="e">
        <f>P109+P111</f>
        <v>#REF!</v>
      </c>
    </row>
  </sheetData>
  <mergeCells count="22">
    <mergeCell ref="B13:P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59113-E2D8-4CBF-B3CB-4EFBB372C9D6}">
  <dimension ref="A3:M49"/>
  <sheetViews>
    <sheetView topLeftCell="B1" workbookViewId="0">
      <selection activeCell="I36" sqref="I36"/>
    </sheetView>
  </sheetViews>
  <sheetFormatPr defaultColWidth="9.28515625" defaultRowHeight="12.75" x14ac:dyDescent="0.2"/>
  <cols>
    <col min="1" max="1" width="56.7109375" style="31" customWidth="1"/>
    <col min="2" max="2" width="79.7109375" style="31" customWidth="1"/>
    <col min="3" max="3" width="9.28515625" style="129"/>
    <col min="4" max="4" width="16.28515625" style="129" customWidth="1"/>
    <col min="5" max="5" width="17.42578125" style="129" customWidth="1"/>
    <col min="6" max="6" width="16.28515625" style="129" customWidth="1"/>
    <col min="7" max="7" width="14.5703125" style="129" customWidth="1"/>
    <col min="8" max="8" width="11.5703125" style="129" customWidth="1"/>
    <col min="9" max="9" width="14.28515625" style="129" customWidth="1"/>
    <col min="10" max="10" width="14.42578125" style="129" customWidth="1"/>
    <col min="11" max="11" width="9.28515625" style="31"/>
    <col min="12" max="12" width="14.28515625" style="31" customWidth="1"/>
    <col min="13" max="13" width="12.140625" style="31" customWidth="1"/>
    <col min="14" max="16384" width="9.28515625" style="31"/>
  </cols>
  <sheetData>
    <row r="3" spans="1:13" x14ac:dyDescent="0.2">
      <c r="D3" s="130"/>
      <c r="E3" s="131"/>
      <c r="F3" s="131"/>
      <c r="G3" s="131"/>
      <c r="H3" s="132"/>
      <c r="I3" s="131"/>
      <c r="J3" s="130"/>
    </row>
    <row r="4" spans="1:13" x14ac:dyDescent="0.2">
      <c r="D4" s="130"/>
      <c r="E4" s="131"/>
      <c r="F4" s="131"/>
      <c r="G4" s="131"/>
      <c r="H4" s="132"/>
      <c r="I4" s="131"/>
      <c r="J4" s="130"/>
    </row>
    <row r="5" spans="1:13" x14ac:dyDescent="0.2">
      <c r="D5" s="130"/>
      <c r="E5" s="131"/>
      <c r="F5" s="131"/>
      <c r="G5" s="131"/>
      <c r="H5" s="132"/>
      <c r="I5" s="131"/>
      <c r="J5" s="130"/>
    </row>
    <row r="6" spans="1:13" x14ac:dyDescent="0.2">
      <c r="D6" s="130"/>
      <c r="E6" s="131"/>
      <c r="F6" s="131"/>
      <c r="G6" s="131"/>
      <c r="H6" s="132"/>
      <c r="I6" s="131"/>
      <c r="J6" s="130"/>
    </row>
    <row r="7" spans="1:13" x14ac:dyDescent="0.2">
      <c r="D7" s="130"/>
      <c r="E7" s="131"/>
      <c r="F7" s="131"/>
      <c r="G7" s="131"/>
      <c r="H7" s="132"/>
      <c r="I7" s="131"/>
      <c r="J7" s="130"/>
    </row>
    <row r="8" spans="1:13" x14ac:dyDescent="0.2">
      <c r="D8" s="130"/>
      <c r="E8" s="131"/>
      <c r="F8" s="131"/>
      <c r="G8" s="131"/>
      <c r="H8" s="132"/>
      <c r="I8" s="131"/>
      <c r="J8" s="130"/>
    </row>
    <row r="9" spans="1:13" x14ac:dyDescent="0.2">
      <c r="D9" s="130"/>
      <c r="E9" s="131"/>
      <c r="F9" s="131"/>
      <c r="G9" s="131"/>
      <c r="H9" s="132"/>
      <c r="I9" s="131"/>
      <c r="J9" s="130"/>
    </row>
    <row r="10" spans="1:13" x14ac:dyDescent="0.2">
      <c r="D10" s="130"/>
      <c r="E10" s="131"/>
      <c r="F10" s="131"/>
      <c r="G10" s="131"/>
      <c r="H10" s="132"/>
      <c r="I10" s="131"/>
      <c r="J10" s="130"/>
    </row>
    <row r="11" spans="1:13" x14ac:dyDescent="0.2">
      <c r="D11" s="130"/>
      <c r="E11" s="131"/>
      <c r="F11" s="131"/>
      <c r="G11" s="131"/>
      <c r="H11" s="132"/>
      <c r="I11" s="131"/>
      <c r="J11" s="130"/>
    </row>
    <row r="12" spans="1:13" x14ac:dyDescent="0.2">
      <c r="D12" s="130"/>
      <c r="E12" s="131"/>
      <c r="F12" s="131"/>
      <c r="G12" s="131"/>
      <c r="H12" s="132"/>
      <c r="I12" s="131"/>
      <c r="J12" s="130"/>
    </row>
    <row r="13" spans="1:13" ht="15.75" x14ac:dyDescent="0.25">
      <c r="A13" s="133" t="s">
        <v>85</v>
      </c>
      <c r="D13" s="130"/>
      <c r="E13" s="131"/>
      <c r="F13" s="131"/>
      <c r="G13" s="131"/>
      <c r="H13" s="132"/>
      <c r="I13" s="131"/>
      <c r="J13" s="130"/>
    </row>
    <row r="14" spans="1:13" x14ac:dyDescent="0.2">
      <c r="D14" s="130"/>
      <c r="E14" s="131"/>
      <c r="F14" s="131"/>
      <c r="G14" s="131"/>
      <c r="H14" s="132"/>
      <c r="I14" s="131"/>
      <c r="J14" s="130"/>
    </row>
    <row r="15" spans="1:13" ht="47.25" x14ac:dyDescent="0.2">
      <c r="A15" s="134" t="s">
        <v>20</v>
      </c>
      <c r="B15" s="134" t="s">
        <v>21</v>
      </c>
      <c r="C15" s="135" t="s">
        <v>22</v>
      </c>
      <c r="D15" s="136" t="s">
        <v>86</v>
      </c>
      <c r="E15" s="137" t="s">
        <v>27</v>
      </c>
      <c r="F15" s="138" t="s">
        <v>87</v>
      </c>
      <c r="G15" s="139" t="s">
        <v>88</v>
      </c>
      <c r="H15" s="140" t="s">
        <v>89</v>
      </c>
      <c r="I15" s="138" t="s">
        <v>90</v>
      </c>
      <c r="J15" s="141" t="s">
        <v>91</v>
      </c>
    </row>
    <row r="16" spans="1:13" x14ac:dyDescent="0.2">
      <c r="G16" s="142"/>
      <c r="M16" s="148"/>
    </row>
    <row r="17" spans="1:13" x14ac:dyDescent="0.2">
      <c r="A17" s="31" t="s">
        <v>28</v>
      </c>
      <c r="B17" s="31" t="s">
        <v>29</v>
      </c>
      <c r="C17" s="129" t="s">
        <v>30</v>
      </c>
      <c r="D17" s="130">
        <f>'8. RTSR Rates to Forecast 2027'!J17</f>
        <v>1.23E-2</v>
      </c>
      <c r="E17" s="142">
        <f>'3. RRR Data 2028'!H17</f>
        <v>1677446726.0798762</v>
      </c>
      <c r="F17" s="142">
        <f>'3. RRR Data 2028'!F17</f>
        <v>0</v>
      </c>
      <c r="G17" s="142">
        <f>IF(D17*E17=0,ROUND(D17*F17,2),ROUND(D17*E17,2))</f>
        <v>20632594.73</v>
      </c>
      <c r="H17" s="143">
        <f t="shared" ref="H17:H28" si="0">G17/$G$28</f>
        <v>0.40233745971343982</v>
      </c>
      <c r="I17" s="142">
        <f>H17*$I$28</f>
        <v>21815928.164289959</v>
      </c>
      <c r="J17" s="130">
        <f>IF(I17*E17=0,ROUND(I17/F17,4),ROUND(I17/E17,4))</f>
        <v>1.2999999999999999E-2</v>
      </c>
      <c r="K17" s="151"/>
      <c r="L17" s="148"/>
      <c r="M17" s="148"/>
    </row>
    <row r="18" spans="1:13" x14ac:dyDescent="0.2">
      <c r="A18" s="31" t="s">
        <v>32</v>
      </c>
      <c r="B18" s="31" t="s">
        <v>29</v>
      </c>
      <c r="C18" s="129" t="s">
        <v>30</v>
      </c>
      <c r="D18" s="130">
        <f>'8. RTSR Rates to Forecast 2027'!J18</f>
        <v>1.24E-2</v>
      </c>
      <c r="E18" s="142">
        <f>'3. RRR Data 2028'!H19</f>
        <v>14618491.926179975</v>
      </c>
      <c r="F18" s="142">
        <f>'3. RRR Data 2028'!F19</f>
        <v>0</v>
      </c>
      <c r="G18" s="142">
        <f t="shared" ref="G18:G27" si="1">IF(D18*E18=0,ROUND(D18*F18,2),ROUND(D18*E18,2))</f>
        <v>181269.3</v>
      </c>
      <c r="H18" s="143">
        <f t="shared" si="0"/>
        <v>3.5347677129522834E-3</v>
      </c>
      <c r="I18" s="142">
        <f t="shared" ref="I18:I27" si="2">H18*$I$28</f>
        <v>191665.56988788029</v>
      </c>
      <c r="J18" s="130">
        <f t="shared" ref="J18:J27" si="3">IF(I18*E18=0,ROUND(I18/F18,4),ROUND(I18/E18,4))</f>
        <v>1.3100000000000001E-2</v>
      </c>
      <c r="K18" s="151"/>
      <c r="L18" s="148"/>
      <c r="M18" s="148"/>
    </row>
    <row r="19" spans="1:13" x14ac:dyDescent="0.2">
      <c r="A19" s="31" t="s">
        <v>33</v>
      </c>
      <c r="B19" s="31" t="s">
        <v>29</v>
      </c>
      <c r="C19" s="129" t="s">
        <v>30</v>
      </c>
      <c r="D19" s="130">
        <f>'8. RTSR Rates to Forecast 2027'!J19</f>
        <v>1.11E-2</v>
      </c>
      <c r="E19" s="142">
        <f>'3. RRR Data 2028'!H21</f>
        <v>391428275.10018033</v>
      </c>
      <c r="F19" s="142">
        <f>'3. RRR Data 2028'!F21</f>
        <v>0</v>
      </c>
      <c r="G19" s="142">
        <f t="shared" si="1"/>
        <v>4344853.8499999996</v>
      </c>
      <c r="H19" s="143">
        <f t="shared" si="0"/>
        <v>8.4725042279505808E-2</v>
      </c>
      <c r="I19" s="142">
        <f t="shared" si="2"/>
        <v>4594042.6163713364</v>
      </c>
      <c r="J19" s="130">
        <f t="shared" si="3"/>
        <v>1.17E-2</v>
      </c>
      <c r="K19" s="151"/>
      <c r="L19" s="148"/>
      <c r="M19" s="148"/>
    </row>
    <row r="20" spans="1:13" x14ac:dyDescent="0.2">
      <c r="A20" s="31" t="s">
        <v>34</v>
      </c>
      <c r="B20" s="31" t="s">
        <v>29</v>
      </c>
      <c r="C20" s="129" t="s">
        <v>35</v>
      </c>
      <c r="D20" s="130">
        <f>'8. RTSR Rates to Forecast 2027'!J20</f>
        <v>5.1581999999999999</v>
      </c>
      <c r="E20" s="142"/>
      <c r="F20" s="142">
        <f>'3. RRR Data 2028'!F23</f>
        <v>3335041.9128304431</v>
      </c>
      <c r="G20" s="142">
        <f t="shared" si="1"/>
        <v>17202813.190000001</v>
      </c>
      <c r="H20" s="143">
        <f t="shared" si="0"/>
        <v>0.33545641008136334</v>
      </c>
      <c r="I20" s="142">
        <f t="shared" si="2"/>
        <v>18189439.655452378</v>
      </c>
      <c r="J20" s="130">
        <f t="shared" si="3"/>
        <v>5.4539999999999997</v>
      </c>
      <c r="K20" s="151"/>
      <c r="L20" s="148"/>
      <c r="M20" s="148"/>
    </row>
    <row r="21" spans="1:13" x14ac:dyDescent="0.2">
      <c r="A21" s="31" t="s">
        <v>34</v>
      </c>
      <c r="B21" s="31" t="s">
        <v>36</v>
      </c>
      <c r="C21" s="129" t="s">
        <v>35</v>
      </c>
      <c r="D21" s="130">
        <f>'8. RTSR Rates to Forecast 2027'!J21</f>
        <v>0.87980000000000003</v>
      </c>
      <c r="E21" s="142"/>
      <c r="F21" s="142">
        <f>'3. RRR Data 2028'!F25</f>
        <v>25158.053599154682</v>
      </c>
      <c r="G21" s="142">
        <f t="shared" si="1"/>
        <v>22134.06</v>
      </c>
      <c r="H21" s="143">
        <f t="shared" si="0"/>
        <v>4.3161616801382595E-4</v>
      </c>
      <c r="I21" s="142">
        <f t="shared" si="2"/>
        <v>23403.506406393888</v>
      </c>
      <c r="J21" s="130">
        <f t="shared" si="3"/>
        <v>0.93030000000000002</v>
      </c>
      <c r="K21" s="151"/>
      <c r="L21" s="148"/>
      <c r="M21" s="148"/>
    </row>
    <row r="22" spans="1:13" x14ac:dyDescent="0.2">
      <c r="A22" s="31" t="s">
        <v>38</v>
      </c>
      <c r="B22" s="31" t="s">
        <v>29</v>
      </c>
      <c r="C22" s="129" t="s">
        <v>35</v>
      </c>
      <c r="D22" s="130">
        <f>'8. RTSR Rates to Forecast 2027'!J22</f>
        <v>5.4617000000000004</v>
      </c>
      <c r="E22" s="142"/>
      <c r="F22" s="142">
        <f>'3. RRR Data 2028'!F27</f>
        <v>663860.07872149907</v>
      </c>
      <c r="G22" s="142">
        <f t="shared" si="1"/>
        <v>3625804.59</v>
      </c>
      <c r="H22" s="143">
        <f t="shared" si="0"/>
        <v>7.0703516801831262E-2</v>
      </c>
      <c r="I22" s="142">
        <f t="shared" si="2"/>
        <v>3833753.9949922143</v>
      </c>
      <c r="J22" s="130">
        <f t="shared" si="3"/>
        <v>5.7748999999999997</v>
      </c>
      <c r="K22" s="151"/>
      <c r="L22" s="148"/>
      <c r="M22" s="148"/>
    </row>
    <row r="23" spans="1:13" x14ac:dyDescent="0.2">
      <c r="A23" s="31" t="s">
        <v>38</v>
      </c>
      <c r="B23" s="31" t="s">
        <v>36</v>
      </c>
      <c r="C23" s="129" t="s">
        <v>35</v>
      </c>
      <c r="D23" s="130" t="e">
        <f>'8. RTSR Rates to Forecast 2027'!J23</f>
        <v>#DIV/0!</v>
      </c>
      <c r="E23" s="142"/>
      <c r="F23" s="142"/>
      <c r="G23" s="142"/>
      <c r="H23" s="143">
        <f t="shared" si="0"/>
        <v>0</v>
      </c>
      <c r="I23" s="142">
        <f t="shared" si="2"/>
        <v>0</v>
      </c>
      <c r="J23" s="130" t="e">
        <f t="shared" si="3"/>
        <v>#DIV/0!</v>
      </c>
      <c r="K23" s="151"/>
      <c r="L23" s="148"/>
      <c r="M23" s="148"/>
    </row>
    <row r="24" spans="1:13" x14ac:dyDescent="0.2">
      <c r="A24" s="31" t="s">
        <v>41</v>
      </c>
      <c r="B24" s="31" t="s">
        <v>29</v>
      </c>
      <c r="C24" s="129" t="s">
        <v>35</v>
      </c>
      <c r="D24" s="130">
        <f>'8. RTSR Rates to Forecast 2027'!J24</f>
        <v>5.8150000000000004</v>
      </c>
      <c r="E24" s="142"/>
      <c r="F24" s="142">
        <f>'3. RRR Data 2028'!F31</f>
        <v>866937.22022196359</v>
      </c>
      <c r="G24" s="142">
        <f t="shared" si="1"/>
        <v>5041239.9400000004</v>
      </c>
      <c r="H24" s="143">
        <f t="shared" si="0"/>
        <v>9.8304633896404453E-2</v>
      </c>
      <c r="I24" s="142">
        <f t="shared" si="2"/>
        <v>5330368.275497525</v>
      </c>
      <c r="J24" s="130">
        <f t="shared" si="3"/>
        <v>6.1485000000000003</v>
      </c>
      <c r="K24" s="151"/>
      <c r="L24" s="148"/>
      <c r="M24" s="148"/>
    </row>
    <row r="25" spans="1:13" x14ac:dyDescent="0.2">
      <c r="A25" s="31" t="s">
        <v>42</v>
      </c>
      <c r="B25" s="31" t="s">
        <v>29</v>
      </c>
      <c r="C25" s="129" t="s">
        <v>30</v>
      </c>
      <c r="D25" s="130">
        <f>'8. RTSR Rates to Forecast 2027'!J25</f>
        <v>1.12E-2</v>
      </c>
      <c r="E25" s="142">
        <f>'3. RRR Data 2028'!H33</f>
        <v>6601316.1627339339</v>
      </c>
      <c r="F25" s="142">
        <f>'3. RRR Data 2028'!F33</f>
        <v>0</v>
      </c>
      <c r="G25" s="142">
        <f t="shared" si="1"/>
        <v>73934.740000000005</v>
      </c>
      <c r="H25" s="143">
        <f t="shared" si="0"/>
        <v>1.4417341039962186E-3</v>
      </c>
      <c r="I25" s="142">
        <f t="shared" si="2"/>
        <v>78175.091295725535</v>
      </c>
      <c r="J25" s="130">
        <f t="shared" si="3"/>
        <v>1.18E-2</v>
      </c>
      <c r="K25" s="151"/>
      <c r="L25" s="148"/>
      <c r="M25" s="148"/>
    </row>
    <row r="26" spans="1:13" x14ac:dyDescent="0.2">
      <c r="A26" s="31" t="s">
        <v>43</v>
      </c>
      <c r="B26" s="31" t="s">
        <v>29</v>
      </c>
      <c r="C26" s="129" t="s">
        <v>35</v>
      </c>
      <c r="D26" s="130">
        <f>'8. RTSR Rates to Forecast 2027'!J26</f>
        <v>3.3429000000000002</v>
      </c>
      <c r="E26" s="142"/>
      <c r="F26" s="142">
        <f>'3. RRR Data 2028'!F35</f>
        <v>656.84709227034318</v>
      </c>
      <c r="G26" s="142">
        <f t="shared" si="1"/>
        <v>2195.77</v>
      </c>
      <c r="H26" s="143">
        <f t="shared" si="0"/>
        <v>4.2817713209403001E-5</v>
      </c>
      <c r="I26" s="142">
        <f t="shared" si="2"/>
        <v>2321.7031697739822</v>
      </c>
      <c r="J26" s="130">
        <f t="shared" si="3"/>
        <v>3.5346000000000002</v>
      </c>
      <c r="K26" s="151"/>
      <c r="L26" s="148"/>
      <c r="M26" s="148"/>
    </row>
    <row r="27" spans="1:13" x14ac:dyDescent="0.2">
      <c r="A27" s="31" t="s">
        <v>44</v>
      </c>
      <c r="B27" s="31" t="s">
        <v>29</v>
      </c>
      <c r="C27" s="129" t="s">
        <v>35</v>
      </c>
      <c r="D27" s="130">
        <f>'8. RTSR Rates to Forecast 2027'!J27</f>
        <v>3.5059</v>
      </c>
      <c r="E27" s="142"/>
      <c r="F27" s="142">
        <f>'3. RRR Data 2028'!F37</f>
        <v>44203.689722153795</v>
      </c>
      <c r="G27" s="142">
        <f t="shared" si="1"/>
        <v>154973.72</v>
      </c>
      <c r="H27" s="143">
        <f t="shared" si="0"/>
        <v>3.0220015292832685E-3</v>
      </c>
      <c r="I27" s="142">
        <f t="shared" si="2"/>
        <v>163861.86939236149</v>
      </c>
      <c r="J27" s="130">
        <f t="shared" si="3"/>
        <v>3.7069999999999999</v>
      </c>
      <c r="K27" s="151"/>
      <c r="L27" s="148"/>
      <c r="M27" s="148"/>
    </row>
    <row r="28" spans="1:13" x14ac:dyDescent="0.2">
      <c r="D28" s="130"/>
      <c r="E28" s="142"/>
      <c r="F28" s="142"/>
      <c r="G28" s="142">
        <f>SUM(G17:G27)</f>
        <v>51281813.890000015</v>
      </c>
      <c r="H28" s="143">
        <f t="shared" si="0"/>
        <v>1</v>
      </c>
      <c r="I28" s="142">
        <f>'7. Forecast Wholesale 2028'!F33+'7. Forecast Wholesale 2028'!F52</f>
        <v>54222960.446755566</v>
      </c>
      <c r="J28" s="130"/>
    </row>
    <row r="30" spans="1:13" ht="15.75" x14ac:dyDescent="0.25">
      <c r="A30" s="133" t="s">
        <v>92</v>
      </c>
    </row>
    <row r="31" spans="1:13" ht="47.25" x14ac:dyDescent="0.2">
      <c r="A31" s="134" t="s">
        <v>20</v>
      </c>
      <c r="B31" s="134" t="s">
        <v>21</v>
      </c>
      <c r="C31" s="135" t="s">
        <v>22</v>
      </c>
      <c r="D31" s="136" t="s">
        <v>93</v>
      </c>
      <c r="E31" s="137" t="s">
        <v>27</v>
      </c>
      <c r="F31" s="138" t="s">
        <v>87</v>
      </c>
      <c r="G31" s="139" t="s">
        <v>88</v>
      </c>
      <c r="H31" s="140" t="s">
        <v>89</v>
      </c>
      <c r="I31" s="138" t="s">
        <v>90</v>
      </c>
      <c r="J31" s="141" t="s">
        <v>94</v>
      </c>
    </row>
    <row r="33" spans="1:13" x14ac:dyDescent="0.2">
      <c r="A33" s="31" t="s">
        <v>28</v>
      </c>
      <c r="B33" s="31" t="s">
        <v>31</v>
      </c>
      <c r="C33" s="129" t="s">
        <v>30</v>
      </c>
      <c r="D33" s="130">
        <f>'8. RTSR Rates to Forecast 2027'!J43</f>
        <v>8.6999999999999994E-3</v>
      </c>
      <c r="E33" s="142">
        <f>'3. RRR Data 2028'!H18</f>
        <v>1677446726.0798762</v>
      </c>
      <c r="F33" s="142">
        <f>'3. RRR Data 2028'!F18</f>
        <v>0</v>
      </c>
      <c r="G33" s="142">
        <f>IF(D33*E33=0,ROUND(D33*F33,2),ROUND(D33*E33,2))</f>
        <v>14593786.52</v>
      </c>
      <c r="H33" s="143">
        <f>G33/$G$44</f>
        <v>0.40650694913530627</v>
      </c>
      <c r="I33" s="142">
        <f>H33*$I$44</f>
        <v>15472827.631339049</v>
      </c>
      <c r="J33" s="130">
        <f>IF(I33*E33=0,ROUND(I33/F33,4),ROUND(I33/E33,4))</f>
        <v>9.1999999999999998E-3</v>
      </c>
      <c r="K33" s="151"/>
      <c r="L33" s="148"/>
      <c r="M33" s="148"/>
    </row>
    <row r="34" spans="1:13" x14ac:dyDescent="0.2">
      <c r="A34" s="31" t="s">
        <v>32</v>
      </c>
      <c r="B34" s="31" t="s">
        <v>31</v>
      </c>
      <c r="C34" s="129" t="s">
        <v>30</v>
      </c>
      <c r="D34" s="130">
        <f>'8. RTSR Rates to Forecast 2027'!J44</f>
        <v>1.0500000000000001E-2</v>
      </c>
      <c r="E34" s="142">
        <f>'3. RRR Data 2028'!H20</f>
        <v>14618491.926179975</v>
      </c>
      <c r="F34" s="142">
        <f>'3. RRR Data 2028'!F20</f>
        <v>0</v>
      </c>
      <c r="G34" s="142">
        <f t="shared" ref="G34:G43" si="4">IF(D34*E34=0,ROUND(D34*F34,2),ROUND(D34*E34,2))</f>
        <v>153494.17000000001</v>
      </c>
      <c r="H34" s="143">
        <f t="shared" ref="H34:H43" si="5">G34/$G$44</f>
        <v>4.275548821496401E-3</v>
      </c>
      <c r="I34" s="142">
        <f>H34*$I$44</f>
        <v>162739.72704552443</v>
      </c>
      <c r="J34" s="130">
        <f t="shared" ref="J34:J43" si="6">IF(I34*E34=0,ROUND(I34/F34,4),ROUND(I34/E34,4))</f>
        <v>1.11E-2</v>
      </c>
      <c r="K34" s="151"/>
      <c r="L34" s="148"/>
      <c r="M34" s="148"/>
    </row>
    <row r="35" spans="1:13" x14ac:dyDescent="0.2">
      <c r="A35" s="31" t="s">
        <v>33</v>
      </c>
      <c r="B35" s="31" t="s">
        <v>31</v>
      </c>
      <c r="C35" s="129" t="s">
        <v>30</v>
      </c>
      <c r="D35" s="130">
        <f>'8. RTSR Rates to Forecast 2027'!J45</f>
        <v>8.0999999999999996E-3</v>
      </c>
      <c r="E35" s="142">
        <f>'3. RRR Data 2028'!H22</f>
        <v>391428275.10018033</v>
      </c>
      <c r="F35" s="142">
        <f>'3. RRR Data 2028'!F22</f>
        <v>0</v>
      </c>
      <c r="G35" s="142">
        <f t="shared" si="4"/>
        <v>3170569.03</v>
      </c>
      <c r="H35" s="143">
        <f t="shared" si="5"/>
        <v>8.8315554132704102E-2</v>
      </c>
      <c r="I35" s="142">
        <f t="shared" ref="I35:I43" si="7">H35*$I$44</f>
        <v>3361544.8620699607</v>
      </c>
      <c r="J35" s="130">
        <f t="shared" si="6"/>
        <v>8.6E-3</v>
      </c>
      <c r="K35" s="151"/>
      <c r="L35" s="148"/>
      <c r="M35" s="148"/>
    </row>
    <row r="36" spans="1:13" x14ac:dyDescent="0.2">
      <c r="A36" s="31" t="s">
        <v>34</v>
      </c>
      <c r="B36" s="31" t="s">
        <v>31</v>
      </c>
      <c r="C36" s="129" t="s">
        <v>35</v>
      </c>
      <c r="D36" s="130">
        <f>'8. RTSR Rates to Forecast 2027'!J46</f>
        <v>3.5687000000000002</v>
      </c>
      <c r="E36" s="142"/>
      <c r="F36" s="142">
        <f>'3. RRR Data 2028'!F24</f>
        <v>3335041.9128304431</v>
      </c>
      <c r="G36" s="142">
        <f t="shared" si="4"/>
        <v>11901764.07</v>
      </c>
      <c r="H36" s="143">
        <f t="shared" si="5"/>
        <v>0.33152121245527899</v>
      </c>
      <c r="I36" s="142">
        <f t="shared" si="7"/>
        <v>12618654.090328185</v>
      </c>
      <c r="J36" s="130">
        <f t="shared" si="6"/>
        <v>3.7837000000000001</v>
      </c>
      <c r="K36" s="151"/>
      <c r="L36" s="148"/>
      <c r="M36" s="148"/>
    </row>
    <row r="37" spans="1:13" x14ac:dyDescent="0.2">
      <c r="A37" s="31" t="s">
        <v>34</v>
      </c>
      <c r="B37" s="31" t="s">
        <v>37</v>
      </c>
      <c r="C37" s="129" t="s">
        <v>35</v>
      </c>
      <c r="D37" s="130">
        <f>'8. RTSR Rates to Forecast 2027'!J47</f>
        <v>0.60619999999999996</v>
      </c>
      <c r="E37" s="142"/>
      <c r="F37" s="142">
        <f>'3. RRR Data 2028'!F26</f>
        <v>25158.053599154682</v>
      </c>
      <c r="G37" s="142">
        <f t="shared" si="4"/>
        <v>15250.81</v>
      </c>
      <c r="H37" s="143">
        <f t="shared" si="5"/>
        <v>4.248082042618656E-4</v>
      </c>
      <c r="I37" s="142">
        <f t="shared" si="7"/>
        <v>16169.426217446266</v>
      </c>
      <c r="J37" s="130">
        <f t="shared" si="6"/>
        <v>0.64270000000000005</v>
      </c>
      <c r="K37" s="151"/>
      <c r="L37" s="148"/>
      <c r="M37" s="148"/>
    </row>
    <row r="38" spans="1:13" x14ac:dyDescent="0.2">
      <c r="A38" s="31" t="s">
        <v>38</v>
      </c>
      <c r="B38" s="31" t="s">
        <v>39</v>
      </c>
      <c r="C38" s="129" t="s">
        <v>35</v>
      </c>
      <c r="D38" s="130">
        <f>'8. RTSR Rates to Forecast 2027'!J48</f>
        <v>3.8010000000000002</v>
      </c>
      <c r="E38" s="142"/>
      <c r="F38" s="142">
        <f>'3. RRR Data 2028'!F28</f>
        <v>663860.07872149907</v>
      </c>
      <c r="G38" s="142">
        <f t="shared" si="4"/>
        <v>2523332.16</v>
      </c>
      <c r="H38" s="143">
        <f t="shared" si="5"/>
        <v>7.028690303307264E-2</v>
      </c>
      <c r="I38" s="142">
        <f t="shared" si="7"/>
        <v>2675322.3719415111</v>
      </c>
      <c r="J38" s="130">
        <f t="shared" si="6"/>
        <v>4.0298999999999996</v>
      </c>
      <c r="K38" s="151"/>
      <c r="L38" s="148"/>
      <c r="M38" s="148"/>
    </row>
    <row r="39" spans="1:13" x14ac:dyDescent="0.2">
      <c r="A39" s="31" t="s">
        <v>38</v>
      </c>
      <c r="B39" s="31" t="s">
        <v>40</v>
      </c>
      <c r="C39" s="129" t="s">
        <v>35</v>
      </c>
      <c r="D39" s="130" t="e">
        <f>'8. RTSR Rates to Forecast 2027'!J49</f>
        <v>#DIV/0!</v>
      </c>
      <c r="E39" s="142"/>
      <c r="F39" s="142"/>
      <c r="G39" s="142"/>
      <c r="H39" s="143">
        <f t="shared" si="5"/>
        <v>0</v>
      </c>
      <c r="I39" s="142">
        <f t="shared" si="7"/>
        <v>0</v>
      </c>
      <c r="J39" s="130" t="e">
        <f t="shared" si="6"/>
        <v>#DIV/0!</v>
      </c>
      <c r="K39" s="151"/>
      <c r="L39" s="148"/>
      <c r="M39" s="148"/>
    </row>
    <row r="40" spans="1:13" x14ac:dyDescent="0.2">
      <c r="A40" s="31" t="s">
        <v>41</v>
      </c>
      <c r="B40" s="31" t="s">
        <v>39</v>
      </c>
      <c r="C40" s="129" t="s">
        <v>35</v>
      </c>
      <c r="D40" s="130">
        <f>'8. RTSR Rates to Forecast 2027'!J50</f>
        <v>3.8972000000000002</v>
      </c>
      <c r="E40" s="142"/>
      <c r="F40" s="142">
        <f>'3. RRR Data 2028'!F32</f>
        <v>866937.22022196359</v>
      </c>
      <c r="G40" s="142">
        <f t="shared" si="4"/>
        <v>3378627.73</v>
      </c>
      <c r="H40" s="143">
        <f t="shared" si="5"/>
        <v>9.4110986816480127E-2</v>
      </c>
      <c r="I40" s="142">
        <f t="shared" si="7"/>
        <v>3582135.7551797554</v>
      </c>
      <c r="J40" s="130">
        <f t="shared" si="6"/>
        <v>4.1318999999999999</v>
      </c>
      <c r="K40" s="151"/>
      <c r="L40" s="148"/>
      <c r="M40" s="148"/>
    </row>
    <row r="41" spans="1:13" x14ac:dyDescent="0.2">
      <c r="A41" s="31" t="s">
        <v>42</v>
      </c>
      <c r="B41" s="31" t="s">
        <v>31</v>
      </c>
      <c r="C41" s="129" t="s">
        <v>30</v>
      </c>
      <c r="D41" s="130">
        <f>'8. RTSR Rates to Forecast 2027'!J51</f>
        <v>8.2000000000000007E-3</v>
      </c>
      <c r="E41" s="142">
        <f>'3. RRR Data 2028'!H34</f>
        <v>6601316.1627339339</v>
      </c>
      <c r="F41" s="142">
        <f>'3. RRR Data 2028'!F34</f>
        <v>0</v>
      </c>
      <c r="G41" s="142">
        <f t="shared" si="4"/>
        <v>54130.79</v>
      </c>
      <c r="H41" s="143">
        <f t="shared" si="5"/>
        <v>1.5078021229807566E-3</v>
      </c>
      <c r="I41" s="142">
        <f t="shared" si="7"/>
        <v>57391.300199601079</v>
      </c>
      <c r="J41" s="130">
        <f t="shared" si="6"/>
        <v>8.6999999999999994E-3</v>
      </c>
      <c r="K41" s="151"/>
      <c r="L41" s="148"/>
      <c r="M41" s="148"/>
    </row>
    <row r="42" spans="1:13" x14ac:dyDescent="0.2">
      <c r="A42" s="31" t="s">
        <v>43</v>
      </c>
      <c r="B42" s="31" t="s">
        <v>31</v>
      </c>
      <c r="C42" s="129" t="s">
        <v>35</v>
      </c>
      <c r="D42" s="130">
        <f>'8. RTSR Rates to Forecast 2027'!J52</f>
        <v>2.3203</v>
      </c>
      <c r="E42" s="142"/>
      <c r="F42" s="142">
        <f>'3. RRR Data 2028'!F36</f>
        <v>656.84709227034318</v>
      </c>
      <c r="G42" s="142">
        <f t="shared" si="4"/>
        <v>1524.08</v>
      </c>
      <c r="H42" s="143">
        <f t="shared" si="5"/>
        <v>4.2452937775201717E-5</v>
      </c>
      <c r="I42" s="142">
        <f t="shared" si="7"/>
        <v>1615.8813275809944</v>
      </c>
      <c r="J42" s="130">
        <f t="shared" si="6"/>
        <v>2.4601000000000002</v>
      </c>
      <c r="K42" s="151"/>
      <c r="L42" s="148"/>
      <c r="M42" s="148"/>
    </row>
    <row r="43" spans="1:13" x14ac:dyDescent="0.2">
      <c r="A43" s="31" t="s">
        <v>44</v>
      </c>
      <c r="B43" s="31" t="s">
        <v>31</v>
      </c>
      <c r="C43" s="129" t="s">
        <v>35</v>
      </c>
      <c r="D43" s="130">
        <f>'8. RTSR Rates to Forecast 2027'!J53</f>
        <v>2.4428000000000001</v>
      </c>
      <c r="E43" s="142"/>
      <c r="F43" s="142">
        <f>'3. RRR Data 2028'!F38</f>
        <v>44203.689722153795</v>
      </c>
      <c r="G43" s="142">
        <f t="shared" si="4"/>
        <v>107980.77</v>
      </c>
      <c r="H43" s="143">
        <f t="shared" si="5"/>
        <v>3.0077823406437776E-3</v>
      </c>
      <c r="I43" s="142">
        <f t="shared" si="7"/>
        <v>114484.87610940239</v>
      </c>
      <c r="J43" s="130">
        <f t="shared" si="6"/>
        <v>2.5899000000000001</v>
      </c>
      <c r="K43" s="151"/>
      <c r="L43" s="148"/>
      <c r="M43" s="148"/>
    </row>
    <row r="44" spans="1:13" x14ac:dyDescent="0.2">
      <c r="D44" s="130"/>
      <c r="E44" s="142"/>
      <c r="F44" s="142"/>
      <c r="G44" s="142">
        <f>SUM(G33:G43)</f>
        <v>35900460.129999995</v>
      </c>
      <c r="H44" s="143">
        <f>G44/$G$44</f>
        <v>1</v>
      </c>
      <c r="I44" s="142">
        <f>'7. Forecast Wholesale 2028'!P33+'7. Forecast Wholesale 2028'!P52</f>
        <v>38062885.921758011</v>
      </c>
      <c r="J44" s="130"/>
    </row>
    <row r="46" spans="1:13" x14ac:dyDescent="0.2">
      <c r="D46" s="130"/>
      <c r="E46" s="142"/>
      <c r="F46" s="142"/>
      <c r="G46" s="142"/>
      <c r="H46" s="143"/>
      <c r="I46" s="142"/>
      <c r="J46" s="144"/>
    </row>
    <row r="47" spans="1:13" x14ac:dyDescent="0.2">
      <c r="D47" s="130"/>
      <c r="E47" s="142"/>
      <c r="F47" s="142"/>
      <c r="G47" s="142"/>
      <c r="H47" s="143"/>
      <c r="I47" s="142"/>
      <c r="J47" s="144"/>
    </row>
    <row r="48" spans="1:13" x14ac:dyDescent="0.2">
      <c r="D48" s="130"/>
      <c r="E48" s="142"/>
      <c r="F48" s="142"/>
      <c r="G48" s="142"/>
      <c r="H48" s="143"/>
      <c r="I48" s="142"/>
      <c r="J48" s="144"/>
    </row>
    <row r="49" spans="4:10" x14ac:dyDescent="0.2">
      <c r="D49" s="130"/>
      <c r="E49" s="142"/>
      <c r="F49" s="142"/>
      <c r="G49" s="142"/>
      <c r="H49" s="143"/>
      <c r="I49" s="142"/>
      <c r="J49" s="14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2D8C-4FF2-4E00-9646-36DD5875419C}">
  <dimension ref="A13:Q113"/>
  <sheetViews>
    <sheetView topLeftCell="B1" workbookViewId="0">
      <selection activeCell="F15" sqref="F15"/>
    </sheetView>
  </sheetViews>
  <sheetFormatPr defaultColWidth="9.28515625" defaultRowHeight="12.75" x14ac:dyDescent="0.2"/>
  <cols>
    <col min="1" max="1" width="11.7109375" style="31" hidden="1" customWidth="1"/>
    <col min="2" max="2" width="30.28515625" style="31" customWidth="1"/>
    <col min="3" max="3" width="3.7109375" style="31" customWidth="1"/>
    <col min="4" max="4" width="13.7109375" style="31" customWidth="1"/>
    <col min="5" max="5" width="15.28515625" style="31" customWidth="1"/>
    <col min="6" max="6" width="13.7109375" style="31" customWidth="1"/>
    <col min="7" max="7" width="2.7109375" style="31" customWidth="1"/>
    <col min="8" max="8" width="13.7109375" style="31" customWidth="1"/>
    <col min="9" max="9" width="10.28515625" style="31" bestFit="1" customWidth="1"/>
    <col min="10" max="10" width="13.7109375" style="31" customWidth="1"/>
    <col min="11" max="11" width="3.28515625" style="31" customWidth="1"/>
    <col min="12" max="12" width="13.7109375" style="31" customWidth="1"/>
    <col min="13" max="13" width="9.42578125" style="31" bestFit="1" customWidth="1"/>
    <col min="14" max="14" width="13.7109375" style="31" customWidth="1"/>
    <col min="15" max="15" width="3.7109375" style="31" customWidth="1"/>
    <col min="16" max="16" width="18.28515625" style="31" customWidth="1"/>
    <col min="17" max="16384" width="9.28515625" style="31"/>
  </cols>
  <sheetData>
    <row r="13" spans="2:17" ht="18.75" customHeight="1" x14ac:dyDescent="0.25">
      <c r="B13" s="271" t="s">
        <v>84</v>
      </c>
      <c r="C13" s="270"/>
      <c r="D13" s="270"/>
      <c r="E13" s="270"/>
      <c r="F13" s="270"/>
      <c r="G13" s="270"/>
      <c r="H13" s="270"/>
      <c r="I13" s="270"/>
      <c r="J13" s="270"/>
      <c r="K13" s="270"/>
      <c r="L13" s="270"/>
      <c r="M13" s="270"/>
      <c r="N13" s="270"/>
      <c r="O13" s="270"/>
      <c r="P13" s="270"/>
    </row>
    <row r="16" spans="2:17" x14ac:dyDescent="0.2">
      <c r="B16" s="101" t="s">
        <v>61</v>
      </c>
      <c r="C16" s="102"/>
      <c r="D16" s="267" t="s">
        <v>2</v>
      </c>
      <c r="E16" s="267"/>
      <c r="F16" s="267"/>
      <c r="G16" s="102"/>
      <c r="H16" s="267" t="s">
        <v>3</v>
      </c>
      <c r="I16" s="267"/>
      <c r="J16" s="267"/>
      <c r="K16" s="102"/>
      <c r="L16" s="267" t="s">
        <v>4</v>
      </c>
      <c r="M16" s="267"/>
      <c r="N16" s="267"/>
      <c r="O16" s="102"/>
      <c r="P16" s="101" t="s">
        <v>62</v>
      </c>
      <c r="Q16" s="56"/>
    </row>
    <row r="17" spans="2:17" ht="15.75" x14ac:dyDescent="0.25">
      <c r="B17" s="56"/>
      <c r="C17" s="56"/>
      <c r="D17" s="268"/>
      <c r="E17" s="268"/>
      <c r="F17" s="268"/>
      <c r="G17" s="56"/>
      <c r="H17" s="268"/>
      <c r="I17" s="268"/>
      <c r="J17" s="268"/>
      <c r="K17" s="56"/>
      <c r="L17" s="268"/>
      <c r="M17" s="268"/>
      <c r="N17" s="268"/>
      <c r="O17" s="56"/>
      <c r="P17" s="120"/>
      <c r="Q17" s="103"/>
    </row>
    <row r="18" spans="2:17" x14ac:dyDescent="0.2">
      <c r="B18" s="104" t="s">
        <v>63</v>
      </c>
      <c r="C18" s="56"/>
      <c r="D18" s="120" t="s">
        <v>64</v>
      </c>
      <c r="E18" s="120" t="s">
        <v>23</v>
      </c>
      <c r="F18" s="120" t="s">
        <v>65</v>
      </c>
      <c r="G18" s="56"/>
      <c r="H18" s="120" t="s">
        <v>64</v>
      </c>
      <c r="I18" s="120" t="s">
        <v>23</v>
      </c>
      <c r="J18" s="120" t="s">
        <v>65</v>
      </c>
      <c r="K18" s="56"/>
      <c r="L18" s="120" t="s">
        <v>64</v>
      </c>
      <c r="M18" s="120" t="s">
        <v>23</v>
      </c>
      <c r="N18" s="120" t="s">
        <v>65</v>
      </c>
      <c r="O18" s="56"/>
      <c r="P18" s="120" t="s">
        <v>65</v>
      </c>
      <c r="Q18" s="56"/>
    </row>
    <row r="19" spans="2:17" x14ac:dyDescent="0.2">
      <c r="B19" s="56"/>
      <c r="C19" s="56"/>
      <c r="D19" s="56"/>
      <c r="E19" s="56"/>
      <c r="F19" s="56"/>
      <c r="G19" s="56"/>
      <c r="H19" s="56"/>
      <c r="I19" s="56"/>
      <c r="J19" s="56"/>
      <c r="K19" s="56"/>
      <c r="L19" s="56"/>
      <c r="M19" s="56"/>
      <c r="N19" s="56"/>
      <c r="O19" s="56"/>
      <c r="P19" s="56"/>
      <c r="Q19" s="56"/>
    </row>
    <row r="20" spans="2:17" x14ac:dyDescent="0.2">
      <c r="B20" s="57" t="s">
        <v>66</v>
      </c>
      <c r="C20" s="56"/>
      <c r="D20" s="127">
        <v>357816.57759782701</v>
      </c>
      <c r="E20" s="122">
        <f>'4. UTRs &amp; Sub-Transmission'!O22</f>
        <v>7.5801981481431433</v>
      </c>
      <c r="F20" s="128">
        <f>D20*E20</f>
        <v>2712320.5588819655</v>
      </c>
      <c r="G20" s="56"/>
      <c r="H20" s="127">
        <v>185149.86918006511</v>
      </c>
      <c r="I20" s="122">
        <f>'4. UTRs &amp; Sub-Transmission'!O24</f>
        <v>1.2097517011589249</v>
      </c>
      <c r="J20" s="128">
        <f>H20*I20</f>
        <v>223985.36920993618</v>
      </c>
      <c r="K20" s="56"/>
      <c r="L20" s="127">
        <v>381235.26562272036</v>
      </c>
      <c r="M20" s="122">
        <f>'4. UTRs &amp; Sub-Transmission'!O26</f>
        <v>4.0925443300908402</v>
      </c>
      <c r="N20" s="128">
        <f>L20*M20</f>
        <v>1560222.2247549396</v>
      </c>
      <c r="O20" s="56"/>
      <c r="P20" s="110">
        <f t="shared" ref="P20:P31" si="0">J20+N20</f>
        <v>1784207.5939648757</v>
      </c>
      <c r="Q20" s="56"/>
    </row>
    <row r="21" spans="2:17" x14ac:dyDescent="0.2">
      <c r="B21" s="57" t="s">
        <v>67</v>
      </c>
      <c r="C21" s="56"/>
      <c r="D21" s="127">
        <v>351090.05658483115</v>
      </c>
      <c r="E21" s="122">
        <f>E20</f>
        <v>7.5801981481431433</v>
      </c>
      <c r="F21" s="128">
        <f t="shared" ref="F21:F31" si="1">D21*E21</f>
        <v>2661332.1967558083</v>
      </c>
      <c r="G21" s="56"/>
      <c r="H21" s="127">
        <v>194460.03322444088</v>
      </c>
      <c r="I21" s="122">
        <f>I20</f>
        <v>1.2097517011589249</v>
      </c>
      <c r="J21" s="128">
        <f t="shared" ref="J21:J31" si="2">H21*I21</f>
        <v>235248.35600068842</v>
      </c>
      <c r="K21" s="56"/>
      <c r="L21" s="127">
        <v>373020.27850767679</v>
      </c>
      <c r="M21" s="122">
        <f>M20</f>
        <v>4.0925443300908402</v>
      </c>
      <c r="N21" s="128">
        <f t="shared" ref="N21:N31" si="3">L21*M21</f>
        <v>1526602.0258154988</v>
      </c>
      <c r="O21" s="56"/>
      <c r="P21" s="110">
        <f t="shared" si="0"/>
        <v>1761850.3818161872</v>
      </c>
      <c r="Q21" s="56"/>
    </row>
    <row r="22" spans="2:17" x14ac:dyDescent="0.2">
      <c r="B22" s="57" t="s">
        <v>68</v>
      </c>
      <c r="C22" s="56"/>
      <c r="D22" s="127">
        <v>345369.38133214373</v>
      </c>
      <c r="E22" s="122">
        <f>E21</f>
        <v>7.5801981481431433</v>
      </c>
      <c r="F22" s="128">
        <f t="shared" si="1"/>
        <v>2617968.3447992592</v>
      </c>
      <c r="G22" s="56"/>
      <c r="H22" s="127">
        <v>185951.52941117587</v>
      </c>
      <c r="I22" s="122">
        <f t="shared" ref="I22:I31" si="4">I21</f>
        <v>1.2097517011589249</v>
      </c>
      <c r="J22" s="128">
        <f t="shared" si="2"/>
        <v>224955.17903827387</v>
      </c>
      <c r="K22" s="56"/>
      <c r="L22" s="127">
        <v>355208.57152034948</v>
      </c>
      <c r="M22" s="122">
        <f t="shared" ref="M22:M31" si="5">M21</f>
        <v>4.0925443300908402</v>
      </c>
      <c r="N22" s="128">
        <f t="shared" si="3"/>
        <v>1453706.8253752729</v>
      </c>
      <c r="O22" s="56"/>
      <c r="P22" s="110">
        <f t="shared" si="0"/>
        <v>1678662.0044135468</v>
      </c>
      <c r="Q22" s="56"/>
    </row>
    <row r="23" spans="2:17" x14ac:dyDescent="0.2">
      <c r="B23" s="57" t="s">
        <v>69</v>
      </c>
      <c r="C23" s="56"/>
      <c r="D23" s="127">
        <v>336061.53757787246</v>
      </c>
      <c r="E23" s="122">
        <f t="shared" ref="E23:E31" si="6">E22</f>
        <v>7.5801981481431433</v>
      </c>
      <c r="F23" s="128">
        <f t="shared" si="1"/>
        <v>2547413.0448099263</v>
      </c>
      <c r="G23" s="56"/>
      <c r="H23" s="127">
        <v>177708.69881487801</v>
      </c>
      <c r="I23" s="122">
        <f t="shared" si="4"/>
        <v>1.2097517011589249</v>
      </c>
      <c r="J23" s="128">
        <f t="shared" si="2"/>
        <v>214983.4007020377</v>
      </c>
      <c r="K23" s="56"/>
      <c r="L23" s="127">
        <v>338700.8675717609</v>
      </c>
      <c r="M23" s="122">
        <f t="shared" si="5"/>
        <v>4.0925443300908402</v>
      </c>
      <c r="N23" s="128">
        <f t="shared" si="3"/>
        <v>1386148.3151776586</v>
      </c>
      <c r="O23" s="56"/>
      <c r="P23" s="110">
        <f t="shared" si="0"/>
        <v>1601131.7158796962</v>
      </c>
      <c r="Q23" s="56"/>
    </row>
    <row r="24" spans="2:17" x14ac:dyDescent="0.2">
      <c r="B24" s="57" t="s">
        <v>70</v>
      </c>
      <c r="C24" s="56"/>
      <c r="D24" s="127">
        <v>412701.87987513223</v>
      </c>
      <c r="E24" s="122">
        <f t="shared" si="6"/>
        <v>7.5801981481431433</v>
      </c>
      <c r="F24" s="128">
        <f t="shared" si="1"/>
        <v>3128362.0255646715</v>
      </c>
      <c r="G24" s="56"/>
      <c r="H24" s="127">
        <v>236934.10373268291</v>
      </c>
      <c r="I24" s="122">
        <f t="shared" si="4"/>
        <v>1.2097517011589249</v>
      </c>
      <c r="J24" s="128">
        <f t="shared" si="2"/>
        <v>286631.43505317834</v>
      </c>
      <c r="K24" s="56"/>
      <c r="L24" s="127">
        <v>425508.72110701568</v>
      </c>
      <c r="M24" s="122">
        <f t="shared" si="5"/>
        <v>4.0925443300908402</v>
      </c>
      <c r="N24" s="128">
        <f t="shared" si="3"/>
        <v>1741413.3039707216</v>
      </c>
      <c r="O24" s="56"/>
      <c r="P24" s="110">
        <f t="shared" si="0"/>
        <v>2028044.7390238999</v>
      </c>
      <c r="Q24" s="56"/>
    </row>
    <row r="25" spans="2:17" x14ac:dyDescent="0.2">
      <c r="B25" s="57" t="s">
        <v>71</v>
      </c>
      <c r="C25" s="56"/>
      <c r="D25" s="127">
        <v>469760.13383531792</v>
      </c>
      <c r="E25" s="122">
        <f t="shared" si="6"/>
        <v>7.5801981481431433</v>
      </c>
      <c r="F25" s="128">
        <f t="shared" si="1"/>
        <v>3560874.8965699519</v>
      </c>
      <c r="G25" s="56"/>
      <c r="H25" s="127">
        <v>295550.43249805208</v>
      </c>
      <c r="I25" s="122">
        <f t="shared" si="4"/>
        <v>1.2097517011589249</v>
      </c>
      <c r="J25" s="128">
        <f t="shared" si="2"/>
        <v>357542.63849277451</v>
      </c>
      <c r="K25" s="56"/>
      <c r="L25" s="127">
        <v>507995.03432260681</v>
      </c>
      <c r="M25" s="122">
        <f t="shared" si="5"/>
        <v>4.0925443300908402</v>
      </c>
      <c r="N25" s="128">
        <f t="shared" si="3"/>
        <v>2078992.1974312863</v>
      </c>
      <c r="O25" s="56"/>
      <c r="P25" s="110">
        <f t="shared" si="0"/>
        <v>2436534.835924061</v>
      </c>
      <c r="Q25" s="56"/>
    </row>
    <row r="26" spans="2:17" x14ac:dyDescent="0.2">
      <c r="B26" s="57" t="s">
        <v>72</v>
      </c>
      <c r="C26" s="56"/>
      <c r="D26" s="127">
        <v>513929.17626490991</v>
      </c>
      <c r="E26" s="122">
        <f t="shared" si="6"/>
        <v>7.5801981481431433</v>
      </c>
      <c r="F26" s="128">
        <f t="shared" si="1"/>
        <v>3895684.9902000013</v>
      </c>
      <c r="G26" s="56"/>
      <c r="H26" s="127">
        <v>309533.66081292584</v>
      </c>
      <c r="I26" s="122">
        <f t="shared" si="4"/>
        <v>1.2097517011589249</v>
      </c>
      <c r="J26" s="128">
        <f t="shared" si="2"/>
        <v>374458.87273438671</v>
      </c>
      <c r="K26" s="56"/>
      <c r="L26" s="127">
        <v>527048.09651585098</v>
      </c>
      <c r="M26" s="122">
        <f t="shared" si="5"/>
        <v>4.0925443300908402</v>
      </c>
      <c r="N26" s="128">
        <f t="shared" si="3"/>
        <v>2156967.6990811159</v>
      </c>
      <c r="O26" s="56"/>
      <c r="P26" s="110">
        <f t="shared" si="0"/>
        <v>2531426.5718155028</v>
      </c>
      <c r="Q26" s="56"/>
    </row>
    <row r="27" spans="2:17" x14ac:dyDescent="0.2">
      <c r="B27" s="57" t="s">
        <v>73</v>
      </c>
      <c r="C27" s="56"/>
      <c r="D27" s="127">
        <v>499729.00082526385</v>
      </c>
      <c r="E27" s="122">
        <f t="shared" si="6"/>
        <v>7.5801981481431433</v>
      </c>
      <c r="F27" s="128">
        <f t="shared" si="1"/>
        <v>3788044.8466290883</v>
      </c>
      <c r="G27" s="56"/>
      <c r="H27" s="127">
        <v>300156.20835551893</v>
      </c>
      <c r="I27" s="122">
        <f t="shared" si="4"/>
        <v>1.2097517011589249</v>
      </c>
      <c r="J27" s="128">
        <f t="shared" si="2"/>
        <v>363114.48367150174</v>
      </c>
      <c r="K27" s="56"/>
      <c r="L27" s="127">
        <v>518734.4970713653</v>
      </c>
      <c r="M27" s="122">
        <f t="shared" si="5"/>
        <v>4.0925443300908402</v>
      </c>
      <c r="N27" s="128">
        <f t="shared" si="3"/>
        <v>2122943.9248119397</v>
      </c>
      <c r="O27" s="56"/>
      <c r="P27" s="110">
        <f t="shared" si="0"/>
        <v>2486058.4084834415</v>
      </c>
      <c r="Q27" s="56"/>
    </row>
    <row r="28" spans="2:17" x14ac:dyDescent="0.2">
      <c r="B28" s="57" t="s">
        <v>74</v>
      </c>
      <c r="C28" s="56"/>
      <c r="D28" s="127">
        <v>434436.03728414606</v>
      </c>
      <c r="E28" s="122">
        <f t="shared" si="6"/>
        <v>7.5801981481431433</v>
      </c>
      <c r="F28" s="128">
        <f t="shared" si="1"/>
        <v>3293111.2453079293</v>
      </c>
      <c r="G28" s="56"/>
      <c r="H28" s="127">
        <v>244686.19297187534</v>
      </c>
      <c r="I28" s="122">
        <f t="shared" si="4"/>
        <v>1.2097517011589249</v>
      </c>
      <c r="J28" s="128">
        <f t="shared" si="2"/>
        <v>296009.53819782718</v>
      </c>
      <c r="K28" s="56"/>
      <c r="L28" s="127">
        <v>435593.8620463002</v>
      </c>
      <c r="M28" s="122">
        <f t="shared" si="5"/>
        <v>4.0925443300908402</v>
      </c>
      <c r="N28" s="128">
        <f t="shared" si="3"/>
        <v>1782687.1903399576</v>
      </c>
      <c r="O28" s="56"/>
      <c r="P28" s="110">
        <f t="shared" si="0"/>
        <v>2078696.7285377849</v>
      </c>
      <c r="Q28" s="56"/>
    </row>
    <row r="29" spans="2:17" x14ac:dyDescent="0.2">
      <c r="B29" s="57" t="s">
        <v>75</v>
      </c>
      <c r="C29" s="56"/>
      <c r="D29" s="127">
        <v>355811.846947524</v>
      </c>
      <c r="E29" s="122">
        <f t="shared" si="6"/>
        <v>7.5801981481431433</v>
      </c>
      <c r="F29" s="128">
        <f t="shared" si="1"/>
        <v>2697124.3033190127</v>
      </c>
      <c r="G29" s="56"/>
      <c r="H29" s="127">
        <v>255988.3260709793</v>
      </c>
      <c r="I29" s="122">
        <f t="shared" si="4"/>
        <v>1.2097517011589249</v>
      </c>
      <c r="J29" s="128">
        <f t="shared" si="2"/>
        <v>309682.31294119277</v>
      </c>
      <c r="K29" s="56"/>
      <c r="L29" s="127">
        <v>372835.8154443677</v>
      </c>
      <c r="M29" s="122">
        <f t="shared" si="5"/>
        <v>4.0925443300908402</v>
      </c>
      <c r="N29" s="128">
        <f t="shared" si="3"/>
        <v>1525847.1025516419</v>
      </c>
      <c r="O29" s="56"/>
      <c r="P29" s="110">
        <f t="shared" si="0"/>
        <v>1835529.4154928345</v>
      </c>
      <c r="Q29" s="56"/>
    </row>
    <row r="30" spans="2:17" x14ac:dyDescent="0.2">
      <c r="B30" s="57" t="s">
        <v>76</v>
      </c>
      <c r="C30" s="56"/>
      <c r="D30" s="127">
        <v>342487.58102233324</v>
      </c>
      <c r="E30" s="122">
        <f t="shared" si="6"/>
        <v>7.5801981481431433</v>
      </c>
      <c r="F30" s="128">
        <f t="shared" si="1"/>
        <v>2596123.7274275152</v>
      </c>
      <c r="G30" s="56"/>
      <c r="H30" s="127">
        <v>194589.9694702939</v>
      </c>
      <c r="I30" s="122">
        <f t="shared" si="4"/>
        <v>1.2097517011589249</v>
      </c>
      <c r="J30" s="128">
        <f t="shared" si="2"/>
        <v>235405.5465951513</v>
      </c>
      <c r="K30" s="56"/>
      <c r="L30" s="127">
        <v>321290.57077251503</v>
      </c>
      <c r="M30" s="122">
        <f t="shared" si="5"/>
        <v>4.0925443300908402</v>
      </c>
      <c r="N30" s="128">
        <f t="shared" si="3"/>
        <v>1314895.9037267063</v>
      </c>
      <c r="O30" s="56"/>
      <c r="P30" s="110">
        <f t="shared" si="0"/>
        <v>1550301.4503218576</v>
      </c>
      <c r="Q30" s="56"/>
    </row>
    <row r="31" spans="2:17" x14ac:dyDescent="0.2">
      <c r="B31" s="57" t="s">
        <v>77</v>
      </c>
      <c r="C31" s="56"/>
      <c r="D31" s="127">
        <v>372993.59517147479</v>
      </c>
      <c r="E31" s="122">
        <f t="shared" si="6"/>
        <v>7.5801981481431433</v>
      </c>
      <c r="F31" s="128">
        <f t="shared" si="1"/>
        <v>2827365.3593880665</v>
      </c>
      <c r="G31" s="56"/>
      <c r="H31" s="127">
        <v>239898.27434120385</v>
      </c>
      <c r="I31" s="122">
        <f t="shared" si="4"/>
        <v>1.2097517011589249</v>
      </c>
      <c r="J31" s="128">
        <f t="shared" si="2"/>
        <v>290217.34548936185</v>
      </c>
      <c r="K31" s="56"/>
      <c r="L31" s="127">
        <v>371768.48199628969</v>
      </c>
      <c r="M31" s="122">
        <f t="shared" si="5"/>
        <v>4.0925443300908402</v>
      </c>
      <c r="N31" s="128">
        <f t="shared" si="3"/>
        <v>1521478.993100394</v>
      </c>
      <c r="O31" s="56"/>
      <c r="P31" s="110">
        <f t="shared" si="0"/>
        <v>1811696.3385897558</v>
      </c>
      <c r="Q31" s="56"/>
    </row>
    <row r="32" spans="2:17" x14ac:dyDescent="0.2">
      <c r="B32" s="56"/>
      <c r="C32" s="56"/>
      <c r="D32" s="56"/>
      <c r="E32" s="56"/>
      <c r="F32" s="56"/>
      <c r="G32" s="56"/>
      <c r="H32" s="56"/>
      <c r="I32" s="56"/>
      <c r="J32" s="56"/>
      <c r="K32" s="56"/>
      <c r="L32" s="56"/>
      <c r="M32" s="56"/>
      <c r="N32" s="56"/>
      <c r="O32" s="56"/>
      <c r="P32" s="56"/>
      <c r="Q32" s="56"/>
    </row>
    <row r="33" spans="2:17" ht="13.5" thickBot="1" x14ac:dyDescent="0.25">
      <c r="B33" s="104" t="s">
        <v>5</v>
      </c>
      <c r="C33" s="56"/>
      <c r="D33" s="111">
        <f>SUM(D20:D31)</f>
        <v>4792186.8043187773</v>
      </c>
      <c r="E33" s="112">
        <f>IF(D33&lt;&gt;0,F33/D33,0)</f>
        <v>7.5801981481431415</v>
      </c>
      <c r="F33" s="113">
        <f>SUM(F20:F31)</f>
        <v>36325725.539653197</v>
      </c>
      <c r="G33" s="56"/>
      <c r="H33" s="111">
        <f>SUM(H20:H31)</f>
        <v>2820607.2988840914</v>
      </c>
      <c r="I33" s="112">
        <f>IF(H33&lt;&gt;0,J33/H33,0)</f>
        <v>1.2097517011589252</v>
      </c>
      <c r="J33" s="113">
        <f>SUM(J20:J31)</f>
        <v>3412234.4781263103</v>
      </c>
      <c r="K33" s="56"/>
      <c r="L33" s="111">
        <f>SUM(L20:L31)</f>
        <v>4928940.0624988182</v>
      </c>
      <c r="M33" s="112">
        <f>IF(L33&lt;&gt;0,N33/L33,0)</f>
        <v>4.0925443300908411</v>
      </c>
      <c r="N33" s="113">
        <f>SUM(N20:N31)</f>
        <v>20171905.706137132</v>
      </c>
      <c r="O33" s="56"/>
      <c r="P33" s="113">
        <f>SUM(P20:P31)</f>
        <v>23584140.184263438</v>
      </c>
      <c r="Q33" s="56"/>
    </row>
    <row r="34" spans="2:17" x14ac:dyDescent="0.2">
      <c r="B34" s="56"/>
      <c r="C34" s="56"/>
      <c r="D34" s="56"/>
      <c r="E34" s="56"/>
      <c r="F34" s="56"/>
      <c r="G34" s="56"/>
      <c r="H34" s="56"/>
      <c r="I34" s="56"/>
      <c r="J34" s="56"/>
      <c r="K34" s="56"/>
      <c r="L34" s="56"/>
      <c r="M34" s="56"/>
      <c r="N34" s="56"/>
      <c r="O34" s="56"/>
      <c r="P34" s="56"/>
      <c r="Q34" s="56"/>
    </row>
    <row r="35" spans="2:17" x14ac:dyDescent="0.2">
      <c r="B35" s="101" t="s">
        <v>78</v>
      </c>
      <c r="C35" s="102"/>
      <c r="D35" s="267" t="s">
        <v>2</v>
      </c>
      <c r="E35" s="267"/>
      <c r="F35" s="267"/>
      <c r="G35" s="102"/>
      <c r="H35" s="267" t="s">
        <v>3</v>
      </c>
      <c r="I35" s="267"/>
      <c r="J35" s="267"/>
      <c r="K35" s="102"/>
      <c r="L35" s="267" t="s">
        <v>4</v>
      </c>
      <c r="M35" s="267"/>
      <c r="N35" s="267"/>
      <c r="O35" s="102"/>
      <c r="P35" s="101" t="s">
        <v>62</v>
      </c>
      <c r="Q35" s="56"/>
    </row>
    <row r="36" spans="2:17" x14ac:dyDescent="0.2">
      <c r="B36" s="104"/>
      <c r="C36" s="56"/>
      <c r="D36" s="120"/>
      <c r="E36" s="120"/>
      <c r="F36" s="120"/>
      <c r="G36" s="56"/>
      <c r="H36" s="120"/>
      <c r="I36" s="120"/>
      <c r="J36" s="120"/>
      <c r="K36" s="56"/>
      <c r="L36" s="120"/>
      <c r="M36" s="120"/>
      <c r="N36" s="120"/>
      <c r="O36" s="56"/>
      <c r="P36" s="120"/>
      <c r="Q36" s="56"/>
    </row>
    <row r="37" spans="2:17" x14ac:dyDescent="0.2">
      <c r="B37" s="104" t="s">
        <v>63</v>
      </c>
      <c r="C37" s="56"/>
      <c r="D37" s="120" t="s">
        <v>64</v>
      </c>
      <c r="E37" s="120" t="s">
        <v>23</v>
      </c>
      <c r="F37" s="120" t="s">
        <v>65</v>
      </c>
      <c r="G37" s="56"/>
      <c r="H37" s="120" t="s">
        <v>64</v>
      </c>
      <c r="I37" s="120" t="s">
        <v>23</v>
      </c>
      <c r="J37" s="120" t="s">
        <v>65</v>
      </c>
      <c r="K37" s="56"/>
      <c r="L37" s="120" t="s">
        <v>64</v>
      </c>
      <c r="M37" s="120" t="s">
        <v>23</v>
      </c>
      <c r="N37" s="120" t="s">
        <v>65</v>
      </c>
      <c r="O37" s="56"/>
      <c r="P37" s="120" t="s">
        <v>65</v>
      </c>
      <c r="Q37" s="56"/>
    </row>
    <row r="38" spans="2:17" x14ac:dyDescent="0.2">
      <c r="B38" s="56"/>
      <c r="C38" s="56"/>
      <c r="D38" s="56"/>
      <c r="E38" s="56"/>
      <c r="F38" s="56"/>
      <c r="G38" s="56"/>
      <c r="H38" s="56"/>
      <c r="I38" s="56"/>
      <c r="J38" s="56"/>
      <c r="K38" s="56"/>
      <c r="L38" s="56"/>
      <c r="M38" s="56"/>
      <c r="N38" s="56"/>
      <c r="O38" s="56"/>
      <c r="P38" s="56"/>
      <c r="Q38" s="56"/>
    </row>
    <row r="39" spans="2:17" x14ac:dyDescent="0.2">
      <c r="B39" s="57" t="s">
        <v>66</v>
      </c>
      <c r="C39" s="56"/>
      <c r="D39" s="127">
        <v>313238.23599379818</v>
      </c>
      <c r="E39" s="122">
        <f>'4. UTRs &amp; Sub-Transmission'!O35</f>
        <v>6.3402348089963372</v>
      </c>
      <c r="F39" s="128">
        <f>D39*E39</f>
        <v>1986003.9673564886</v>
      </c>
      <c r="G39" s="56"/>
      <c r="H39" s="127">
        <v>284791.29368920723</v>
      </c>
      <c r="I39" s="122">
        <f>'4. UTRs &amp; Sub-Transmission'!O37</f>
        <v>0.8325511207375722</v>
      </c>
      <c r="J39" s="128">
        <f>H39*I39</f>
        <v>237103.31073725256</v>
      </c>
      <c r="K39" s="56"/>
      <c r="L39" s="127">
        <v>330196.19223716826</v>
      </c>
      <c r="M39" s="122">
        <f>'4. UTRs &amp; Sub-Transmission'!O39</f>
        <v>4.2125440074982237</v>
      </c>
      <c r="N39" s="128">
        <f>L39*M39</f>
        <v>1390965.9909074146</v>
      </c>
      <c r="O39" s="56"/>
      <c r="P39" s="110">
        <f t="shared" ref="P39:P50" si="7">J39+N39</f>
        <v>1628069.3016446671</v>
      </c>
      <c r="Q39" s="56"/>
    </row>
    <row r="40" spans="2:17" x14ac:dyDescent="0.2">
      <c r="B40" s="57" t="s">
        <v>67</v>
      </c>
      <c r="C40" s="56"/>
      <c r="D40" s="127">
        <v>313364.78461609856</v>
      </c>
      <c r="E40" s="122">
        <f t="shared" ref="E40:E50" si="8">E39</f>
        <v>6.3402348089963372</v>
      </c>
      <c r="F40" s="128">
        <f t="shared" ref="F40:F50" si="9">D40*E40</f>
        <v>1986806.3153366281</v>
      </c>
      <c r="G40" s="56"/>
      <c r="H40" s="127">
        <v>261158.21085865644</v>
      </c>
      <c r="I40" s="122">
        <f t="shared" ref="I40:I50" si="10">I39</f>
        <v>0.8325511207375722</v>
      </c>
      <c r="J40" s="128">
        <f t="shared" ref="J40:J50" si="11">H40*I40</f>
        <v>217427.56114019363</v>
      </c>
      <c r="K40" s="56"/>
      <c r="L40" s="127">
        <v>315075.33728550025</v>
      </c>
      <c r="M40" s="122">
        <f t="shared" ref="M40:M50" si="12">M39</f>
        <v>4.2125440074982237</v>
      </c>
      <c r="N40" s="128">
        <f t="shared" ref="N40:N50" si="13">L40*M40</f>
        <v>1327268.7239925158</v>
      </c>
      <c r="O40" s="56"/>
      <c r="P40" s="110">
        <f t="shared" si="7"/>
        <v>1544696.2851327094</v>
      </c>
      <c r="Q40" s="56"/>
    </row>
    <row r="41" spans="2:17" x14ac:dyDescent="0.2">
      <c r="B41" s="57" t="s">
        <v>68</v>
      </c>
      <c r="C41" s="56"/>
      <c r="D41" s="127">
        <v>263682.8605141291</v>
      </c>
      <c r="E41" s="122">
        <f t="shared" si="8"/>
        <v>6.3402348089963372</v>
      </c>
      <c r="F41" s="128">
        <f t="shared" si="9"/>
        <v>1671811.2507674072</v>
      </c>
      <c r="G41" s="56"/>
      <c r="H41" s="127">
        <v>224893.53830781637</v>
      </c>
      <c r="I41" s="122">
        <f t="shared" si="10"/>
        <v>0.8325511207375722</v>
      </c>
      <c r="J41" s="128">
        <f t="shared" si="11"/>
        <v>187235.36736481063</v>
      </c>
      <c r="K41" s="56"/>
      <c r="L41" s="127">
        <v>268512.85760584607</v>
      </c>
      <c r="M41" s="122">
        <f t="shared" si="12"/>
        <v>4.2125440074982237</v>
      </c>
      <c r="N41" s="128">
        <f t="shared" si="13"/>
        <v>1131122.2292437307</v>
      </c>
      <c r="O41" s="56"/>
      <c r="P41" s="110">
        <f t="shared" si="7"/>
        <v>1318357.5966085412</v>
      </c>
      <c r="Q41" s="56"/>
    </row>
    <row r="42" spans="2:17" x14ac:dyDescent="0.2">
      <c r="B42" s="57" t="s">
        <v>69</v>
      </c>
      <c r="C42" s="56"/>
      <c r="D42" s="127">
        <v>232037.51431496636</v>
      </c>
      <c r="E42" s="122">
        <f t="shared" si="8"/>
        <v>6.3402348089963372</v>
      </c>
      <c r="F42" s="128">
        <f t="shared" si="9"/>
        <v>1471172.3252527355</v>
      </c>
      <c r="G42" s="56"/>
      <c r="H42" s="127">
        <v>205243.04781846114</v>
      </c>
      <c r="I42" s="122">
        <f t="shared" si="10"/>
        <v>0.8325511207375722</v>
      </c>
      <c r="J42" s="128">
        <f t="shared" si="11"/>
        <v>170875.32948485494</v>
      </c>
      <c r="K42" s="56"/>
      <c r="L42" s="127">
        <v>236805.50165364007</v>
      </c>
      <c r="M42" s="122">
        <f t="shared" si="12"/>
        <v>4.2125440074982237</v>
      </c>
      <c r="N42" s="128">
        <f t="shared" si="13"/>
        <v>997553.59693365218</v>
      </c>
      <c r="O42" s="56"/>
      <c r="P42" s="110">
        <f t="shared" si="7"/>
        <v>1168428.926418507</v>
      </c>
      <c r="Q42" s="56"/>
    </row>
    <row r="43" spans="2:17" x14ac:dyDescent="0.2">
      <c r="B43" s="57" t="s">
        <v>70</v>
      </c>
      <c r="C43" s="56"/>
      <c r="D43" s="127">
        <v>271095.27088347066</v>
      </c>
      <c r="E43" s="122">
        <f t="shared" si="8"/>
        <v>6.3402348089963372</v>
      </c>
      <c r="F43" s="128">
        <f t="shared" si="9"/>
        <v>1718807.673009672</v>
      </c>
      <c r="G43" s="56"/>
      <c r="H43" s="127">
        <v>225249.51721565143</v>
      </c>
      <c r="I43" s="122">
        <f t="shared" si="10"/>
        <v>0.8325511207375722</v>
      </c>
      <c r="J43" s="128">
        <f t="shared" si="11"/>
        <v>187531.73800348767</v>
      </c>
      <c r="K43" s="56"/>
      <c r="L43" s="127">
        <v>273432.22067093849</v>
      </c>
      <c r="M43" s="122">
        <f t="shared" si="12"/>
        <v>4.2125440074982237</v>
      </c>
      <c r="N43" s="128">
        <f t="shared" si="13"/>
        <v>1151845.262644294</v>
      </c>
      <c r="O43" s="56"/>
      <c r="P43" s="110">
        <f t="shared" si="7"/>
        <v>1339377.0006477816</v>
      </c>
      <c r="Q43" s="56"/>
    </row>
    <row r="44" spans="2:17" x14ac:dyDescent="0.2">
      <c r="B44" s="57" t="s">
        <v>71</v>
      </c>
      <c r="C44" s="56"/>
      <c r="D44" s="127">
        <v>350941.68563409784</v>
      </c>
      <c r="E44" s="122">
        <f t="shared" si="8"/>
        <v>6.3402348089963372</v>
      </c>
      <c r="F44" s="128">
        <f t="shared" si="9"/>
        <v>2225052.6911851568</v>
      </c>
      <c r="G44" s="56"/>
      <c r="H44" s="127">
        <v>306001.63400567585</v>
      </c>
      <c r="I44" s="122">
        <f t="shared" si="10"/>
        <v>0.8325511207375722</v>
      </c>
      <c r="J44" s="128">
        <f t="shared" si="11"/>
        <v>254762.0033389538</v>
      </c>
      <c r="K44" s="56"/>
      <c r="L44" s="127">
        <v>354286.88268213213</v>
      </c>
      <c r="M44" s="122">
        <f t="shared" si="12"/>
        <v>4.2125440074982237</v>
      </c>
      <c r="N44" s="128">
        <f t="shared" si="13"/>
        <v>1492449.0845778419</v>
      </c>
      <c r="O44" s="56"/>
      <c r="P44" s="110">
        <f t="shared" si="7"/>
        <v>1747211.0879167956</v>
      </c>
      <c r="Q44" s="56"/>
    </row>
    <row r="45" spans="2:17" x14ac:dyDescent="0.2">
      <c r="B45" s="57" t="s">
        <v>72</v>
      </c>
      <c r="C45" s="56"/>
      <c r="D45" s="127">
        <v>333240.3200426909</v>
      </c>
      <c r="E45" s="122">
        <f t="shared" si="8"/>
        <v>6.3402348089963372</v>
      </c>
      <c r="F45" s="128">
        <f t="shared" si="9"/>
        <v>2112821.8768957485</v>
      </c>
      <c r="G45" s="56"/>
      <c r="H45" s="127">
        <v>283067.13251834258</v>
      </c>
      <c r="I45" s="122">
        <f t="shared" si="10"/>
        <v>0.8325511207375722</v>
      </c>
      <c r="J45" s="128">
        <f t="shared" si="11"/>
        <v>235667.85842211699</v>
      </c>
      <c r="K45" s="56"/>
      <c r="L45" s="127">
        <v>334211.86031380389</v>
      </c>
      <c r="M45" s="122">
        <f t="shared" si="12"/>
        <v>4.2125440074982237</v>
      </c>
      <c r="N45" s="128">
        <f t="shared" si="13"/>
        <v>1407882.1693997479</v>
      </c>
      <c r="O45" s="56"/>
      <c r="P45" s="110">
        <f t="shared" si="7"/>
        <v>1643550.0278218649</v>
      </c>
      <c r="Q45" s="56"/>
    </row>
    <row r="46" spans="2:17" x14ac:dyDescent="0.2">
      <c r="B46" s="57" t="s">
        <v>73</v>
      </c>
      <c r="C46" s="56"/>
      <c r="D46" s="127">
        <v>364824.19015553448</v>
      </c>
      <c r="E46" s="122">
        <f t="shared" si="8"/>
        <v>6.3402348089963372</v>
      </c>
      <c r="F46" s="128">
        <f t="shared" si="9"/>
        <v>2313071.0295880185</v>
      </c>
      <c r="G46" s="56"/>
      <c r="H46" s="127">
        <v>275648.02811204939</v>
      </c>
      <c r="I46" s="122">
        <f t="shared" si="10"/>
        <v>0.8325511207375722</v>
      </c>
      <c r="J46" s="128">
        <f t="shared" si="11"/>
        <v>229491.07473378853</v>
      </c>
      <c r="K46" s="56"/>
      <c r="L46" s="127">
        <v>368851.88893636194</v>
      </c>
      <c r="M46" s="122">
        <f t="shared" si="12"/>
        <v>4.2125440074982237</v>
      </c>
      <c r="N46" s="128">
        <f t="shared" si="13"/>
        <v>1553804.8143932719</v>
      </c>
      <c r="O46" s="56"/>
      <c r="P46" s="110">
        <f t="shared" si="7"/>
        <v>1783295.8891270605</v>
      </c>
      <c r="Q46" s="56"/>
    </row>
    <row r="47" spans="2:17" x14ac:dyDescent="0.2">
      <c r="B47" s="57" t="s">
        <v>74</v>
      </c>
      <c r="C47" s="56"/>
      <c r="D47" s="127">
        <v>304236.83295363042</v>
      </c>
      <c r="E47" s="122">
        <f t="shared" si="8"/>
        <v>6.3402348089963372</v>
      </c>
      <c r="F47" s="128">
        <f t="shared" si="9"/>
        <v>1928932.9584714116</v>
      </c>
      <c r="G47" s="56"/>
      <c r="H47" s="127">
        <v>237207.34109539088</v>
      </c>
      <c r="I47" s="122">
        <f t="shared" si="10"/>
        <v>0.8325511207375722</v>
      </c>
      <c r="J47" s="128">
        <f t="shared" si="11"/>
        <v>197487.23767614726</v>
      </c>
      <c r="K47" s="56"/>
      <c r="L47" s="127">
        <v>305851.18639529886</v>
      </c>
      <c r="M47" s="122">
        <f t="shared" si="12"/>
        <v>4.2125440074982237</v>
      </c>
      <c r="N47" s="128">
        <f t="shared" si="13"/>
        <v>1288411.5824357385</v>
      </c>
      <c r="O47" s="56"/>
      <c r="P47" s="110">
        <f t="shared" si="7"/>
        <v>1485898.8201118857</v>
      </c>
      <c r="Q47" s="56"/>
    </row>
    <row r="48" spans="2:17" x14ac:dyDescent="0.2">
      <c r="B48" s="57" t="s">
        <v>75</v>
      </c>
      <c r="C48" s="56"/>
      <c r="D48" s="127">
        <v>256177.65014205739</v>
      </c>
      <c r="E48" s="122">
        <f t="shared" si="8"/>
        <v>6.3402348089963372</v>
      </c>
      <c r="F48" s="128">
        <f t="shared" si="9"/>
        <v>1624226.4547175576</v>
      </c>
      <c r="G48" s="56"/>
      <c r="H48" s="127">
        <v>203387.02456095666</v>
      </c>
      <c r="I48" s="122">
        <f t="shared" si="10"/>
        <v>0.8325511207375722</v>
      </c>
      <c r="J48" s="128">
        <f t="shared" si="11"/>
        <v>169330.09524170461</v>
      </c>
      <c r="K48" s="56"/>
      <c r="L48" s="127">
        <v>259178.60895018541</v>
      </c>
      <c r="M48" s="122">
        <f t="shared" si="12"/>
        <v>4.2125440074982237</v>
      </c>
      <c r="N48" s="128">
        <f t="shared" si="13"/>
        <v>1091801.296004829</v>
      </c>
      <c r="O48" s="56"/>
      <c r="P48" s="110">
        <f t="shared" si="7"/>
        <v>1261131.3912465335</v>
      </c>
      <c r="Q48" s="56"/>
    </row>
    <row r="49" spans="2:17" x14ac:dyDescent="0.2">
      <c r="B49" s="57" t="s">
        <v>76</v>
      </c>
      <c r="C49" s="56"/>
      <c r="D49" s="127">
        <v>278504.59526697331</v>
      </c>
      <c r="E49" s="122">
        <f t="shared" si="8"/>
        <v>6.3402348089963372</v>
      </c>
      <c r="F49" s="128">
        <f t="shared" si="9"/>
        <v>1765784.5293771008</v>
      </c>
      <c r="G49" s="56"/>
      <c r="H49" s="127">
        <v>225746.97581260945</v>
      </c>
      <c r="I49" s="122">
        <f t="shared" si="10"/>
        <v>0.8325511207375722</v>
      </c>
      <c r="J49" s="128">
        <f t="shared" si="11"/>
        <v>187945.89771590559</v>
      </c>
      <c r="K49" s="56"/>
      <c r="L49" s="127">
        <v>282645.81424116431</v>
      </c>
      <c r="M49" s="122">
        <f t="shared" si="12"/>
        <v>4.2125440074982237</v>
      </c>
      <c r="N49" s="128">
        <f t="shared" si="13"/>
        <v>1190657.9310260727</v>
      </c>
      <c r="O49" s="56"/>
      <c r="P49" s="110">
        <f t="shared" si="7"/>
        <v>1378603.8287419784</v>
      </c>
      <c r="Q49" s="56"/>
    </row>
    <row r="50" spans="2:17" x14ac:dyDescent="0.2">
      <c r="B50" s="57" t="s">
        <v>77</v>
      </c>
      <c r="C50" s="56"/>
      <c r="D50" s="127">
        <v>286709.41951135918</v>
      </c>
      <c r="E50" s="122">
        <f t="shared" si="8"/>
        <v>6.3402348089963372</v>
      </c>
      <c r="F50" s="128">
        <f t="shared" si="9"/>
        <v>1817805.0416530531</v>
      </c>
      <c r="G50" s="56"/>
      <c r="H50" s="127">
        <v>245046.39480770068</v>
      </c>
      <c r="I50" s="122">
        <f t="shared" si="10"/>
        <v>0.8325511207375722</v>
      </c>
      <c r="J50" s="128">
        <f t="shared" si="11"/>
        <v>204013.65062985278</v>
      </c>
      <c r="K50" s="56"/>
      <c r="L50" s="127">
        <v>293719.9788374994</v>
      </c>
      <c r="M50" s="122">
        <f t="shared" si="12"/>
        <v>4.2125440074982237</v>
      </c>
      <c r="N50" s="128">
        <f t="shared" si="13"/>
        <v>1237308.3367344132</v>
      </c>
      <c r="O50" s="56"/>
      <c r="P50" s="110">
        <f t="shared" si="7"/>
        <v>1441321.9873642661</v>
      </c>
      <c r="Q50" s="56"/>
    </row>
    <row r="51" spans="2:17" x14ac:dyDescent="0.2">
      <c r="B51" s="56"/>
      <c r="C51" s="56"/>
      <c r="D51" s="56"/>
      <c r="E51" s="56"/>
      <c r="F51" s="56"/>
      <c r="G51" s="56"/>
      <c r="H51" s="56"/>
      <c r="I51" s="56"/>
      <c r="J51" s="56"/>
      <c r="K51" s="56"/>
      <c r="L51" s="56"/>
      <c r="M51" s="56"/>
      <c r="N51" s="56"/>
      <c r="O51" s="56"/>
      <c r="P51" s="56"/>
      <c r="Q51" s="56"/>
    </row>
    <row r="52" spans="2:17" ht="13.5" thickBot="1" x14ac:dyDescent="0.25">
      <c r="B52" s="104" t="s">
        <v>5</v>
      </c>
      <c r="C52" s="56"/>
      <c r="D52" s="111">
        <f>SUM(D39:D50)</f>
        <v>3568053.3600288061</v>
      </c>
      <c r="E52" s="112">
        <f>IF(D52&lt;&gt;0,F52/D52,0)</f>
        <v>6.3402348089963354</v>
      </c>
      <c r="F52" s="113">
        <f>SUM(F39:F50)</f>
        <v>22622296.113610972</v>
      </c>
      <c r="G52" s="56"/>
      <c r="H52" s="111">
        <f>SUM(H39:H50)</f>
        <v>2977440.1388025181</v>
      </c>
      <c r="I52" s="112">
        <f>IF(H52&lt;&gt;0,J52/H52,0)</f>
        <v>0.83255112073757231</v>
      </c>
      <c r="J52" s="113">
        <f>SUM(J39:J50)</f>
        <v>2478871.1244890695</v>
      </c>
      <c r="K52" s="56"/>
      <c r="L52" s="111">
        <f>SUM(L39:L50)</f>
        <v>3622768.329809539</v>
      </c>
      <c r="M52" s="112">
        <f>IF(L52&lt;&gt;0,N52/L52,0)</f>
        <v>4.2125440074982237</v>
      </c>
      <c r="N52" s="113">
        <f>SUM(N39:N50)</f>
        <v>15261071.018293522</v>
      </c>
      <c r="O52" s="56"/>
      <c r="P52" s="113">
        <f>SUM(P39:P50)</f>
        <v>17739942.142782591</v>
      </c>
      <c r="Q52" s="56"/>
    </row>
    <row r="53" spans="2:17" x14ac:dyDescent="0.2">
      <c r="B53" s="56"/>
      <c r="C53" s="56"/>
      <c r="D53" s="56"/>
      <c r="E53" s="56"/>
      <c r="F53" s="56"/>
      <c r="G53" s="56"/>
      <c r="H53" s="56"/>
      <c r="I53" s="56"/>
      <c r="J53" s="56"/>
      <c r="K53" s="56"/>
      <c r="L53" s="56"/>
      <c r="M53" s="56"/>
      <c r="N53" s="56"/>
      <c r="O53" s="56"/>
      <c r="P53" s="56"/>
      <c r="Q53" s="56"/>
    </row>
    <row r="54" spans="2:17" x14ac:dyDescent="0.2">
      <c r="B54" s="101" t="e">
        <f>#REF!</f>
        <v>#REF!</v>
      </c>
      <c r="C54" s="102"/>
      <c r="D54" s="267" t="s">
        <v>2</v>
      </c>
      <c r="E54" s="267"/>
      <c r="F54" s="267"/>
      <c r="G54" s="102"/>
      <c r="H54" s="267" t="s">
        <v>3</v>
      </c>
      <c r="I54" s="267"/>
      <c r="J54" s="267"/>
      <c r="K54" s="102"/>
      <c r="L54" s="267" t="s">
        <v>4</v>
      </c>
      <c r="M54" s="267"/>
      <c r="N54" s="267"/>
      <c r="O54" s="102"/>
      <c r="P54" s="101" t="s">
        <v>62</v>
      </c>
      <c r="Q54" s="56"/>
    </row>
    <row r="55" spans="2:17" x14ac:dyDescent="0.2">
      <c r="B55" s="104"/>
      <c r="C55" s="56"/>
      <c r="D55" s="120"/>
      <c r="E55" s="120"/>
      <c r="F55" s="120"/>
      <c r="G55" s="56"/>
      <c r="H55" s="120"/>
      <c r="I55" s="120"/>
      <c r="J55" s="120"/>
      <c r="K55" s="56"/>
      <c r="L55" s="120"/>
      <c r="M55" s="120"/>
      <c r="N55" s="120"/>
      <c r="O55" s="56"/>
      <c r="P55" s="120"/>
      <c r="Q55" s="56"/>
    </row>
    <row r="56" spans="2:17" x14ac:dyDescent="0.2">
      <c r="B56" s="104" t="s">
        <v>63</v>
      </c>
      <c r="C56" s="56"/>
      <c r="D56" s="120" t="s">
        <v>64</v>
      </c>
      <c r="E56" s="120" t="s">
        <v>23</v>
      </c>
      <c r="F56" s="120" t="s">
        <v>65</v>
      </c>
      <c r="G56" s="56"/>
      <c r="H56" s="120" t="s">
        <v>64</v>
      </c>
      <c r="I56" s="120" t="s">
        <v>23</v>
      </c>
      <c r="J56" s="120" t="s">
        <v>65</v>
      </c>
      <c r="K56" s="56"/>
      <c r="L56" s="120" t="s">
        <v>64</v>
      </c>
      <c r="M56" s="120" t="s">
        <v>23</v>
      </c>
      <c r="N56" s="120" t="s">
        <v>65</v>
      </c>
      <c r="O56" s="56"/>
      <c r="P56" s="120" t="s">
        <v>65</v>
      </c>
      <c r="Q56" s="56"/>
    </row>
    <row r="57" spans="2:17" x14ac:dyDescent="0.2">
      <c r="B57" s="56"/>
      <c r="C57" s="56"/>
      <c r="D57" s="56"/>
      <c r="E57" s="56"/>
      <c r="F57" s="56"/>
      <c r="G57" s="56"/>
      <c r="H57" s="56"/>
      <c r="I57" s="56"/>
      <c r="J57" s="56"/>
      <c r="K57" s="56"/>
      <c r="L57" s="56"/>
      <c r="M57" s="56"/>
      <c r="N57" s="56"/>
      <c r="O57" s="56"/>
      <c r="P57" s="56"/>
      <c r="Q57" s="56"/>
    </row>
    <row r="58" spans="2:17" x14ac:dyDescent="0.2">
      <c r="B58" s="57" t="s">
        <v>66</v>
      </c>
      <c r="C58" s="56"/>
      <c r="D58" s="127"/>
      <c r="E58" s="122"/>
      <c r="F58" s="128"/>
      <c r="G58" s="56"/>
      <c r="H58" s="127"/>
      <c r="I58" s="122"/>
      <c r="J58" s="128"/>
      <c r="K58" s="56"/>
      <c r="L58" s="127"/>
      <c r="M58" s="122"/>
      <c r="N58" s="128"/>
      <c r="O58" s="56"/>
      <c r="P58" s="110"/>
      <c r="Q58" s="56"/>
    </row>
    <row r="59" spans="2:17" x14ac:dyDescent="0.2">
      <c r="B59" s="57" t="s">
        <v>67</v>
      </c>
      <c r="C59" s="56"/>
      <c r="D59" s="127"/>
      <c r="E59" s="122"/>
      <c r="F59" s="128"/>
      <c r="G59" s="56"/>
      <c r="H59" s="127"/>
      <c r="I59" s="122"/>
      <c r="J59" s="128"/>
      <c r="K59" s="56"/>
      <c r="L59" s="127"/>
      <c r="M59" s="122"/>
      <c r="N59" s="128"/>
      <c r="O59" s="56"/>
      <c r="P59" s="110"/>
      <c r="Q59" s="56"/>
    </row>
    <row r="60" spans="2:17" x14ac:dyDescent="0.2">
      <c r="B60" s="57" t="s">
        <v>68</v>
      </c>
      <c r="C60" s="56"/>
      <c r="D60" s="127"/>
      <c r="E60" s="122"/>
      <c r="F60" s="128"/>
      <c r="G60" s="56"/>
      <c r="H60" s="127"/>
      <c r="I60" s="122"/>
      <c r="J60" s="128"/>
      <c r="K60" s="56"/>
      <c r="L60" s="127"/>
      <c r="M60" s="122"/>
      <c r="N60" s="128"/>
      <c r="O60" s="56"/>
      <c r="P60" s="110"/>
      <c r="Q60" s="56"/>
    </row>
    <row r="61" spans="2:17" x14ac:dyDescent="0.2">
      <c r="B61" s="57" t="s">
        <v>69</v>
      </c>
      <c r="C61" s="56"/>
      <c r="D61" s="127"/>
      <c r="E61" s="122"/>
      <c r="F61" s="128"/>
      <c r="G61" s="56"/>
      <c r="H61" s="127"/>
      <c r="I61" s="122"/>
      <c r="J61" s="128"/>
      <c r="K61" s="56"/>
      <c r="L61" s="127"/>
      <c r="M61" s="122"/>
      <c r="N61" s="128"/>
      <c r="O61" s="56"/>
      <c r="P61" s="110"/>
      <c r="Q61" s="56"/>
    </row>
    <row r="62" spans="2:17" x14ac:dyDescent="0.2">
      <c r="B62" s="57" t="s">
        <v>70</v>
      </c>
      <c r="C62" s="56"/>
      <c r="D62" s="127"/>
      <c r="E62" s="122"/>
      <c r="F62" s="128"/>
      <c r="G62" s="56"/>
      <c r="H62" s="127"/>
      <c r="I62" s="122"/>
      <c r="J62" s="128"/>
      <c r="K62" s="56"/>
      <c r="L62" s="127"/>
      <c r="M62" s="122"/>
      <c r="N62" s="128"/>
      <c r="O62" s="56"/>
      <c r="P62" s="110"/>
      <c r="Q62" s="56"/>
    </row>
    <row r="63" spans="2:17" x14ac:dyDescent="0.2">
      <c r="B63" s="57" t="s">
        <v>71</v>
      </c>
      <c r="C63" s="56"/>
      <c r="D63" s="127"/>
      <c r="E63" s="122"/>
      <c r="F63" s="128"/>
      <c r="G63" s="56"/>
      <c r="H63" s="127"/>
      <c r="I63" s="122"/>
      <c r="J63" s="128"/>
      <c r="K63" s="56"/>
      <c r="L63" s="127"/>
      <c r="M63" s="122"/>
      <c r="N63" s="128"/>
      <c r="O63" s="56"/>
      <c r="P63" s="110"/>
      <c r="Q63" s="56"/>
    </row>
    <row r="64" spans="2:17" x14ac:dyDescent="0.2">
      <c r="B64" s="57" t="s">
        <v>72</v>
      </c>
      <c r="C64" s="56"/>
      <c r="D64" s="127"/>
      <c r="E64" s="122"/>
      <c r="F64" s="128"/>
      <c r="G64" s="56"/>
      <c r="H64" s="127"/>
      <c r="I64" s="122"/>
      <c r="J64" s="128"/>
      <c r="K64" s="56"/>
      <c r="L64" s="127"/>
      <c r="M64" s="122"/>
      <c r="N64" s="128"/>
      <c r="O64" s="56"/>
      <c r="P64" s="110"/>
      <c r="Q64" s="56"/>
    </row>
    <row r="65" spans="2:17" x14ac:dyDescent="0.2">
      <c r="B65" s="57" t="s">
        <v>73</v>
      </c>
      <c r="C65" s="56"/>
      <c r="D65" s="127"/>
      <c r="E65" s="122"/>
      <c r="F65" s="128"/>
      <c r="G65" s="56"/>
      <c r="H65" s="127"/>
      <c r="I65" s="122"/>
      <c r="J65" s="128"/>
      <c r="K65" s="56"/>
      <c r="L65" s="127"/>
      <c r="M65" s="122"/>
      <c r="N65" s="128"/>
      <c r="O65" s="56"/>
      <c r="P65" s="110"/>
      <c r="Q65" s="56"/>
    </row>
    <row r="66" spans="2:17" x14ac:dyDescent="0.2">
      <c r="B66" s="57" t="s">
        <v>74</v>
      </c>
      <c r="C66" s="56"/>
      <c r="D66" s="127"/>
      <c r="E66" s="122"/>
      <c r="F66" s="128"/>
      <c r="G66" s="56"/>
      <c r="H66" s="127"/>
      <c r="I66" s="122"/>
      <c r="J66" s="128"/>
      <c r="K66" s="56"/>
      <c r="L66" s="127"/>
      <c r="M66" s="122"/>
      <c r="N66" s="128"/>
      <c r="O66" s="56"/>
      <c r="P66" s="110"/>
      <c r="Q66" s="56"/>
    </row>
    <row r="67" spans="2:17" x14ac:dyDescent="0.2">
      <c r="B67" s="57" t="s">
        <v>75</v>
      </c>
      <c r="C67" s="56"/>
      <c r="D67" s="127"/>
      <c r="E67" s="122"/>
      <c r="F67" s="128"/>
      <c r="G67" s="56"/>
      <c r="H67" s="127"/>
      <c r="I67" s="122"/>
      <c r="J67" s="128"/>
      <c r="K67" s="56"/>
      <c r="L67" s="127"/>
      <c r="M67" s="122"/>
      <c r="N67" s="128"/>
      <c r="O67" s="56"/>
      <c r="P67" s="110"/>
      <c r="Q67" s="56"/>
    </row>
    <row r="68" spans="2:17" x14ac:dyDescent="0.2">
      <c r="B68" s="57" t="s">
        <v>76</v>
      </c>
      <c r="C68" s="56"/>
      <c r="D68" s="127"/>
      <c r="E68" s="122"/>
      <c r="F68" s="128"/>
      <c r="G68" s="56"/>
      <c r="H68" s="127"/>
      <c r="I68" s="122"/>
      <c r="J68" s="128"/>
      <c r="K68" s="56"/>
      <c r="L68" s="127"/>
      <c r="M68" s="122"/>
      <c r="N68" s="128"/>
      <c r="O68" s="56"/>
      <c r="P68" s="110"/>
      <c r="Q68" s="56"/>
    </row>
    <row r="69" spans="2:17" x14ac:dyDescent="0.2">
      <c r="B69" s="57" t="s">
        <v>77</v>
      </c>
      <c r="C69" s="56"/>
      <c r="D69" s="127"/>
      <c r="E69" s="122"/>
      <c r="F69" s="128"/>
      <c r="G69" s="56"/>
      <c r="H69" s="127"/>
      <c r="I69" s="122"/>
      <c r="J69" s="128"/>
      <c r="K69" s="56"/>
      <c r="L69" s="127"/>
      <c r="M69" s="122"/>
      <c r="N69" s="128"/>
      <c r="O69" s="56"/>
      <c r="P69" s="110"/>
      <c r="Q69" s="56"/>
    </row>
    <row r="70" spans="2:17" x14ac:dyDescent="0.2">
      <c r="B70" s="56"/>
      <c r="C70" s="56"/>
      <c r="D70" s="56"/>
      <c r="E70" s="56"/>
      <c r="F70" s="56"/>
      <c r="G70" s="56"/>
      <c r="H70" s="56"/>
      <c r="I70" s="56"/>
      <c r="J70" s="56"/>
      <c r="K70" s="56"/>
      <c r="L70" s="56"/>
      <c r="M70" s="56"/>
      <c r="N70" s="56"/>
      <c r="O70" s="56"/>
      <c r="P70" s="56"/>
      <c r="Q70" s="56"/>
    </row>
    <row r="71" spans="2:17" ht="13.5" thickBot="1" x14ac:dyDescent="0.25">
      <c r="B71" s="104" t="s">
        <v>5</v>
      </c>
      <c r="C71" s="56"/>
      <c r="D71" s="111">
        <f>SUM(D58:D69)</f>
        <v>0</v>
      </c>
      <c r="E71" s="112">
        <f>IF(D71&lt;&gt;0,F71/D71,0)</f>
        <v>0</v>
      </c>
      <c r="F71" s="113">
        <f>SUM(F58:F69)</f>
        <v>0</v>
      </c>
      <c r="G71" s="56"/>
      <c r="H71" s="111">
        <f>SUM(H58:H69)</f>
        <v>0</v>
      </c>
      <c r="I71" s="112">
        <f>IF(H71&lt;&gt;0,J71/H71,0)</f>
        <v>0</v>
      </c>
      <c r="J71" s="113">
        <f>SUM(J58:J69)</f>
        <v>0</v>
      </c>
      <c r="K71" s="56"/>
      <c r="L71" s="111">
        <f>SUM(L58:L69)</f>
        <v>0</v>
      </c>
      <c r="M71" s="112">
        <f>IF(L71&lt;&gt;0,N71/L71,0)</f>
        <v>0</v>
      </c>
      <c r="N71" s="113">
        <f>SUM(N58:N69)</f>
        <v>0</v>
      </c>
      <c r="O71" s="56"/>
      <c r="P71" s="113">
        <f>SUM(P58:P69)</f>
        <v>0</v>
      </c>
      <c r="Q71" s="56"/>
    </row>
    <row r="72" spans="2:17" x14ac:dyDescent="0.2">
      <c r="B72" s="56"/>
      <c r="C72" s="56"/>
      <c r="D72" s="56"/>
      <c r="E72" s="56"/>
      <c r="F72" s="56"/>
      <c r="G72" s="56"/>
      <c r="H72" s="56"/>
      <c r="I72" s="56"/>
      <c r="J72" s="56"/>
      <c r="K72" s="56"/>
      <c r="L72" s="56"/>
      <c r="M72" s="56"/>
      <c r="N72" s="56"/>
      <c r="O72" s="56"/>
      <c r="P72" s="56"/>
      <c r="Q72" s="56"/>
    </row>
    <row r="73" spans="2:17" x14ac:dyDescent="0.2">
      <c r="B73" s="101" t="e">
        <f>#REF!</f>
        <v>#REF!</v>
      </c>
      <c r="C73" s="102"/>
      <c r="D73" s="267" t="s">
        <v>2</v>
      </c>
      <c r="E73" s="267"/>
      <c r="F73" s="267"/>
      <c r="G73" s="102"/>
      <c r="H73" s="267" t="s">
        <v>3</v>
      </c>
      <c r="I73" s="267"/>
      <c r="J73" s="267"/>
      <c r="K73" s="102"/>
      <c r="L73" s="267" t="s">
        <v>4</v>
      </c>
      <c r="M73" s="267"/>
      <c r="N73" s="267"/>
      <c r="O73" s="102"/>
      <c r="P73" s="101" t="s">
        <v>62</v>
      </c>
      <c r="Q73" s="56"/>
    </row>
    <row r="74" spans="2:17" x14ac:dyDescent="0.2">
      <c r="B74" s="104"/>
      <c r="C74" s="56"/>
      <c r="D74" s="120"/>
      <c r="E74" s="120"/>
      <c r="F74" s="120"/>
      <c r="G74" s="56"/>
      <c r="H74" s="120"/>
      <c r="I74" s="120"/>
      <c r="J74" s="120"/>
      <c r="K74" s="56"/>
      <c r="L74" s="120"/>
      <c r="M74" s="120"/>
      <c r="N74" s="120"/>
      <c r="O74" s="56"/>
      <c r="P74" s="120"/>
      <c r="Q74" s="56"/>
    </row>
    <row r="75" spans="2:17" x14ac:dyDescent="0.2">
      <c r="B75" s="104" t="s">
        <v>63</v>
      </c>
      <c r="C75" s="56"/>
      <c r="D75" s="120" t="s">
        <v>64</v>
      </c>
      <c r="E75" s="120" t="s">
        <v>23</v>
      </c>
      <c r="F75" s="120" t="s">
        <v>65</v>
      </c>
      <c r="G75" s="56"/>
      <c r="H75" s="120" t="s">
        <v>64</v>
      </c>
      <c r="I75" s="120" t="s">
        <v>23</v>
      </c>
      <c r="J75" s="120" t="s">
        <v>65</v>
      </c>
      <c r="K75" s="56"/>
      <c r="L75" s="120" t="s">
        <v>64</v>
      </c>
      <c r="M75" s="120" t="s">
        <v>23</v>
      </c>
      <c r="N75" s="120" t="s">
        <v>65</v>
      </c>
      <c r="O75" s="56"/>
      <c r="P75" s="120" t="s">
        <v>65</v>
      </c>
      <c r="Q75" s="56"/>
    </row>
    <row r="76" spans="2:17" x14ac:dyDescent="0.2">
      <c r="B76" s="56"/>
      <c r="C76" s="56"/>
      <c r="D76" s="56"/>
      <c r="E76" s="56"/>
      <c r="F76" s="56"/>
      <c r="G76" s="56"/>
      <c r="H76" s="56"/>
      <c r="I76" s="56"/>
      <c r="J76" s="56"/>
      <c r="K76" s="56"/>
      <c r="L76" s="56"/>
      <c r="M76" s="56"/>
      <c r="N76" s="56"/>
      <c r="O76" s="56"/>
      <c r="P76" s="56"/>
      <c r="Q76" s="56"/>
    </row>
    <row r="77" spans="2:17" x14ac:dyDescent="0.2">
      <c r="B77" s="57" t="s">
        <v>66</v>
      </c>
      <c r="C77" s="56"/>
      <c r="D77" s="127"/>
      <c r="E77" s="122"/>
      <c r="F77" s="128"/>
      <c r="G77" s="56"/>
      <c r="H77" s="127"/>
      <c r="I77" s="122"/>
      <c r="J77" s="128"/>
      <c r="K77" s="56"/>
      <c r="L77" s="127"/>
      <c r="M77" s="122"/>
      <c r="N77" s="128"/>
      <c r="O77" s="56"/>
      <c r="P77" s="110"/>
      <c r="Q77" s="56"/>
    </row>
    <row r="78" spans="2:17" x14ac:dyDescent="0.2">
      <c r="B78" s="57" t="s">
        <v>67</v>
      </c>
      <c r="C78" s="56"/>
      <c r="D78" s="127"/>
      <c r="E78" s="122"/>
      <c r="F78" s="128"/>
      <c r="G78" s="56"/>
      <c r="H78" s="127"/>
      <c r="I78" s="122"/>
      <c r="J78" s="128"/>
      <c r="K78" s="56"/>
      <c r="L78" s="127"/>
      <c r="M78" s="122"/>
      <c r="N78" s="128"/>
      <c r="O78" s="56"/>
      <c r="P78" s="110"/>
      <c r="Q78" s="56"/>
    </row>
    <row r="79" spans="2:17" x14ac:dyDescent="0.2">
      <c r="B79" s="57" t="s">
        <v>68</v>
      </c>
      <c r="C79" s="56"/>
      <c r="D79" s="127"/>
      <c r="E79" s="122"/>
      <c r="F79" s="128"/>
      <c r="G79" s="56"/>
      <c r="H79" s="127"/>
      <c r="I79" s="122"/>
      <c r="J79" s="128"/>
      <c r="K79" s="56"/>
      <c r="L79" s="127"/>
      <c r="M79" s="122"/>
      <c r="N79" s="128"/>
      <c r="O79" s="56"/>
      <c r="P79" s="110"/>
      <c r="Q79" s="56"/>
    </row>
    <row r="80" spans="2:17" x14ac:dyDescent="0.2">
      <c r="B80" s="57" t="s">
        <v>69</v>
      </c>
      <c r="C80" s="56"/>
      <c r="D80" s="127"/>
      <c r="E80" s="122"/>
      <c r="F80" s="128"/>
      <c r="G80" s="56"/>
      <c r="H80" s="127"/>
      <c r="I80" s="122"/>
      <c r="J80" s="128"/>
      <c r="K80" s="56"/>
      <c r="L80" s="127"/>
      <c r="M80" s="122"/>
      <c r="N80" s="128"/>
      <c r="O80" s="56"/>
      <c r="P80" s="110"/>
      <c r="Q80" s="56"/>
    </row>
    <row r="81" spans="2:17" x14ac:dyDescent="0.2">
      <c r="B81" s="57" t="s">
        <v>70</v>
      </c>
      <c r="C81" s="56"/>
      <c r="D81" s="127"/>
      <c r="E81" s="122"/>
      <c r="F81" s="128"/>
      <c r="G81" s="56"/>
      <c r="H81" s="127"/>
      <c r="I81" s="122"/>
      <c r="J81" s="128"/>
      <c r="K81" s="56"/>
      <c r="L81" s="127"/>
      <c r="M81" s="122"/>
      <c r="N81" s="128"/>
      <c r="O81" s="56"/>
      <c r="P81" s="110"/>
      <c r="Q81" s="56"/>
    </row>
    <row r="82" spans="2:17" x14ac:dyDescent="0.2">
      <c r="B82" s="57" t="s">
        <v>71</v>
      </c>
      <c r="C82" s="56"/>
      <c r="D82" s="127"/>
      <c r="E82" s="122"/>
      <c r="F82" s="128"/>
      <c r="G82" s="56"/>
      <c r="H82" s="127"/>
      <c r="I82" s="122"/>
      <c r="J82" s="128"/>
      <c r="K82" s="56"/>
      <c r="L82" s="127"/>
      <c r="M82" s="122"/>
      <c r="N82" s="128"/>
      <c r="O82" s="56"/>
      <c r="P82" s="110"/>
      <c r="Q82" s="56"/>
    </row>
    <row r="83" spans="2:17" x14ac:dyDescent="0.2">
      <c r="B83" s="57" t="s">
        <v>72</v>
      </c>
      <c r="C83" s="56"/>
      <c r="D83" s="127"/>
      <c r="E83" s="122"/>
      <c r="F83" s="128"/>
      <c r="G83" s="56"/>
      <c r="H83" s="127"/>
      <c r="I83" s="122"/>
      <c r="J83" s="128"/>
      <c r="K83" s="56"/>
      <c r="L83" s="127"/>
      <c r="M83" s="122"/>
      <c r="N83" s="128"/>
      <c r="O83" s="56"/>
      <c r="P83" s="110"/>
      <c r="Q83" s="56"/>
    </row>
    <row r="84" spans="2:17" x14ac:dyDescent="0.2">
      <c r="B84" s="57" t="s">
        <v>73</v>
      </c>
      <c r="C84" s="56"/>
      <c r="D84" s="127"/>
      <c r="E84" s="122"/>
      <c r="F84" s="128"/>
      <c r="G84" s="56"/>
      <c r="H84" s="127"/>
      <c r="I84" s="122"/>
      <c r="J84" s="128"/>
      <c r="K84" s="56"/>
      <c r="L84" s="127"/>
      <c r="M84" s="122"/>
      <c r="N84" s="128"/>
      <c r="O84" s="56"/>
      <c r="P84" s="110"/>
      <c r="Q84" s="56"/>
    </row>
    <row r="85" spans="2:17" x14ac:dyDescent="0.2">
      <c r="B85" s="57" t="s">
        <v>74</v>
      </c>
      <c r="C85" s="56"/>
      <c r="D85" s="127"/>
      <c r="E85" s="122"/>
      <c r="F85" s="128"/>
      <c r="G85" s="56"/>
      <c r="H85" s="127"/>
      <c r="I85" s="122"/>
      <c r="J85" s="128"/>
      <c r="K85" s="56"/>
      <c r="L85" s="127"/>
      <c r="M85" s="122"/>
      <c r="N85" s="128"/>
      <c r="O85" s="56"/>
      <c r="P85" s="110"/>
      <c r="Q85" s="56"/>
    </row>
    <row r="86" spans="2:17" x14ac:dyDescent="0.2">
      <c r="B86" s="57" t="s">
        <v>75</v>
      </c>
      <c r="C86" s="56"/>
      <c r="D86" s="127"/>
      <c r="E86" s="122"/>
      <c r="F86" s="128"/>
      <c r="G86" s="56"/>
      <c r="H86" s="127"/>
      <c r="I86" s="122"/>
      <c r="J86" s="128"/>
      <c r="K86" s="56"/>
      <c r="L86" s="127"/>
      <c r="M86" s="122"/>
      <c r="N86" s="128"/>
      <c r="O86" s="56"/>
      <c r="P86" s="110"/>
      <c r="Q86" s="56"/>
    </row>
    <row r="87" spans="2:17" x14ac:dyDescent="0.2">
      <c r="B87" s="57" t="s">
        <v>76</v>
      </c>
      <c r="C87" s="56"/>
      <c r="D87" s="127"/>
      <c r="E87" s="122"/>
      <c r="F87" s="128"/>
      <c r="G87" s="56"/>
      <c r="H87" s="127"/>
      <c r="I87" s="122"/>
      <c r="J87" s="128"/>
      <c r="K87" s="56"/>
      <c r="L87" s="127"/>
      <c r="M87" s="122"/>
      <c r="N87" s="128"/>
      <c r="O87" s="56"/>
      <c r="P87" s="110"/>
      <c r="Q87" s="56"/>
    </row>
    <row r="88" spans="2:17" x14ac:dyDescent="0.2">
      <c r="B88" s="57" t="s">
        <v>77</v>
      </c>
      <c r="C88" s="56"/>
      <c r="D88" s="127"/>
      <c r="E88" s="122"/>
      <c r="F88" s="128"/>
      <c r="G88" s="56"/>
      <c r="H88" s="127"/>
      <c r="I88" s="122"/>
      <c r="J88" s="128"/>
      <c r="K88" s="56"/>
      <c r="L88" s="127"/>
      <c r="M88" s="122"/>
      <c r="N88" s="128"/>
      <c r="O88" s="56"/>
      <c r="P88" s="110"/>
      <c r="Q88" s="56"/>
    </row>
    <row r="89" spans="2:17" x14ac:dyDescent="0.2">
      <c r="B89" s="56"/>
      <c r="C89" s="56"/>
      <c r="D89" s="56"/>
      <c r="E89" s="56"/>
      <c r="F89" s="56"/>
      <c r="G89" s="56"/>
      <c r="H89" s="56"/>
      <c r="I89" s="56"/>
      <c r="J89" s="56"/>
      <c r="K89" s="56"/>
      <c r="L89" s="56"/>
      <c r="M89" s="56"/>
      <c r="N89" s="56"/>
      <c r="O89" s="56"/>
      <c r="P89" s="56"/>
      <c r="Q89" s="56"/>
    </row>
    <row r="90" spans="2:17" ht="13.5" thickBot="1" x14ac:dyDescent="0.25">
      <c r="B90" s="104" t="s">
        <v>5</v>
      </c>
      <c r="C90" s="56"/>
      <c r="D90" s="111">
        <f>SUM(D77:D88)</f>
        <v>0</v>
      </c>
      <c r="E90" s="112">
        <f>IF(D90&lt;&gt;0,F90/D90,0)</f>
        <v>0</v>
      </c>
      <c r="F90" s="113">
        <f>SUM(F77:F88)</f>
        <v>0</v>
      </c>
      <c r="G90" s="56"/>
      <c r="H90" s="111">
        <f>SUM(H77:H88)</f>
        <v>0</v>
      </c>
      <c r="I90" s="112">
        <f>IF(H90&lt;&gt;0,J90/H90,0)</f>
        <v>0</v>
      </c>
      <c r="J90" s="113">
        <f>SUM(J77:J88)</f>
        <v>0</v>
      </c>
      <c r="K90" s="56"/>
      <c r="L90" s="111">
        <f>SUM(L77:L88)</f>
        <v>0</v>
      </c>
      <c r="M90" s="112">
        <f>IF(L90&lt;&gt;0,N90/L90,0)</f>
        <v>0</v>
      </c>
      <c r="N90" s="113">
        <f>SUM(N77:N88)</f>
        <v>0</v>
      </c>
      <c r="O90" s="56"/>
      <c r="P90" s="113">
        <f>SUM(P77:P88)</f>
        <v>0</v>
      </c>
      <c r="Q90" s="56"/>
    </row>
    <row r="91" spans="2:17" x14ac:dyDescent="0.2">
      <c r="B91" s="56"/>
      <c r="C91" s="56"/>
      <c r="D91" s="56"/>
      <c r="E91" s="56"/>
      <c r="F91" s="56"/>
      <c r="G91" s="56"/>
      <c r="H91" s="56"/>
      <c r="I91" s="56"/>
      <c r="J91" s="56"/>
      <c r="K91" s="56"/>
      <c r="L91" s="56"/>
      <c r="M91" s="56"/>
      <c r="N91" s="56"/>
      <c r="O91" s="56"/>
      <c r="P91" s="56"/>
      <c r="Q91" s="56"/>
    </row>
    <row r="92" spans="2:17" x14ac:dyDescent="0.2">
      <c r="B92" s="101" t="s">
        <v>5</v>
      </c>
      <c r="C92" s="102"/>
      <c r="D92" s="267" t="s">
        <v>2</v>
      </c>
      <c r="E92" s="267"/>
      <c r="F92" s="267"/>
      <c r="G92" s="102"/>
      <c r="H92" s="267" t="s">
        <v>3</v>
      </c>
      <c r="I92" s="267"/>
      <c r="J92" s="267"/>
      <c r="K92" s="102"/>
      <c r="L92" s="267" t="s">
        <v>4</v>
      </c>
      <c r="M92" s="267"/>
      <c r="N92" s="267"/>
      <c r="O92" s="102"/>
      <c r="P92" s="101" t="s">
        <v>62</v>
      </c>
      <c r="Q92" s="56"/>
    </row>
    <row r="93" spans="2:17" x14ac:dyDescent="0.2">
      <c r="B93" s="56"/>
      <c r="C93" s="56"/>
      <c r="D93" s="268"/>
      <c r="E93" s="268"/>
      <c r="F93" s="268"/>
      <c r="G93" s="56"/>
      <c r="H93" s="268"/>
      <c r="I93" s="268"/>
      <c r="J93" s="268"/>
      <c r="K93" s="56"/>
      <c r="L93" s="268"/>
      <c r="M93" s="268"/>
      <c r="N93" s="268"/>
      <c r="O93" s="56"/>
      <c r="P93" s="120"/>
      <c r="Q93" s="56"/>
    </row>
    <row r="94" spans="2:17" x14ac:dyDescent="0.2">
      <c r="B94" s="104" t="s">
        <v>63</v>
      </c>
      <c r="C94" s="56"/>
      <c r="D94" s="120" t="s">
        <v>64</v>
      </c>
      <c r="E94" s="120" t="s">
        <v>23</v>
      </c>
      <c r="F94" s="120" t="s">
        <v>65</v>
      </c>
      <c r="G94" s="56"/>
      <c r="H94" s="120" t="s">
        <v>64</v>
      </c>
      <c r="I94" s="120" t="s">
        <v>23</v>
      </c>
      <c r="J94" s="120" t="s">
        <v>65</v>
      </c>
      <c r="K94" s="56"/>
      <c r="L94" s="120" t="s">
        <v>64</v>
      </c>
      <c r="M94" s="120" t="s">
        <v>23</v>
      </c>
      <c r="N94" s="120" t="s">
        <v>65</v>
      </c>
      <c r="O94" s="56"/>
      <c r="P94" s="120" t="s">
        <v>65</v>
      </c>
      <c r="Q94" s="56"/>
    </row>
    <row r="95" spans="2:17" x14ac:dyDescent="0.2">
      <c r="B95" s="56"/>
      <c r="C95" s="56"/>
      <c r="D95" s="56"/>
      <c r="E95" s="56"/>
      <c r="F95" s="56"/>
      <c r="G95" s="56"/>
      <c r="H95" s="56"/>
      <c r="I95" s="56"/>
      <c r="J95" s="56"/>
      <c r="K95" s="56"/>
      <c r="L95" s="56"/>
      <c r="M95" s="56"/>
      <c r="N95" s="56"/>
      <c r="O95" s="56"/>
      <c r="P95" s="56"/>
      <c r="Q95" s="56"/>
    </row>
    <row r="96" spans="2:17" x14ac:dyDescent="0.2">
      <c r="B96" s="57" t="s">
        <v>66</v>
      </c>
      <c r="C96" s="56"/>
      <c r="D96" s="121">
        <f>D20+D39+D58+D77</f>
        <v>671054.81359162519</v>
      </c>
      <c r="E96" s="122">
        <f t="shared" ref="E96:E107" si="14">IF(D96&lt;&gt;0,F96/D96,0)</f>
        <v>7.0014020182524925</v>
      </c>
      <c r="F96" s="110">
        <f>F20+F39+F58+F77</f>
        <v>4698324.5262384545</v>
      </c>
      <c r="G96" s="56"/>
      <c r="H96" s="121">
        <f>H20+H39+H58+H77</f>
        <v>469941.16286927235</v>
      </c>
      <c r="I96" s="122">
        <f t="shared" ref="I96:I107" si="15">IF(H96&lt;&gt;0,J96/H96,0)</f>
        <v>0.98116257178231858</v>
      </c>
      <c r="J96" s="110">
        <f>J20+J39+J58+J77</f>
        <v>461088.67994718871</v>
      </c>
      <c r="K96" s="56"/>
      <c r="L96" s="121">
        <f>L20+L39+L58+L77</f>
        <v>711431.45785988867</v>
      </c>
      <c r="M96" s="122">
        <f t="shared" ref="M96:M107" si="16">IF(L96&lt;&gt;0,N96/L96,0)</f>
        <v>4.1482396976653924</v>
      </c>
      <c r="N96" s="110">
        <f>N20+N39+N58+N77</f>
        <v>2951188.2156623541</v>
      </c>
      <c r="O96" s="56"/>
      <c r="P96" s="110">
        <f t="shared" ref="P96:P107" si="17">J96+N96</f>
        <v>3412276.8956095427</v>
      </c>
      <c r="Q96" s="56"/>
    </row>
    <row r="97" spans="2:17" x14ac:dyDescent="0.2">
      <c r="B97" s="57" t="s">
        <v>67</v>
      </c>
      <c r="C97" s="56"/>
      <c r="D97" s="121">
        <f t="shared" ref="D97:D107" si="18">D21+D40+D59+D78</f>
        <v>664454.84120092972</v>
      </c>
      <c r="E97" s="122">
        <f t="shared" si="14"/>
        <v>6.9954167294370722</v>
      </c>
      <c r="F97" s="110">
        <f t="shared" ref="F97:F107" si="19">F21+F40+F59+F78</f>
        <v>4648138.5120924367</v>
      </c>
      <c r="G97" s="56"/>
      <c r="H97" s="121">
        <f t="shared" ref="H97:H107" si="20">H21+H40+H59+H78</f>
        <v>455618.24408309732</v>
      </c>
      <c r="I97" s="122">
        <f t="shared" si="15"/>
        <v>0.99354212220334481</v>
      </c>
      <c r="J97" s="110">
        <f t="shared" ref="J97:J107" si="21">J21+J40+J59+J78</f>
        <v>452675.91714088205</v>
      </c>
      <c r="K97" s="56"/>
      <c r="L97" s="121">
        <f t="shared" ref="L97:L107" si="22">L21+L40+L59+L78</f>
        <v>688095.61579317704</v>
      </c>
      <c r="M97" s="122">
        <f t="shared" si="16"/>
        <v>4.1474915466774469</v>
      </c>
      <c r="N97" s="110">
        <f t="shared" ref="N97:N107" si="23">N21+N40+N59+N78</f>
        <v>2853870.7498080144</v>
      </c>
      <c r="O97" s="56"/>
      <c r="P97" s="110">
        <f t="shared" si="17"/>
        <v>3306546.6669488964</v>
      </c>
      <c r="Q97" s="56"/>
    </row>
    <row r="98" spans="2:17" x14ac:dyDescent="0.2">
      <c r="B98" s="57" t="s">
        <v>68</v>
      </c>
      <c r="C98" s="56"/>
      <c r="D98" s="121">
        <f t="shared" si="18"/>
        <v>609052.24184627284</v>
      </c>
      <c r="E98" s="122">
        <f t="shared" si="14"/>
        <v>7.0433688620251784</v>
      </c>
      <c r="F98" s="110">
        <f t="shared" si="19"/>
        <v>4289779.5955666667</v>
      </c>
      <c r="G98" s="56"/>
      <c r="H98" s="121">
        <f t="shared" si="20"/>
        <v>410845.06771899224</v>
      </c>
      <c r="I98" s="122">
        <f t="shared" si="15"/>
        <v>1.0032749052862246</v>
      </c>
      <c r="J98" s="110">
        <f t="shared" si="21"/>
        <v>412190.54640308453</v>
      </c>
      <c r="K98" s="56"/>
      <c r="L98" s="121">
        <f t="shared" si="22"/>
        <v>623721.42912619561</v>
      </c>
      <c r="M98" s="122">
        <f t="shared" si="16"/>
        <v>4.1442043417367067</v>
      </c>
      <c r="N98" s="110">
        <f t="shared" si="23"/>
        <v>2584829.0546190036</v>
      </c>
      <c r="O98" s="56"/>
      <c r="P98" s="110">
        <f t="shared" si="17"/>
        <v>2997019.601022088</v>
      </c>
      <c r="Q98" s="56"/>
    </row>
    <row r="99" spans="2:17" x14ac:dyDescent="0.2">
      <c r="B99" s="57" t="s">
        <v>69</v>
      </c>
      <c r="C99" s="56"/>
      <c r="D99" s="121">
        <f t="shared" si="18"/>
        <v>568099.05189283879</v>
      </c>
      <c r="E99" s="122">
        <f t="shared" si="14"/>
        <v>7.0737406736962702</v>
      </c>
      <c r="F99" s="110">
        <f t="shared" si="19"/>
        <v>4018585.3700626618</v>
      </c>
      <c r="G99" s="56"/>
      <c r="H99" s="121">
        <f t="shared" si="20"/>
        <v>382951.74663333915</v>
      </c>
      <c r="I99" s="122">
        <f t="shared" si="15"/>
        <v>1.0075909917609982</v>
      </c>
      <c r="J99" s="110">
        <f t="shared" si="21"/>
        <v>385858.73018689267</v>
      </c>
      <c r="K99" s="56"/>
      <c r="L99" s="121">
        <f t="shared" si="22"/>
        <v>575506.36922540097</v>
      </c>
      <c r="M99" s="122">
        <f t="shared" si="16"/>
        <v>4.1419209926723122</v>
      </c>
      <c r="N99" s="110">
        <f t="shared" si="23"/>
        <v>2383701.9121113108</v>
      </c>
      <c r="O99" s="56"/>
      <c r="P99" s="110">
        <f t="shared" si="17"/>
        <v>2769560.6422982034</v>
      </c>
      <c r="Q99" s="56"/>
    </row>
    <row r="100" spans="2:17" x14ac:dyDescent="0.2">
      <c r="B100" s="57" t="s">
        <v>70</v>
      </c>
      <c r="C100" s="56"/>
      <c r="D100" s="121">
        <f t="shared" si="18"/>
        <v>683797.15075860289</v>
      </c>
      <c r="E100" s="122">
        <f t="shared" si="14"/>
        <v>7.0886076275645573</v>
      </c>
      <c r="F100" s="110">
        <f t="shared" si="19"/>
        <v>4847169.6985743437</v>
      </c>
      <c r="G100" s="56"/>
      <c r="H100" s="121">
        <f t="shared" si="20"/>
        <v>462183.62094833434</v>
      </c>
      <c r="I100" s="122">
        <f t="shared" si="15"/>
        <v>1.0259194648303447</v>
      </c>
      <c r="J100" s="110">
        <f t="shared" si="21"/>
        <v>474163.17305666604</v>
      </c>
      <c r="K100" s="56"/>
      <c r="L100" s="121">
        <f t="shared" si="22"/>
        <v>698940.94177795411</v>
      </c>
      <c r="M100" s="122">
        <f t="shared" si="16"/>
        <v>4.1394893240267097</v>
      </c>
      <c r="N100" s="110">
        <f t="shared" si="23"/>
        <v>2893258.5666150153</v>
      </c>
      <c r="O100" s="56"/>
      <c r="P100" s="110">
        <f t="shared" si="17"/>
        <v>3367421.7396716811</v>
      </c>
      <c r="Q100" s="56"/>
    </row>
    <row r="101" spans="2:17" x14ac:dyDescent="0.2">
      <c r="B101" s="57" t="s">
        <v>71</v>
      </c>
      <c r="C101" s="56"/>
      <c r="D101" s="121">
        <f t="shared" si="18"/>
        <v>820701.81946941582</v>
      </c>
      <c r="E101" s="122">
        <f t="shared" si="14"/>
        <v>7.0499753387846926</v>
      </c>
      <c r="F101" s="110">
        <f t="shared" si="19"/>
        <v>5785927.5877551083</v>
      </c>
      <c r="G101" s="56"/>
      <c r="H101" s="121">
        <f t="shared" si="20"/>
        <v>601552.06650372793</v>
      </c>
      <c r="I101" s="122">
        <f t="shared" si="15"/>
        <v>1.0178747209539072</v>
      </c>
      <c r="J101" s="110">
        <f t="shared" si="21"/>
        <v>612304.64183172828</v>
      </c>
      <c r="K101" s="56"/>
      <c r="L101" s="121">
        <f t="shared" si="22"/>
        <v>862281.91700473893</v>
      </c>
      <c r="M101" s="122">
        <f t="shared" si="16"/>
        <v>4.1418487522213692</v>
      </c>
      <c r="N101" s="110">
        <f t="shared" si="23"/>
        <v>3571441.2820091285</v>
      </c>
      <c r="O101" s="56"/>
      <c r="P101" s="110">
        <f t="shared" si="17"/>
        <v>4183745.9238408566</v>
      </c>
      <c r="Q101" s="56"/>
    </row>
    <row r="102" spans="2:17" x14ac:dyDescent="0.2">
      <c r="B102" s="57" t="s">
        <v>72</v>
      </c>
      <c r="C102" s="56"/>
      <c r="D102" s="121">
        <f t="shared" si="18"/>
        <v>847169.49630760076</v>
      </c>
      <c r="E102" s="122">
        <f t="shared" si="14"/>
        <v>7.092449495979146</v>
      </c>
      <c r="F102" s="110">
        <f t="shared" si="19"/>
        <v>6008506.8670957498</v>
      </c>
      <c r="G102" s="56"/>
      <c r="H102" s="121">
        <f t="shared" si="20"/>
        <v>592600.79333126848</v>
      </c>
      <c r="I102" s="122">
        <f t="shared" si="15"/>
        <v>1.0295746108045423</v>
      </c>
      <c r="J102" s="110">
        <f t="shared" si="21"/>
        <v>610126.73115650367</v>
      </c>
      <c r="K102" s="56"/>
      <c r="L102" s="121">
        <f t="shared" si="22"/>
        <v>861259.95682965487</v>
      </c>
      <c r="M102" s="122">
        <f t="shared" si="16"/>
        <v>4.1391101957221741</v>
      </c>
      <c r="N102" s="110">
        <f t="shared" si="23"/>
        <v>3564849.868480864</v>
      </c>
      <c r="O102" s="56"/>
      <c r="P102" s="110">
        <f t="shared" si="17"/>
        <v>4174976.5996373678</v>
      </c>
      <c r="Q102" s="56"/>
    </row>
    <row r="103" spans="2:17" x14ac:dyDescent="0.2">
      <c r="B103" s="57" t="s">
        <v>73</v>
      </c>
      <c r="C103" s="56"/>
      <c r="D103" s="121">
        <f t="shared" si="18"/>
        <v>864553.19098079833</v>
      </c>
      <c r="E103" s="122">
        <f t="shared" si="14"/>
        <v>7.0569583686292958</v>
      </c>
      <c r="F103" s="110">
        <f t="shared" si="19"/>
        <v>6101115.8762171064</v>
      </c>
      <c r="G103" s="56"/>
      <c r="H103" s="121">
        <f t="shared" si="20"/>
        <v>575804.23646756832</v>
      </c>
      <c r="I103" s="122">
        <f t="shared" si="15"/>
        <v>1.0291788786424954</v>
      </c>
      <c r="J103" s="110">
        <f t="shared" si="21"/>
        <v>592605.55840529024</v>
      </c>
      <c r="K103" s="56"/>
      <c r="L103" s="121">
        <f t="shared" si="22"/>
        <v>887586.38600772724</v>
      </c>
      <c r="M103" s="122">
        <f t="shared" si="16"/>
        <v>4.1424122735172304</v>
      </c>
      <c r="N103" s="110">
        <f t="shared" si="23"/>
        <v>3676748.7392052114</v>
      </c>
      <c r="O103" s="56"/>
      <c r="P103" s="110">
        <f t="shared" si="17"/>
        <v>4269354.2976105018</v>
      </c>
      <c r="Q103" s="56"/>
    </row>
    <row r="104" spans="2:17" x14ac:dyDescent="0.2">
      <c r="B104" s="57" t="s">
        <v>74</v>
      </c>
      <c r="C104" s="56"/>
      <c r="D104" s="121">
        <f t="shared" si="18"/>
        <v>738672.87023777654</v>
      </c>
      <c r="E104" s="122">
        <f t="shared" si="14"/>
        <v>7.0694950555018767</v>
      </c>
      <c r="F104" s="110">
        <f t="shared" si="19"/>
        <v>5222044.2037793407</v>
      </c>
      <c r="G104" s="56"/>
      <c r="H104" s="121">
        <f t="shared" si="20"/>
        <v>481893.53406726621</v>
      </c>
      <c r="I104" s="122">
        <f t="shared" si="15"/>
        <v>1.0240784343146812</v>
      </c>
      <c r="J104" s="110">
        <f t="shared" si="21"/>
        <v>493496.77587397443</v>
      </c>
      <c r="K104" s="56"/>
      <c r="L104" s="121">
        <f t="shared" si="22"/>
        <v>741445.04844159912</v>
      </c>
      <c r="M104" s="122">
        <f t="shared" si="16"/>
        <v>4.1420450230676744</v>
      </c>
      <c r="N104" s="110">
        <f t="shared" si="23"/>
        <v>3071098.7727756961</v>
      </c>
      <c r="O104" s="56"/>
      <c r="P104" s="110">
        <f t="shared" si="17"/>
        <v>3564595.5486496706</v>
      </c>
      <c r="Q104" s="56"/>
    </row>
    <row r="105" spans="2:17" x14ac:dyDescent="0.2">
      <c r="B105" s="57" t="s">
        <v>75</v>
      </c>
      <c r="C105" s="56"/>
      <c r="D105" s="121">
        <f t="shared" si="18"/>
        <v>611989.49708958133</v>
      </c>
      <c r="E105" s="122">
        <f t="shared" si="14"/>
        <v>7.0611518311792585</v>
      </c>
      <c r="F105" s="110">
        <f t="shared" si="19"/>
        <v>4321350.7580365706</v>
      </c>
      <c r="G105" s="56"/>
      <c r="H105" s="121">
        <f t="shared" si="20"/>
        <v>459375.35063193599</v>
      </c>
      <c r="I105" s="122">
        <f t="shared" si="15"/>
        <v>1.042747303537179</v>
      </c>
      <c r="J105" s="110">
        <f t="shared" si="21"/>
        <v>479012.40818289737</v>
      </c>
      <c r="K105" s="56"/>
      <c r="L105" s="121">
        <f t="shared" si="22"/>
        <v>632014.42439455306</v>
      </c>
      <c r="M105" s="122">
        <f t="shared" si="16"/>
        <v>4.1417542029425727</v>
      </c>
      <c r="N105" s="110">
        <f t="shared" si="23"/>
        <v>2617648.3985564709</v>
      </c>
      <c r="O105" s="56"/>
      <c r="P105" s="110">
        <f t="shared" si="17"/>
        <v>3096660.8067393685</v>
      </c>
      <c r="Q105" s="56"/>
    </row>
    <row r="106" spans="2:17" x14ac:dyDescent="0.2">
      <c r="B106" s="57" t="s">
        <v>76</v>
      </c>
      <c r="C106" s="56"/>
      <c r="D106" s="121">
        <f t="shared" si="18"/>
        <v>620992.17628930649</v>
      </c>
      <c r="E106" s="122">
        <f t="shared" si="14"/>
        <v>7.0240953483003299</v>
      </c>
      <c r="F106" s="110">
        <f t="shared" si="19"/>
        <v>4361908.2568046162</v>
      </c>
      <c r="G106" s="56"/>
      <c r="H106" s="121">
        <f t="shared" si="20"/>
        <v>420336.94528290338</v>
      </c>
      <c r="I106" s="122">
        <f t="shared" si="15"/>
        <v>1.0071716251973155</v>
      </c>
      <c r="J106" s="110">
        <f t="shared" si="21"/>
        <v>423351.44431105687</v>
      </c>
      <c r="K106" s="56"/>
      <c r="L106" s="121">
        <f t="shared" si="22"/>
        <v>603936.38501367928</v>
      </c>
      <c r="M106" s="122">
        <f t="shared" si="16"/>
        <v>4.1487048916518381</v>
      </c>
      <c r="N106" s="110">
        <f t="shared" si="23"/>
        <v>2505553.834752779</v>
      </c>
      <c r="O106" s="56"/>
      <c r="P106" s="110">
        <f t="shared" si="17"/>
        <v>2928905.2790638357</v>
      </c>
      <c r="Q106" s="56"/>
    </row>
    <row r="107" spans="2:17" x14ac:dyDescent="0.2">
      <c r="B107" s="57" t="s">
        <v>77</v>
      </c>
      <c r="C107" s="56"/>
      <c r="D107" s="121">
        <f t="shared" si="18"/>
        <v>659703.01468283404</v>
      </c>
      <c r="E107" s="122">
        <f t="shared" si="14"/>
        <v>7.0413054020594128</v>
      </c>
      <c r="F107" s="110">
        <f t="shared" si="19"/>
        <v>4645170.4010411194</v>
      </c>
      <c r="G107" s="56"/>
      <c r="H107" s="121">
        <f t="shared" si="20"/>
        <v>484944.6691489045</v>
      </c>
      <c r="I107" s="122">
        <f t="shared" si="15"/>
        <v>1.0191492505456508</v>
      </c>
      <c r="J107" s="110">
        <f t="shared" si="21"/>
        <v>494230.99611921463</v>
      </c>
      <c r="K107" s="56"/>
      <c r="L107" s="121">
        <f t="shared" si="22"/>
        <v>665488.46083378908</v>
      </c>
      <c r="M107" s="122">
        <f t="shared" si="16"/>
        <v>4.1455073862262442</v>
      </c>
      <c r="N107" s="110">
        <f t="shared" si="23"/>
        <v>2758787.3298348072</v>
      </c>
      <c r="O107" s="56"/>
      <c r="P107" s="110">
        <f t="shared" si="17"/>
        <v>3253018.3259540219</v>
      </c>
      <c r="Q107" s="56"/>
    </row>
    <row r="108" spans="2:17" x14ac:dyDescent="0.2">
      <c r="B108" s="56"/>
      <c r="C108" s="56"/>
      <c r="D108" s="56"/>
      <c r="E108" s="56"/>
      <c r="F108" s="56"/>
      <c r="G108" s="56"/>
      <c r="H108" s="56"/>
      <c r="I108" s="56"/>
      <c r="J108" s="56"/>
      <c r="K108" s="56"/>
      <c r="L108" s="56"/>
      <c r="M108" s="56"/>
      <c r="N108" s="56"/>
      <c r="O108" s="56"/>
      <c r="P108" s="110"/>
      <c r="Q108" s="56"/>
    </row>
    <row r="109" spans="2:17" ht="13.5" thickBot="1" x14ac:dyDescent="0.25">
      <c r="B109" s="104" t="s">
        <v>5</v>
      </c>
      <c r="C109" s="56"/>
      <c r="D109" s="111">
        <f>SUM(D96:D107)</f>
        <v>8360240.1643475825</v>
      </c>
      <c r="E109" s="112">
        <f>IF(D109&lt;&gt;0,F109/D109,0)</f>
        <v>7.0509962027944164</v>
      </c>
      <c r="F109" s="113">
        <f>SUM(F96:F107)</f>
        <v>58948021.653264172</v>
      </c>
      <c r="G109" s="56"/>
      <c r="H109" s="111">
        <f>SUM(H96:H107)</f>
        <v>5798047.437686611</v>
      </c>
      <c r="I109" s="112">
        <f>IF(H109&lt;&gt;0,J109/H109,0)</f>
        <v>1.0160499143770196</v>
      </c>
      <c r="J109" s="113">
        <f>SUM(J96:J107)</f>
        <v>5891105.6026153797</v>
      </c>
      <c r="K109" s="56"/>
      <c r="L109" s="111">
        <f>SUM(L96:L107)</f>
        <v>8551708.3923083581</v>
      </c>
      <c r="M109" s="112">
        <f>IF(L109&lt;&gt;0,N109/L109,0)</f>
        <v>4.1433799071423021</v>
      </c>
      <c r="N109" s="113">
        <f>SUM(N96:N107)</f>
        <v>35432976.72443065</v>
      </c>
      <c r="O109" s="56"/>
      <c r="P109" s="113">
        <f>SUM(P96:P107)</f>
        <v>41324082.327046029</v>
      </c>
      <c r="Q109" s="56"/>
    </row>
    <row r="111" spans="2:17" x14ac:dyDescent="0.2">
      <c r="N111" s="124" t="s">
        <v>82</v>
      </c>
      <c r="P111" s="125" t="e">
        <f>#REF!</f>
        <v>#REF!</v>
      </c>
    </row>
    <row r="113" spans="14:16" ht="13.5" thickBot="1" x14ac:dyDescent="0.25">
      <c r="N113" s="126" t="s">
        <v>83</v>
      </c>
      <c r="P113" s="113" t="e">
        <f>P109+P111</f>
        <v>#REF!</v>
      </c>
    </row>
  </sheetData>
  <mergeCells count="22">
    <mergeCell ref="B13:P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1B82-4CE9-4FEB-88B3-E08D82B548C9}">
  <dimension ref="A3:M49"/>
  <sheetViews>
    <sheetView workbookViewId="0">
      <selection activeCell="A28" sqref="A28"/>
    </sheetView>
  </sheetViews>
  <sheetFormatPr defaultColWidth="9.28515625" defaultRowHeight="12.75" x14ac:dyDescent="0.2"/>
  <cols>
    <col min="1" max="1" width="56.7109375" style="31" customWidth="1"/>
    <col min="2" max="2" width="79.7109375" style="31" customWidth="1"/>
    <col min="3" max="3" width="9.28515625" style="129"/>
    <col min="4" max="4" width="16.28515625" style="129" customWidth="1"/>
    <col min="5" max="5" width="17.42578125" style="129" customWidth="1"/>
    <col min="6" max="6" width="16.28515625" style="129" customWidth="1"/>
    <col min="7" max="7" width="14.5703125" style="129" customWidth="1"/>
    <col min="8" max="8" width="11.5703125" style="129" customWidth="1"/>
    <col min="9" max="9" width="14.28515625" style="129" customWidth="1"/>
    <col min="10" max="10" width="14.42578125" style="129" customWidth="1"/>
    <col min="11" max="11" width="9.28515625" style="31"/>
    <col min="12" max="12" width="14.28515625" style="31" customWidth="1"/>
    <col min="13" max="13" width="12.140625" style="31" customWidth="1"/>
    <col min="14" max="16384" width="9.28515625" style="31"/>
  </cols>
  <sheetData>
    <row r="3" spans="1:13" x14ac:dyDescent="0.2">
      <c r="D3" s="130"/>
      <c r="E3" s="131"/>
      <c r="F3" s="131"/>
      <c r="G3" s="131"/>
      <c r="H3" s="132"/>
      <c r="I3" s="131"/>
      <c r="J3" s="130"/>
    </row>
    <row r="4" spans="1:13" x14ac:dyDescent="0.2">
      <c r="D4" s="130"/>
      <c r="E4" s="131"/>
      <c r="F4" s="131"/>
      <c r="G4" s="131"/>
      <c r="H4" s="132"/>
      <c r="I4" s="131"/>
      <c r="J4" s="130"/>
    </row>
    <row r="5" spans="1:13" x14ac:dyDescent="0.2">
      <c r="D5" s="130"/>
      <c r="E5" s="131"/>
      <c r="F5" s="131"/>
      <c r="G5" s="131"/>
      <c r="H5" s="132"/>
      <c r="I5" s="131"/>
      <c r="J5" s="130"/>
    </row>
    <row r="6" spans="1:13" x14ac:dyDescent="0.2">
      <c r="D6" s="130"/>
      <c r="E6" s="131"/>
      <c r="F6" s="131"/>
      <c r="G6" s="131"/>
      <c r="H6" s="132"/>
      <c r="I6" s="131"/>
      <c r="J6" s="130"/>
    </row>
    <row r="7" spans="1:13" x14ac:dyDescent="0.2">
      <c r="D7" s="130"/>
      <c r="E7" s="131"/>
      <c r="F7" s="131"/>
      <c r="G7" s="131"/>
      <c r="H7" s="132"/>
      <c r="I7" s="131"/>
      <c r="J7" s="130"/>
    </row>
    <row r="8" spans="1:13" x14ac:dyDescent="0.2">
      <c r="D8" s="130"/>
      <c r="E8" s="131"/>
      <c r="F8" s="131"/>
      <c r="G8" s="131"/>
      <c r="H8" s="132"/>
      <c r="I8" s="131"/>
      <c r="J8" s="130"/>
    </row>
    <row r="9" spans="1:13" x14ac:dyDescent="0.2">
      <c r="D9" s="130"/>
      <c r="E9" s="131"/>
      <c r="F9" s="131"/>
      <c r="G9" s="131"/>
      <c r="H9" s="132"/>
      <c r="I9" s="131"/>
      <c r="J9" s="130"/>
    </row>
    <row r="10" spans="1:13" x14ac:dyDescent="0.2">
      <c r="D10" s="130"/>
      <c r="E10" s="131"/>
      <c r="F10" s="131"/>
      <c r="G10" s="131"/>
      <c r="H10" s="132"/>
      <c r="I10" s="131"/>
      <c r="J10" s="130"/>
    </row>
    <row r="11" spans="1:13" x14ac:dyDescent="0.2">
      <c r="D11" s="130"/>
      <c r="E11" s="131"/>
      <c r="F11" s="131"/>
      <c r="G11" s="131"/>
      <c r="H11" s="132"/>
      <c r="I11" s="131"/>
      <c r="J11" s="130"/>
    </row>
    <row r="12" spans="1:13" x14ac:dyDescent="0.2">
      <c r="D12" s="130"/>
      <c r="E12" s="131"/>
      <c r="F12" s="131"/>
      <c r="G12" s="131"/>
      <c r="H12" s="132"/>
      <c r="I12" s="131"/>
      <c r="J12" s="130"/>
    </row>
    <row r="13" spans="1:13" ht="15.75" x14ac:dyDescent="0.25">
      <c r="A13" s="133" t="s">
        <v>85</v>
      </c>
      <c r="D13" s="130"/>
      <c r="E13" s="131"/>
      <c r="F13" s="131"/>
      <c r="G13" s="131"/>
      <c r="H13" s="132"/>
      <c r="I13" s="131"/>
      <c r="J13" s="130"/>
    </row>
    <row r="14" spans="1:13" x14ac:dyDescent="0.2">
      <c r="D14" s="130"/>
      <c r="E14" s="131"/>
      <c r="F14" s="131"/>
      <c r="G14" s="131"/>
      <c r="H14" s="132"/>
      <c r="I14" s="131"/>
      <c r="J14" s="130"/>
    </row>
    <row r="15" spans="1:13" ht="47.25" x14ac:dyDescent="0.2">
      <c r="A15" s="134" t="s">
        <v>20</v>
      </c>
      <c r="B15" s="134" t="s">
        <v>21</v>
      </c>
      <c r="C15" s="135" t="s">
        <v>22</v>
      </c>
      <c r="D15" s="136" t="s">
        <v>86</v>
      </c>
      <c r="E15" s="137" t="s">
        <v>27</v>
      </c>
      <c r="F15" s="138" t="s">
        <v>87</v>
      </c>
      <c r="G15" s="139" t="s">
        <v>88</v>
      </c>
      <c r="H15" s="140" t="s">
        <v>89</v>
      </c>
      <c r="I15" s="138" t="s">
        <v>90</v>
      </c>
      <c r="J15" s="141" t="s">
        <v>91</v>
      </c>
    </row>
    <row r="16" spans="1:13" x14ac:dyDescent="0.2">
      <c r="G16" s="142"/>
      <c r="M16" s="148"/>
    </row>
    <row r="17" spans="1:13" x14ac:dyDescent="0.2">
      <c r="A17" s="31" t="s">
        <v>28</v>
      </c>
      <c r="B17" s="31" t="s">
        <v>29</v>
      </c>
      <c r="C17" s="129" t="s">
        <v>30</v>
      </c>
      <c r="D17" s="130">
        <f>'8. RTSR Rates to Forecast 2028'!J17</f>
        <v>1.2999999999999999E-2</v>
      </c>
      <c r="E17" s="142">
        <f>'3. RRR Data 2029'!H17</f>
        <v>1709446965.7296436</v>
      </c>
      <c r="F17" s="142">
        <f>'3. RRR Data 2029'!F17</f>
        <v>0</v>
      </c>
      <c r="G17" s="142">
        <f>IF(D17*E17=0,ROUND(D17*F17,2),ROUND(D17*E17,2))</f>
        <v>22222810.550000001</v>
      </c>
      <c r="H17" s="143">
        <f t="shared" ref="H17:H28" si="0">G17/$G$28</f>
        <v>0.39879587874167899</v>
      </c>
      <c r="I17" s="142">
        <f>H17*$I$28</f>
        <v>23508228.095297005</v>
      </c>
      <c r="J17" s="130">
        <f>IF(I17*E17=0,ROUND(I17/F17,4),ROUND(I17/E17,4))</f>
        <v>1.38E-2</v>
      </c>
      <c r="K17" s="151"/>
      <c r="L17" s="148"/>
      <c r="M17" s="148"/>
    </row>
    <row r="18" spans="1:13" x14ac:dyDescent="0.2">
      <c r="A18" s="31" t="s">
        <v>32</v>
      </c>
      <c r="B18" s="31" t="s">
        <v>29</v>
      </c>
      <c r="C18" s="129" t="s">
        <v>30</v>
      </c>
      <c r="D18" s="130">
        <f>'8. RTSR Rates to Forecast 2028'!J18</f>
        <v>1.3100000000000001E-2</v>
      </c>
      <c r="E18" s="142">
        <f>'3. RRR Data 2029'!H19</f>
        <v>15077555.078942614</v>
      </c>
      <c r="F18" s="142">
        <f>'3. RRR Data 2029'!F19</f>
        <v>0</v>
      </c>
      <c r="G18" s="142">
        <f t="shared" ref="G18:G27" si="1">IF(D18*E18=0,ROUND(D18*F18,2),ROUND(D18*E18,2))</f>
        <v>197515.97</v>
      </c>
      <c r="H18" s="143">
        <f t="shared" si="0"/>
        <v>3.544491127458453E-3</v>
      </c>
      <c r="I18" s="142">
        <f t="shared" ref="I18:I27" si="2">H18*$I$28</f>
        <v>208940.73973122358</v>
      </c>
      <c r="J18" s="130">
        <f t="shared" ref="J18:J27" si="3">IF(I18*E18=0,ROUND(I18/F18,4),ROUND(I18/E18,4))</f>
        <v>1.3899999999999999E-2</v>
      </c>
      <c r="K18" s="151"/>
      <c r="L18" s="148"/>
      <c r="M18" s="148"/>
    </row>
    <row r="19" spans="1:13" x14ac:dyDescent="0.2">
      <c r="A19" s="31" t="s">
        <v>33</v>
      </c>
      <c r="B19" s="31" t="s">
        <v>29</v>
      </c>
      <c r="C19" s="129" t="s">
        <v>30</v>
      </c>
      <c r="D19" s="130">
        <f>'8. RTSR Rates to Forecast 2028'!J19</f>
        <v>1.17E-2</v>
      </c>
      <c r="E19" s="142">
        <f>'3. RRR Data 2029'!H21</f>
        <v>391972315.22435892</v>
      </c>
      <c r="F19" s="142">
        <f>'3. RRR Data 2029'!F21</f>
        <v>0</v>
      </c>
      <c r="G19" s="142">
        <f t="shared" si="1"/>
        <v>4586076.09</v>
      </c>
      <c r="H19" s="143">
        <f t="shared" si="0"/>
        <v>8.2298692155648751E-2</v>
      </c>
      <c r="I19" s="142">
        <f t="shared" si="2"/>
        <v>4851345.0872265045</v>
      </c>
      <c r="J19" s="130">
        <f t="shared" si="3"/>
        <v>1.24E-2</v>
      </c>
      <c r="K19" s="151"/>
      <c r="L19" s="148"/>
      <c r="M19" s="148"/>
    </row>
    <row r="20" spans="1:13" x14ac:dyDescent="0.2">
      <c r="A20" s="31" t="s">
        <v>34</v>
      </c>
      <c r="B20" s="31" t="s">
        <v>29</v>
      </c>
      <c r="C20" s="129" t="s">
        <v>35</v>
      </c>
      <c r="D20" s="130">
        <f>'8. RTSR Rates to Forecast 2028'!J20</f>
        <v>5.4539999999999997</v>
      </c>
      <c r="E20" s="142"/>
      <c r="F20" s="142">
        <f>'3. RRR Data 2029'!F23</f>
        <v>3367387.7509962656</v>
      </c>
      <c r="G20" s="142">
        <f t="shared" si="1"/>
        <v>18365732.789999999</v>
      </c>
      <c r="H20" s="143">
        <f t="shared" si="0"/>
        <v>0.32957930907271843</v>
      </c>
      <c r="I20" s="142">
        <f t="shared" si="2"/>
        <v>19428048.247686449</v>
      </c>
      <c r="J20" s="130">
        <f t="shared" si="3"/>
        <v>5.7694999999999999</v>
      </c>
      <c r="K20" s="151"/>
      <c r="L20" s="148"/>
      <c r="M20" s="148"/>
    </row>
    <row r="21" spans="1:13" x14ac:dyDescent="0.2">
      <c r="A21" s="31" t="s">
        <v>34</v>
      </c>
      <c r="B21" s="31" t="s">
        <v>36</v>
      </c>
      <c r="C21" s="129" t="s">
        <v>35</v>
      </c>
      <c r="D21" s="130">
        <f>'8. RTSR Rates to Forecast 2028'!J21</f>
        <v>0.93030000000000002</v>
      </c>
      <c r="E21" s="142"/>
      <c r="F21" s="142">
        <f>'3. RRR Data 2029'!F25</f>
        <v>30937.373638579218</v>
      </c>
      <c r="G21" s="142">
        <f t="shared" si="1"/>
        <v>28781.040000000001</v>
      </c>
      <c r="H21" s="143">
        <f t="shared" si="0"/>
        <v>5.1648553238012524E-4</v>
      </c>
      <c r="I21" s="142">
        <f t="shared" si="2"/>
        <v>30445.800346341293</v>
      </c>
      <c r="J21" s="130">
        <f t="shared" si="3"/>
        <v>0.98409999999999997</v>
      </c>
      <c r="K21" s="151"/>
      <c r="L21" s="148"/>
      <c r="M21" s="148"/>
    </row>
    <row r="22" spans="1:13" x14ac:dyDescent="0.2">
      <c r="A22" s="31" t="s">
        <v>38</v>
      </c>
      <c r="B22" s="31" t="s">
        <v>29</v>
      </c>
      <c r="C22" s="129" t="s">
        <v>35</v>
      </c>
      <c r="D22" s="130">
        <f>'8. RTSR Rates to Forecast 2028'!J22</f>
        <v>5.7748999999999997</v>
      </c>
      <c r="E22" s="142"/>
      <c r="F22" s="142">
        <f>'3. RRR Data 2029'!F27</f>
        <v>685951.7162830272</v>
      </c>
      <c r="G22" s="142">
        <f t="shared" si="1"/>
        <v>3961302.57</v>
      </c>
      <c r="H22" s="143">
        <f t="shared" si="0"/>
        <v>7.1086919263001203E-2</v>
      </c>
      <c r="I22" s="142">
        <f t="shared" si="2"/>
        <v>4190433.2559792362</v>
      </c>
      <c r="J22" s="130">
        <f t="shared" si="3"/>
        <v>6.1089000000000002</v>
      </c>
      <c r="K22" s="151"/>
      <c r="L22" s="148"/>
      <c r="M22" s="148"/>
    </row>
    <row r="23" spans="1:13" x14ac:dyDescent="0.2">
      <c r="A23" s="31" t="s">
        <v>38</v>
      </c>
      <c r="B23" s="31" t="s">
        <v>36</v>
      </c>
      <c r="C23" s="129" t="s">
        <v>35</v>
      </c>
      <c r="D23" s="130" t="e">
        <f>'8. RTSR Rates to Forecast 2028'!J23</f>
        <v>#DIV/0!</v>
      </c>
      <c r="E23" s="142"/>
      <c r="F23" s="142"/>
      <c r="G23" s="142"/>
      <c r="H23" s="143">
        <f t="shared" si="0"/>
        <v>0</v>
      </c>
      <c r="I23" s="142">
        <f t="shared" si="2"/>
        <v>0</v>
      </c>
      <c r="J23" s="130" t="e">
        <f t="shared" si="3"/>
        <v>#DIV/0!</v>
      </c>
      <c r="K23" s="151"/>
      <c r="L23" s="148"/>
      <c r="M23" s="148"/>
    </row>
    <row r="24" spans="1:13" x14ac:dyDescent="0.2">
      <c r="A24" s="31" t="s">
        <v>41</v>
      </c>
      <c r="B24" s="31" t="s">
        <v>29</v>
      </c>
      <c r="C24" s="129" t="s">
        <v>35</v>
      </c>
      <c r="D24" s="130">
        <f>'8. RTSR Rates to Forecast 2028'!J24</f>
        <v>6.1485000000000003</v>
      </c>
      <c r="E24" s="142"/>
      <c r="F24" s="142">
        <f>'3. RRR Data 2029'!F31</f>
        <v>994908.69007255079</v>
      </c>
      <c r="G24" s="142">
        <f t="shared" si="1"/>
        <v>6117196.0800000001</v>
      </c>
      <c r="H24" s="143">
        <f t="shared" si="0"/>
        <v>0.10977516010722389</v>
      </c>
      <c r="I24" s="142">
        <f t="shared" si="2"/>
        <v>6471028.5149911745</v>
      </c>
      <c r="J24" s="130">
        <f t="shared" si="3"/>
        <v>6.5041000000000002</v>
      </c>
      <c r="K24" s="151"/>
      <c r="L24" s="148"/>
      <c r="M24" s="148"/>
    </row>
    <row r="25" spans="1:13" x14ac:dyDescent="0.2">
      <c r="A25" s="31" t="s">
        <v>42</v>
      </c>
      <c r="B25" s="31" t="s">
        <v>29</v>
      </c>
      <c r="C25" s="129" t="s">
        <v>30</v>
      </c>
      <c r="D25" s="130">
        <f>'8. RTSR Rates to Forecast 2028'!J25</f>
        <v>1.18E-2</v>
      </c>
      <c r="E25" s="142">
        <f>'3. RRR Data 2029'!H33</f>
        <v>6548856.7488125479</v>
      </c>
      <c r="F25" s="142">
        <f>'3. RRR Data 2029'!F33</f>
        <v>0</v>
      </c>
      <c r="G25" s="142">
        <f t="shared" si="1"/>
        <v>77276.509999999995</v>
      </c>
      <c r="H25" s="143">
        <f t="shared" si="0"/>
        <v>1.3867532030749433E-3</v>
      </c>
      <c r="I25" s="142">
        <f t="shared" si="2"/>
        <v>81746.3578425952</v>
      </c>
      <c r="J25" s="130">
        <f t="shared" si="3"/>
        <v>1.2500000000000001E-2</v>
      </c>
      <c r="K25" s="151"/>
      <c r="L25" s="148"/>
      <c r="M25" s="148"/>
    </row>
    <row r="26" spans="1:13" x14ac:dyDescent="0.2">
      <c r="A26" s="31" t="s">
        <v>43</v>
      </c>
      <c r="B26" s="31" t="s">
        <v>29</v>
      </c>
      <c r="C26" s="129" t="s">
        <v>35</v>
      </c>
      <c r="D26" s="130">
        <f>'8. RTSR Rates to Forecast 2028'!J26</f>
        <v>3.5346000000000002</v>
      </c>
      <c r="E26" s="142"/>
      <c r="F26" s="142">
        <f>'3. RRR Data 2029'!F35</f>
        <v>648.61106870302569</v>
      </c>
      <c r="G26" s="142">
        <f t="shared" si="1"/>
        <v>2292.58</v>
      </c>
      <c r="H26" s="143">
        <f t="shared" si="0"/>
        <v>4.1141126304818287E-5</v>
      </c>
      <c r="I26" s="142">
        <f t="shared" si="2"/>
        <v>2425.1880042561043</v>
      </c>
      <c r="J26" s="130">
        <f t="shared" si="3"/>
        <v>3.7389999999999999</v>
      </c>
      <c r="K26" s="151"/>
      <c r="L26" s="148"/>
      <c r="M26" s="148"/>
    </row>
    <row r="27" spans="1:13" x14ac:dyDescent="0.2">
      <c r="A27" s="31" t="s">
        <v>44</v>
      </c>
      <c r="B27" s="31" t="s">
        <v>29</v>
      </c>
      <c r="C27" s="129" t="s">
        <v>35</v>
      </c>
      <c r="D27" s="130">
        <f>'8. RTSR Rates to Forecast 2028'!J27</f>
        <v>3.7069999999999999</v>
      </c>
      <c r="E27" s="142"/>
      <c r="F27" s="142">
        <f>'3. RRR Data 2029'!F37</f>
        <v>44723.672843158871</v>
      </c>
      <c r="G27" s="142">
        <f t="shared" si="1"/>
        <v>165790.66</v>
      </c>
      <c r="H27" s="143">
        <f t="shared" si="0"/>
        <v>2.9751696705105977E-3</v>
      </c>
      <c r="I27" s="142">
        <f t="shared" si="2"/>
        <v>175380.36615939354</v>
      </c>
      <c r="J27" s="130">
        <f t="shared" si="3"/>
        <v>3.9214000000000002</v>
      </c>
      <c r="K27" s="151"/>
      <c r="L27" s="148"/>
      <c r="M27" s="148"/>
    </row>
    <row r="28" spans="1:13" x14ac:dyDescent="0.2">
      <c r="D28" s="130"/>
      <c r="E28" s="142"/>
      <c r="F28" s="142"/>
      <c r="G28" s="142">
        <f>SUM(G17:G27)</f>
        <v>55724774.839999989</v>
      </c>
      <c r="H28" s="143">
        <f t="shared" si="0"/>
        <v>1</v>
      </c>
      <c r="I28" s="142">
        <f>'7. Forecast Wholesale 2029'!F33+'7. Forecast Wholesale 2029'!F52</f>
        <v>58948021.653264165</v>
      </c>
      <c r="J28" s="130"/>
    </row>
    <row r="30" spans="1:13" ht="15.75" x14ac:dyDescent="0.25">
      <c r="A30" s="133" t="s">
        <v>92</v>
      </c>
    </row>
    <row r="31" spans="1:13" ht="47.25" x14ac:dyDescent="0.2">
      <c r="A31" s="134" t="s">
        <v>20</v>
      </c>
      <c r="B31" s="134" t="s">
        <v>21</v>
      </c>
      <c r="C31" s="135" t="s">
        <v>22</v>
      </c>
      <c r="D31" s="136" t="s">
        <v>93</v>
      </c>
      <c r="E31" s="137" t="s">
        <v>27</v>
      </c>
      <c r="F31" s="138" t="s">
        <v>87</v>
      </c>
      <c r="G31" s="139" t="s">
        <v>88</v>
      </c>
      <c r="H31" s="140" t="s">
        <v>89</v>
      </c>
      <c r="I31" s="138" t="s">
        <v>90</v>
      </c>
      <c r="J31" s="141" t="s">
        <v>94</v>
      </c>
    </row>
    <row r="33" spans="1:13" x14ac:dyDescent="0.2">
      <c r="A33" s="31" t="s">
        <v>28</v>
      </c>
      <c r="B33" s="31" t="s">
        <v>31</v>
      </c>
      <c r="C33" s="129" t="s">
        <v>30</v>
      </c>
      <c r="D33" s="130">
        <f>'8. RTSR Rates to Forecast 2028'!J33</f>
        <v>9.1999999999999998E-3</v>
      </c>
      <c r="E33" s="142">
        <f>'3. RRR Data 2029'!H18</f>
        <v>1709446965.7296436</v>
      </c>
      <c r="F33" s="142">
        <f>'3. RRR Data 2029'!F18</f>
        <v>0</v>
      </c>
      <c r="G33" s="142">
        <f>IF(D33*E33=0,ROUND(D33*F33,2),ROUND(D33*E33,2))</f>
        <v>15726912.08</v>
      </c>
      <c r="H33" s="143">
        <f>G33/$G$44</f>
        <v>0.40247105135797812</v>
      </c>
      <c r="I33" s="142">
        <f>H33*$I$44</f>
        <v>16631746.860569859</v>
      </c>
      <c r="J33" s="130">
        <f>IF(I33*E33=0,ROUND(I33/F33,4),ROUND(I33/E33,4))</f>
        <v>9.7000000000000003E-3</v>
      </c>
      <c r="K33" s="151"/>
      <c r="L33" s="148"/>
      <c r="M33" s="148"/>
    </row>
    <row r="34" spans="1:13" x14ac:dyDescent="0.2">
      <c r="A34" s="31" t="s">
        <v>32</v>
      </c>
      <c r="B34" s="31" t="s">
        <v>31</v>
      </c>
      <c r="C34" s="129" t="s">
        <v>30</v>
      </c>
      <c r="D34" s="130">
        <f>'8. RTSR Rates to Forecast 2028'!J34</f>
        <v>1.11E-2</v>
      </c>
      <c r="E34" s="142">
        <f>'3. RRR Data 2029'!H20</f>
        <v>15077555.078942614</v>
      </c>
      <c r="F34" s="142">
        <f>'3. RRR Data 2029'!F20</f>
        <v>0</v>
      </c>
      <c r="G34" s="142">
        <f t="shared" ref="G34:G43" si="4">IF(D34*E34=0,ROUND(D34*F34,2),ROUND(D34*E34,2))</f>
        <v>167360.85999999999</v>
      </c>
      <c r="H34" s="143">
        <f t="shared" ref="H34:H43" si="5">G34/$G$44</f>
        <v>4.2829705499552451E-3</v>
      </c>
      <c r="I34" s="142">
        <f t="shared" ref="I34:I43" si="6">H34*$I$44</f>
        <v>176989.82761066416</v>
      </c>
      <c r="J34" s="130">
        <f t="shared" ref="J34:J43" si="7">IF(I34*E34=0,ROUND(I34/F34,4),ROUND(I34/E34,4))</f>
        <v>1.17E-2</v>
      </c>
      <c r="K34" s="151"/>
      <c r="L34" s="148"/>
      <c r="M34" s="148"/>
    </row>
    <row r="35" spans="1:13" x14ac:dyDescent="0.2">
      <c r="A35" s="31" t="s">
        <v>33</v>
      </c>
      <c r="B35" s="31" t="s">
        <v>31</v>
      </c>
      <c r="C35" s="129" t="s">
        <v>30</v>
      </c>
      <c r="D35" s="130">
        <f>'8. RTSR Rates to Forecast 2028'!J35</f>
        <v>8.6E-3</v>
      </c>
      <c r="E35" s="142">
        <f>'3. RRR Data 2029'!H22</f>
        <v>391972315.22435892</v>
      </c>
      <c r="F35" s="142">
        <f>'3. RRR Data 2029'!F22</f>
        <v>0</v>
      </c>
      <c r="G35" s="142">
        <f t="shared" si="4"/>
        <v>3370961.91</v>
      </c>
      <c r="H35" s="143">
        <f t="shared" si="5"/>
        <v>8.6267067374957832E-2</v>
      </c>
      <c r="I35" s="142">
        <f t="shared" si="6"/>
        <v>3564907.3943155841</v>
      </c>
      <c r="J35" s="130">
        <f t="shared" si="7"/>
        <v>9.1000000000000004E-3</v>
      </c>
      <c r="K35" s="151"/>
      <c r="L35" s="148"/>
      <c r="M35" s="148"/>
    </row>
    <row r="36" spans="1:13" x14ac:dyDescent="0.2">
      <c r="A36" s="31" t="s">
        <v>34</v>
      </c>
      <c r="B36" s="31" t="s">
        <v>31</v>
      </c>
      <c r="C36" s="129" t="s">
        <v>35</v>
      </c>
      <c r="D36" s="130">
        <f>'8. RTSR Rates to Forecast 2028'!J36</f>
        <v>3.7837000000000001</v>
      </c>
      <c r="E36" s="142"/>
      <c r="F36" s="142">
        <f>'3. RRR Data 2029'!F24</f>
        <v>3367387.7509962656</v>
      </c>
      <c r="G36" s="142">
        <f t="shared" si="4"/>
        <v>12741185.029999999</v>
      </c>
      <c r="H36" s="143">
        <f t="shared" si="5"/>
        <v>0.32606261855382812</v>
      </c>
      <c r="I36" s="142">
        <f t="shared" si="6"/>
        <v>13474238.4928906</v>
      </c>
      <c r="J36" s="130">
        <f t="shared" si="7"/>
        <v>4.0014000000000003</v>
      </c>
      <c r="K36" s="151"/>
      <c r="L36" s="148"/>
      <c r="M36" s="148"/>
    </row>
    <row r="37" spans="1:13" x14ac:dyDescent="0.2">
      <c r="A37" s="31" t="s">
        <v>34</v>
      </c>
      <c r="B37" s="31" t="s">
        <v>37</v>
      </c>
      <c r="C37" s="129" t="s">
        <v>35</v>
      </c>
      <c r="D37" s="130">
        <f>'8. RTSR Rates to Forecast 2028'!J37</f>
        <v>0.64270000000000005</v>
      </c>
      <c r="E37" s="142"/>
      <c r="F37" s="142">
        <f>'3. RRR Data 2029'!F26</f>
        <v>30937.373638579218</v>
      </c>
      <c r="G37" s="142">
        <f t="shared" si="4"/>
        <v>19883.45</v>
      </c>
      <c r="H37" s="143">
        <f t="shared" si="5"/>
        <v>5.0884197644244676E-4</v>
      </c>
      <c r="I37" s="142">
        <f t="shared" si="6"/>
        <v>21027.427725964488</v>
      </c>
      <c r="J37" s="130">
        <f t="shared" si="7"/>
        <v>0.67969999999999997</v>
      </c>
      <c r="K37" s="151"/>
      <c r="L37" s="148"/>
      <c r="M37" s="148"/>
    </row>
    <row r="38" spans="1:13" x14ac:dyDescent="0.2">
      <c r="A38" s="31" t="s">
        <v>38</v>
      </c>
      <c r="B38" s="31" t="s">
        <v>39</v>
      </c>
      <c r="C38" s="129" t="s">
        <v>35</v>
      </c>
      <c r="D38" s="130">
        <f>'8. RTSR Rates to Forecast 2028'!J38</f>
        <v>4.0298999999999996</v>
      </c>
      <c r="E38" s="142"/>
      <c r="F38" s="142">
        <f>'3. RRR Data 2029'!F28</f>
        <v>685951.7162830272</v>
      </c>
      <c r="G38" s="142">
        <f t="shared" si="4"/>
        <v>2764316.82</v>
      </c>
      <c r="H38" s="143">
        <f t="shared" si="5"/>
        <v>7.0742272301934472E-2</v>
      </c>
      <c r="I38" s="142">
        <f t="shared" si="6"/>
        <v>2923359.4846074483</v>
      </c>
      <c r="J38" s="130">
        <f t="shared" si="7"/>
        <v>4.2618</v>
      </c>
      <c r="K38" s="151"/>
      <c r="L38" s="148"/>
      <c r="M38" s="148"/>
    </row>
    <row r="39" spans="1:13" x14ac:dyDescent="0.2">
      <c r="A39" s="31" t="s">
        <v>38</v>
      </c>
      <c r="B39" s="31" t="s">
        <v>40</v>
      </c>
      <c r="C39" s="129" t="s">
        <v>35</v>
      </c>
      <c r="D39" s="130" t="e">
        <f>'8. RTSR Rates to Forecast 2028'!J39</f>
        <v>#DIV/0!</v>
      </c>
      <c r="E39" s="142"/>
      <c r="F39" s="142"/>
      <c r="G39" s="142"/>
      <c r="H39" s="143">
        <f t="shared" si="5"/>
        <v>0</v>
      </c>
      <c r="I39" s="142">
        <f t="shared" si="6"/>
        <v>0</v>
      </c>
      <c r="J39" s="130" t="e">
        <f t="shared" si="7"/>
        <v>#DIV/0!</v>
      </c>
      <c r="K39" s="151"/>
      <c r="L39" s="148"/>
      <c r="M39" s="148"/>
    </row>
    <row r="40" spans="1:13" x14ac:dyDescent="0.2">
      <c r="A40" s="31" t="s">
        <v>41</v>
      </c>
      <c r="B40" s="31" t="s">
        <v>39</v>
      </c>
      <c r="C40" s="129" t="s">
        <v>35</v>
      </c>
      <c r="D40" s="130">
        <f>'8. RTSR Rates to Forecast 2028'!J40</f>
        <v>4.1318999999999999</v>
      </c>
      <c r="E40" s="142"/>
      <c r="F40" s="142">
        <f>'3. RRR Data 2029'!F32</f>
        <v>994908.69007255079</v>
      </c>
      <c r="G40" s="142">
        <f t="shared" si="4"/>
        <v>4110863.22</v>
      </c>
      <c r="H40" s="143">
        <f>G40/$G$44</f>
        <v>0.10520205325279872</v>
      </c>
      <c r="I40" s="142">
        <f t="shared" si="6"/>
        <v>4347378.3095929343</v>
      </c>
      <c r="J40" s="130">
        <f t="shared" si="7"/>
        <v>4.3696000000000002</v>
      </c>
      <c r="K40" s="151"/>
      <c r="L40" s="148"/>
      <c r="M40" s="148"/>
    </row>
    <row r="41" spans="1:13" x14ac:dyDescent="0.2">
      <c r="A41" s="31" t="s">
        <v>42</v>
      </c>
      <c r="B41" s="31" t="s">
        <v>31</v>
      </c>
      <c r="C41" s="129" t="s">
        <v>30</v>
      </c>
      <c r="D41" s="130">
        <f>'8. RTSR Rates to Forecast 2028'!J41</f>
        <v>8.6999999999999994E-3</v>
      </c>
      <c r="E41" s="142">
        <f>'3. RRR Data 2029'!H34</f>
        <v>6548856.7488125479</v>
      </c>
      <c r="F41" s="142">
        <f>'3. RRR Data 2029'!F34</f>
        <v>0</v>
      </c>
      <c r="G41" s="142">
        <f t="shared" si="4"/>
        <v>56975.05</v>
      </c>
      <c r="H41" s="143">
        <f t="shared" si="5"/>
        <v>1.4580617070934483E-3</v>
      </c>
      <c r="I41" s="142">
        <f t="shared" si="6"/>
        <v>60253.062021842932</v>
      </c>
      <c r="J41" s="130">
        <f t="shared" si="7"/>
        <v>9.1999999999999998E-3</v>
      </c>
      <c r="K41" s="151"/>
      <c r="L41" s="148"/>
      <c r="M41" s="148"/>
    </row>
    <row r="42" spans="1:13" x14ac:dyDescent="0.2">
      <c r="A42" s="31" t="s">
        <v>43</v>
      </c>
      <c r="B42" s="31" t="s">
        <v>31</v>
      </c>
      <c r="C42" s="129" t="s">
        <v>35</v>
      </c>
      <c r="D42" s="130">
        <f>'8. RTSR Rates to Forecast 2028'!J42</f>
        <v>2.4601000000000002</v>
      </c>
      <c r="E42" s="142"/>
      <c r="F42" s="142">
        <f>'3. RRR Data 2029'!F36</f>
        <v>648.61106870302569</v>
      </c>
      <c r="G42" s="142">
        <f t="shared" si="4"/>
        <v>1595.65</v>
      </c>
      <c r="H42" s="143">
        <f t="shared" si="5"/>
        <v>4.0834648901995887E-5</v>
      </c>
      <c r="I42" s="142">
        <f t="shared" si="6"/>
        <v>1687.4543930220977</v>
      </c>
      <c r="J42" s="130">
        <f t="shared" si="7"/>
        <v>2.6015999999999999</v>
      </c>
      <c r="K42" s="151"/>
      <c r="L42" s="148"/>
      <c r="M42" s="148"/>
    </row>
    <row r="43" spans="1:13" x14ac:dyDescent="0.2">
      <c r="A43" s="31" t="s">
        <v>44</v>
      </c>
      <c r="B43" s="31" t="s">
        <v>31</v>
      </c>
      <c r="C43" s="129" t="s">
        <v>35</v>
      </c>
      <c r="D43" s="130">
        <f>'8. RTSR Rates to Forecast 2028'!J43</f>
        <v>2.5899000000000001</v>
      </c>
      <c r="E43" s="142"/>
      <c r="F43" s="142">
        <f>'3. RRR Data 2029'!F38</f>
        <v>44723.672843158871</v>
      </c>
      <c r="G43" s="142">
        <f t="shared" si="4"/>
        <v>115829.84</v>
      </c>
      <c r="H43" s="143">
        <f t="shared" si="5"/>
        <v>2.9642282761096475E-3</v>
      </c>
      <c r="I43" s="142">
        <f t="shared" si="6"/>
        <v>122494.0133181128</v>
      </c>
      <c r="J43" s="130">
        <f t="shared" si="7"/>
        <v>2.7389000000000001</v>
      </c>
      <c r="K43" s="151"/>
      <c r="L43" s="148"/>
      <c r="M43" s="148"/>
    </row>
    <row r="44" spans="1:13" x14ac:dyDescent="0.2">
      <c r="D44" s="130"/>
      <c r="E44" s="142"/>
      <c r="F44" s="142"/>
      <c r="G44" s="142">
        <f>SUM(G33:G43)</f>
        <v>39075883.909999996</v>
      </c>
      <c r="H44" s="143"/>
      <c r="I44" s="142">
        <f>'7. Forecast Wholesale 2029'!P33+'7. Forecast Wholesale 2029'!P52</f>
        <v>41324082.327046029</v>
      </c>
      <c r="J44" s="130"/>
    </row>
    <row r="46" spans="1:13" x14ac:dyDescent="0.2">
      <c r="D46" s="130"/>
      <c r="E46" s="142"/>
      <c r="F46" s="142"/>
      <c r="G46" s="142"/>
      <c r="H46" s="143"/>
      <c r="I46" s="142"/>
      <c r="J46" s="144"/>
    </row>
    <row r="47" spans="1:13" x14ac:dyDescent="0.2">
      <c r="D47" s="130"/>
      <c r="E47" s="142"/>
      <c r="F47" s="142"/>
      <c r="G47" s="142"/>
      <c r="H47" s="143"/>
      <c r="I47" s="142"/>
      <c r="J47" s="144"/>
    </row>
    <row r="48" spans="1:13" x14ac:dyDescent="0.2">
      <c r="D48" s="130"/>
      <c r="E48" s="142"/>
      <c r="F48" s="142"/>
      <c r="G48" s="142"/>
      <c r="H48" s="143"/>
      <c r="I48" s="142"/>
      <c r="J48" s="144"/>
    </row>
    <row r="49" spans="4:10" x14ac:dyDescent="0.2">
      <c r="D49" s="130"/>
      <c r="E49" s="142"/>
      <c r="F49" s="142"/>
      <c r="G49" s="142"/>
      <c r="H49" s="143"/>
      <c r="I49" s="142"/>
      <c r="J49" s="144"/>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6860-76A4-40DD-ABF4-4221533C6ACD}">
  <dimension ref="A13:Q113"/>
  <sheetViews>
    <sheetView topLeftCell="B1" workbookViewId="0">
      <selection activeCell="F15" sqref="F15"/>
    </sheetView>
  </sheetViews>
  <sheetFormatPr defaultColWidth="9.28515625" defaultRowHeight="12.75" x14ac:dyDescent="0.2"/>
  <cols>
    <col min="1" max="1" width="11.7109375" style="31" hidden="1" customWidth="1"/>
    <col min="2" max="2" width="30.28515625" style="31" customWidth="1"/>
    <col min="3" max="3" width="3.7109375" style="31" customWidth="1"/>
    <col min="4" max="4" width="13.7109375" style="31" customWidth="1"/>
    <col min="5" max="5" width="15.28515625" style="31" customWidth="1"/>
    <col min="6" max="6" width="13.7109375" style="31" customWidth="1"/>
    <col min="7" max="7" width="2.7109375" style="31" customWidth="1"/>
    <col min="8" max="8" width="13.7109375" style="31" customWidth="1"/>
    <col min="9" max="9" width="10.28515625" style="31" bestFit="1" customWidth="1"/>
    <col min="10" max="10" width="13.7109375" style="31" customWidth="1"/>
    <col min="11" max="11" width="3.28515625" style="31" customWidth="1"/>
    <col min="12" max="12" width="13.7109375" style="31" customWidth="1"/>
    <col min="13" max="13" width="9.42578125" style="31" bestFit="1" customWidth="1"/>
    <col min="14" max="14" width="13.7109375" style="31" customWidth="1"/>
    <col min="15" max="15" width="3.7109375" style="31" customWidth="1"/>
    <col min="16" max="16" width="18.28515625" style="31" customWidth="1"/>
    <col min="17" max="16384" width="9.28515625" style="31"/>
  </cols>
  <sheetData>
    <row r="13" spans="2:17" ht="18.75" customHeight="1" x14ac:dyDescent="0.25">
      <c r="B13" s="271" t="s">
        <v>84</v>
      </c>
      <c r="C13" s="270"/>
      <c r="D13" s="270"/>
      <c r="E13" s="270"/>
      <c r="F13" s="270"/>
      <c r="G13" s="270"/>
      <c r="H13" s="270"/>
      <c r="I13" s="270"/>
      <c r="J13" s="270"/>
      <c r="K13" s="270"/>
      <c r="L13" s="270"/>
      <c r="M13" s="270"/>
      <c r="N13" s="270"/>
      <c r="O13" s="270"/>
      <c r="P13" s="270"/>
    </row>
    <row r="16" spans="2:17" x14ac:dyDescent="0.2">
      <c r="B16" s="101" t="s">
        <v>61</v>
      </c>
      <c r="C16" s="102"/>
      <c r="D16" s="267" t="s">
        <v>2</v>
      </c>
      <c r="E16" s="267"/>
      <c r="F16" s="267"/>
      <c r="G16" s="102"/>
      <c r="H16" s="267" t="s">
        <v>3</v>
      </c>
      <c r="I16" s="267"/>
      <c r="J16" s="267"/>
      <c r="K16" s="102"/>
      <c r="L16" s="267" t="s">
        <v>4</v>
      </c>
      <c r="M16" s="267"/>
      <c r="N16" s="267"/>
      <c r="O16" s="102"/>
      <c r="P16" s="101" t="s">
        <v>62</v>
      </c>
      <c r="Q16" s="56"/>
    </row>
    <row r="17" spans="2:17" ht="15.75" x14ac:dyDescent="0.25">
      <c r="B17" s="56"/>
      <c r="C17" s="56"/>
      <c r="D17" s="268"/>
      <c r="E17" s="268"/>
      <c r="F17" s="268"/>
      <c r="G17" s="56"/>
      <c r="H17" s="268"/>
      <c r="I17" s="268"/>
      <c r="J17" s="268"/>
      <c r="K17" s="56"/>
      <c r="L17" s="268"/>
      <c r="M17" s="268"/>
      <c r="N17" s="268"/>
      <c r="O17" s="56"/>
      <c r="P17" s="120"/>
      <c r="Q17" s="103"/>
    </row>
    <row r="18" spans="2:17" x14ac:dyDescent="0.2">
      <c r="B18" s="104" t="s">
        <v>63</v>
      </c>
      <c r="C18" s="56"/>
      <c r="D18" s="120" t="s">
        <v>64</v>
      </c>
      <c r="E18" s="120" t="s">
        <v>23</v>
      </c>
      <c r="F18" s="120" t="s">
        <v>65</v>
      </c>
      <c r="G18" s="56"/>
      <c r="H18" s="120" t="s">
        <v>64</v>
      </c>
      <c r="I18" s="120" t="s">
        <v>23</v>
      </c>
      <c r="J18" s="120" t="s">
        <v>65</v>
      </c>
      <c r="K18" s="56"/>
      <c r="L18" s="120" t="s">
        <v>64</v>
      </c>
      <c r="M18" s="120" t="s">
        <v>23</v>
      </c>
      <c r="N18" s="120" t="s">
        <v>65</v>
      </c>
      <c r="O18" s="56"/>
      <c r="P18" s="120" t="s">
        <v>65</v>
      </c>
      <c r="Q18" s="56"/>
    </row>
    <row r="19" spans="2:17" x14ac:dyDescent="0.2">
      <c r="B19" s="56"/>
      <c r="C19" s="56"/>
      <c r="D19" s="56"/>
      <c r="E19" s="56"/>
      <c r="F19" s="56"/>
      <c r="G19" s="56"/>
      <c r="H19" s="56"/>
      <c r="I19" s="56"/>
      <c r="J19" s="56"/>
      <c r="K19" s="56"/>
      <c r="L19" s="56"/>
      <c r="M19" s="56"/>
      <c r="N19" s="56"/>
      <c r="O19" s="56"/>
      <c r="P19" s="56"/>
      <c r="Q19" s="56"/>
    </row>
    <row r="20" spans="2:17" x14ac:dyDescent="0.2">
      <c r="B20" s="57" t="s">
        <v>66</v>
      </c>
      <c r="C20" s="56"/>
      <c r="D20" s="127">
        <v>363994.64689237269</v>
      </c>
      <c r="E20" s="122">
        <f>'4. UTRs &amp; Sub-Transmission'!P22</f>
        <v>8.0173058119351879</v>
      </c>
      <c r="F20" s="128">
        <f>D20*E20</f>
        <v>2918256.3980435161</v>
      </c>
      <c r="G20" s="56"/>
      <c r="H20" s="127">
        <v>188346.67109838253</v>
      </c>
      <c r="I20" s="122">
        <f>'4. UTRs &amp; Sub-Transmission'!P24</f>
        <v>1.2777487138748378</v>
      </c>
      <c r="J20" s="128">
        <f>H20*I20</f>
        <v>240659.71675856537</v>
      </c>
      <c r="K20" s="56"/>
      <c r="L20" s="127">
        <v>387817.68252568721</v>
      </c>
      <c r="M20" s="122">
        <f>'4. UTRs &amp; Sub-Transmission'!P26</f>
        <v>4.3227402143889746</v>
      </c>
      <c r="N20" s="128">
        <f>L20*M20</f>
        <v>1676435.0921049244</v>
      </c>
      <c r="O20" s="56"/>
      <c r="P20" s="110">
        <f t="shared" ref="P20:P31" si="0">J20+N20</f>
        <v>1917094.8088634897</v>
      </c>
      <c r="Q20" s="56"/>
    </row>
    <row r="21" spans="2:17" x14ac:dyDescent="0.2">
      <c r="B21" s="57" t="s">
        <v>67</v>
      </c>
      <c r="C21" s="56"/>
      <c r="D21" s="127">
        <v>357151.98561218043</v>
      </c>
      <c r="E21" s="122">
        <f>E20</f>
        <v>8.0173058119351879</v>
      </c>
      <c r="F21" s="128">
        <f t="shared" ref="F21:F31" si="1">D21*E21</f>
        <v>2863396.6899927268</v>
      </c>
      <c r="G21" s="56"/>
      <c r="H21" s="127">
        <v>197817.58465021793</v>
      </c>
      <c r="I21" s="122">
        <f>I20</f>
        <v>1.2777487138748378</v>
      </c>
      <c r="J21" s="128">
        <f t="shared" ref="J21:J31" si="2">H21*I21</f>
        <v>252761.16436864281</v>
      </c>
      <c r="K21" s="56"/>
      <c r="L21" s="127">
        <v>379460.85525334504</v>
      </c>
      <c r="M21" s="122">
        <f>M20</f>
        <v>4.3227402143889746</v>
      </c>
      <c r="N21" s="128">
        <f t="shared" ref="N21:N31" si="3">L21*M21</f>
        <v>1640310.6987900685</v>
      </c>
      <c r="O21" s="56"/>
      <c r="P21" s="110">
        <f t="shared" si="0"/>
        <v>1893071.8631587112</v>
      </c>
      <c r="Q21" s="56"/>
    </row>
    <row r="22" spans="2:17" x14ac:dyDescent="0.2">
      <c r="B22" s="57" t="s">
        <v>68</v>
      </c>
      <c r="C22" s="56"/>
      <c r="D22" s="127">
        <v>351332.53704842966</v>
      </c>
      <c r="E22" s="122">
        <f>E21</f>
        <v>8.0173058119351879</v>
      </c>
      <c r="F22" s="128">
        <f t="shared" si="1"/>
        <v>2816740.3912003096</v>
      </c>
      <c r="G22" s="56"/>
      <c r="H22" s="127">
        <v>189162.17281356241</v>
      </c>
      <c r="I22" s="122">
        <f t="shared" ref="I22:I31" si="4">I21</f>
        <v>1.2777487138748378</v>
      </c>
      <c r="J22" s="128">
        <f t="shared" si="2"/>
        <v>241701.72302629918</v>
      </c>
      <c r="K22" s="56"/>
      <c r="L22" s="127">
        <v>361341.61092171521</v>
      </c>
      <c r="M22" s="122">
        <f t="shared" ref="M22:M31" si="5">M21</f>
        <v>4.3227402143889746</v>
      </c>
      <c r="N22" s="128">
        <f t="shared" si="3"/>
        <v>1561985.9126633927</v>
      </c>
      <c r="O22" s="56"/>
      <c r="P22" s="110">
        <f t="shared" si="0"/>
        <v>1803687.6356896919</v>
      </c>
      <c r="Q22" s="56"/>
    </row>
    <row r="23" spans="2:17" x14ac:dyDescent="0.2">
      <c r="B23" s="57" t="s">
        <v>69</v>
      </c>
      <c r="C23" s="56"/>
      <c r="D23" s="127">
        <v>341863.98384888133</v>
      </c>
      <c r="E23" s="122">
        <f t="shared" ref="E23:E31" si="6">E22</f>
        <v>8.0173058119351879</v>
      </c>
      <c r="F23" s="128">
        <f t="shared" si="1"/>
        <v>2740828.1046029534</v>
      </c>
      <c r="G23" s="56"/>
      <c r="H23" s="127">
        <v>180777.02131377536</v>
      </c>
      <c r="I23" s="122">
        <f t="shared" si="4"/>
        <v>1.2777487138748378</v>
      </c>
      <c r="J23" s="128">
        <f t="shared" si="2"/>
        <v>230987.60648180061</v>
      </c>
      <c r="K23" s="56"/>
      <c r="L23" s="127">
        <v>344548.88457541406</v>
      </c>
      <c r="M23" s="122">
        <f t="shared" si="5"/>
        <v>4.3227402143889746</v>
      </c>
      <c r="N23" s="128">
        <f t="shared" si="3"/>
        <v>1489395.3191770075</v>
      </c>
      <c r="O23" s="56"/>
      <c r="P23" s="110">
        <f t="shared" si="0"/>
        <v>1720382.9256588081</v>
      </c>
      <c r="Q23" s="56"/>
    </row>
    <row r="24" spans="2:17" x14ac:dyDescent="0.2">
      <c r="B24" s="57" t="s">
        <v>70</v>
      </c>
      <c r="C24" s="56"/>
      <c r="D24" s="127">
        <v>419827.60006667575</v>
      </c>
      <c r="E24" s="122">
        <f t="shared" si="6"/>
        <v>8.0173058119351879</v>
      </c>
      <c r="F24" s="128">
        <f t="shared" si="1"/>
        <v>3365886.2580253612</v>
      </c>
      <c r="G24" s="56"/>
      <c r="H24" s="127">
        <v>241025.01344102752</v>
      </c>
      <c r="I24" s="122">
        <f t="shared" si="4"/>
        <v>1.2777487138748378</v>
      </c>
      <c r="J24" s="128">
        <f t="shared" si="2"/>
        <v>307969.40093593841</v>
      </c>
      <c r="K24" s="56"/>
      <c r="L24" s="127">
        <v>432855.56451511331</v>
      </c>
      <c r="M24" s="122">
        <f t="shared" si="5"/>
        <v>4.3227402143889746</v>
      </c>
      <c r="N24" s="128">
        <f t="shared" si="3"/>
        <v>1871122.1557515215</v>
      </c>
      <c r="O24" s="56"/>
      <c r="P24" s="110">
        <f t="shared" si="0"/>
        <v>2179091.5566874598</v>
      </c>
      <c r="Q24" s="56"/>
    </row>
    <row r="25" spans="2:17" x14ac:dyDescent="0.2">
      <c r="B25" s="57" t="s">
        <v>71</v>
      </c>
      <c r="C25" s="56"/>
      <c r="D25" s="127">
        <v>477871.02315781213</v>
      </c>
      <c r="E25" s="122">
        <f t="shared" si="6"/>
        <v>8.0173058119351879</v>
      </c>
      <c r="F25" s="128">
        <f t="shared" si="1"/>
        <v>3831238.1313185422</v>
      </c>
      <c r="G25" s="56"/>
      <c r="H25" s="127">
        <v>300653.41309292603</v>
      </c>
      <c r="I25" s="122">
        <f t="shared" si="4"/>
        <v>1.2777487138748378</v>
      </c>
      <c r="J25" s="128">
        <f t="shared" si="2"/>
        <v>384159.51190156653</v>
      </c>
      <c r="K25" s="56"/>
      <c r="L25" s="127">
        <v>516766.08832015988</v>
      </c>
      <c r="M25" s="122">
        <f t="shared" si="5"/>
        <v>4.3227402143889746</v>
      </c>
      <c r="N25" s="128">
        <f t="shared" si="3"/>
        <v>2233845.5514140399</v>
      </c>
      <c r="O25" s="56"/>
      <c r="P25" s="110">
        <f t="shared" si="0"/>
        <v>2618005.0633156067</v>
      </c>
      <c r="Q25" s="56"/>
    </row>
    <row r="26" spans="2:17" x14ac:dyDescent="0.2">
      <c r="B26" s="57" t="s">
        <v>72</v>
      </c>
      <c r="C26" s="56"/>
      <c r="D26" s="127">
        <v>522802.68929432041</v>
      </c>
      <c r="E26" s="122">
        <f t="shared" si="6"/>
        <v>8.0173058119351879</v>
      </c>
      <c r="F26" s="128">
        <f t="shared" si="1"/>
        <v>4191469.0393747012</v>
      </c>
      <c r="G26" s="56"/>
      <c r="H26" s="127">
        <v>314878.07615090394</v>
      </c>
      <c r="I26" s="122">
        <f t="shared" si="4"/>
        <v>1.2777487138748378</v>
      </c>
      <c r="J26" s="128">
        <f t="shared" si="2"/>
        <v>402335.05682920077</v>
      </c>
      <c r="K26" s="56"/>
      <c r="L26" s="127">
        <v>536148.12112536782</v>
      </c>
      <c r="M26" s="122">
        <f t="shared" si="5"/>
        <v>4.3227402143889746</v>
      </c>
      <c r="N26" s="128">
        <f t="shared" si="3"/>
        <v>2317629.0440577185</v>
      </c>
      <c r="O26" s="56"/>
      <c r="P26" s="110">
        <f t="shared" si="0"/>
        <v>2719964.1008869191</v>
      </c>
      <c r="Q26" s="56"/>
    </row>
    <row r="27" spans="2:17" x14ac:dyDescent="0.2">
      <c r="B27" s="57" t="s">
        <v>73</v>
      </c>
      <c r="C27" s="56"/>
      <c r="D27" s="127">
        <v>508357.33329750231</v>
      </c>
      <c r="E27" s="122">
        <f t="shared" si="6"/>
        <v>8.0173058119351879</v>
      </c>
      <c r="F27" s="128">
        <f t="shared" si="1"/>
        <v>4075656.2027859385</v>
      </c>
      <c r="G27" s="56"/>
      <c r="H27" s="127">
        <v>305338.7123827436</v>
      </c>
      <c r="I27" s="122">
        <f t="shared" si="4"/>
        <v>1.2777487138748378</v>
      </c>
      <c r="J27" s="128">
        <f t="shared" si="2"/>
        <v>390146.14704324963</v>
      </c>
      <c r="K27" s="56"/>
      <c r="L27" s="127">
        <v>527690.97888082534</v>
      </c>
      <c r="M27" s="122">
        <f t="shared" si="5"/>
        <v>4.3227402143889746</v>
      </c>
      <c r="N27" s="128">
        <f t="shared" si="3"/>
        <v>2281071.0151784266</v>
      </c>
      <c r="O27" s="56"/>
      <c r="P27" s="110">
        <f t="shared" si="0"/>
        <v>2671217.1622216762</v>
      </c>
      <c r="Q27" s="56"/>
    </row>
    <row r="28" spans="2:17" x14ac:dyDescent="0.2">
      <c r="B28" s="57" t="s">
        <v>74</v>
      </c>
      <c r="C28" s="56"/>
      <c r="D28" s="127">
        <v>441937.01993958349</v>
      </c>
      <c r="E28" s="122">
        <f t="shared" si="6"/>
        <v>8.0173058119351879</v>
      </c>
      <c r="F28" s="128">
        <f t="shared" si="1"/>
        <v>3543144.2384709399</v>
      </c>
      <c r="G28" s="56"/>
      <c r="H28" s="127">
        <v>248910.95043210097</v>
      </c>
      <c r="I28" s="122">
        <f t="shared" si="4"/>
        <v>1.2777487138748378</v>
      </c>
      <c r="J28" s="128">
        <f t="shared" si="2"/>
        <v>318045.64678398054</v>
      </c>
      <c r="K28" s="56"/>
      <c r="L28" s="127">
        <v>443114.8357308273</v>
      </c>
      <c r="M28" s="122">
        <f t="shared" si="5"/>
        <v>4.3227402143889746</v>
      </c>
      <c r="N28" s="128">
        <f t="shared" si="3"/>
        <v>1915470.3200060118</v>
      </c>
      <c r="O28" s="56"/>
      <c r="P28" s="110">
        <f t="shared" si="0"/>
        <v>2233515.9667899925</v>
      </c>
      <c r="Q28" s="56"/>
    </row>
    <row r="29" spans="2:17" x14ac:dyDescent="0.2">
      <c r="B29" s="57" t="s">
        <v>75</v>
      </c>
      <c r="C29" s="56"/>
      <c r="D29" s="127">
        <v>361955.30251635128</v>
      </c>
      <c r="E29" s="122">
        <f t="shared" si="6"/>
        <v>8.0173058119351879</v>
      </c>
      <c r="F29" s="128">
        <f t="shared" si="1"/>
        <v>2901906.3505251021</v>
      </c>
      <c r="G29" s="56"/>
      <c r="H29" s="127">
        <v>260408.22642237897</v>
      </c>
      <c r="I29" s="122">
        <f t="shared" si="4"/>
        <v>1.2777487138748378</v>
      </c>
      <c r="J29" s="128">
        <f t="shared" si="2"/>
        <v>332736.27639362228</v>
      </c>
      <c r="K29" s="56"/>
      <c r="L29" s="127">
        <v>379273.20724652364</v>
      </c>
      <c r="M29" s="122">
        <f t="shared" si="5"/>
        <v>4.3227402143889746</v>
      </c>
      <c r="N29" s="128">
        <f t="shared" si="3"/>
        <v>1639499.5452048315</v>
      </c>
      <c r="O29" s="56"/>
      <c r="P29" s="110">
        <f t="shared" si="0"/>
        <v>1972235.8215984539</v>
      </c>
      <c r="Q29" s="56"/>
    </row>
    <row r="30" spans="2:17" x14ac:dyDescent="0.2">
      <c r="B30" s="57" t="s">
        <v>76</v>
      </c>
      <c r="C30" s="56"/>
      <c r="D30" s="127">
        <v>348400.97950789897</v>
      </c>
      <c r="E30" s="122">
        <f t="shared" si="6"/>
        <v>8.0173058119351879</v>
      </c>
      <c r="F30" s="128">
        <f t="shared" si="1"/>
        <v>2793237.1978925909</v>
      </c>
      <c r="G30" s="56"/>
      <c r="H30" s="127">
        <v>197949.76437829345</v>
      </c>
      <c r="I30" s="122">
        <f t="shared" si="4"/>
        <v>1.2777487138748378</v>
      </c>
      <c r="J30" s="128">
        <f t="shared" si="2"/>
        <v>252930.05684619164</v>
      </c>
      <c r="K30" s="56"/>
      <c r="L30" s="127">
        <v>326837.98118944588</v>
      </c>
      <c r="M30" s="122">
        <f t="shared" si="5"/>
        <v>4.3227402143889746</v>
      </c>
      <c r="N30" s="128">
        <f t="shared" si="3"/>
        <v>1412835.6848773248</v>
      </c>
      <c r="O30" s="56"/>
      <c r="P30" s="110">
        <f t="shared" si="0"/>
        <v>1665765.7417235165</v>
      </c>
      <c r="Q30" s="56"/>
    </row>
    <row r="31" spans="2:17" x14ac:dyDescent="0.2">
      <c r="B31" s="57" t="s">
        <v>77</v>
      </c>
      <c r="C31" s="56"/>
      <c r="D31" s="127">
        <v>379433.71120204375</v>
      </c>
      <c r="E31" s="122">
        <f t="shared" si="6"/>
        <v>8.0173058119351879</v>
      </c>
      <c r="F31" s="128">
        <f t="shared" si="1"/>
        <v>3042036.0980642829</v>
      </c>
      <c r="G31" s="56"/>
      <c r="H31" s="127">
        <v>244040.36348774901</v>
      </c>
      <c r="I31" s="122">
        <f t="shared" si="4"/>
        <v>1.2777487138748378</v>
      </c>
      <c r="J31" s="128">
        <f t="shared" si="2"/>
        <v>311822.26058001921</v>
      </c>
      <c r="K31" s="56"/>
      <c r="L31" s="127">
        <v>378187.44519447518</v>
      </c>
      <c r="M31" s="122">
        <f t="shared" si="5"/>
        <v>4.3227402143889746</v>
      </c>
      <c r="N31" s="128">
        <f t="shared" si="3"/>
        <v>1634806.0779191842</v>
      </c>
      <c r="O31" s="56"/>
      <c r="P31" s="110">
        <f t="shared" si="0"/>
        <v>1946628.3384992033</v>
      </c>
      <c r="Q31" s="56"/>
    </row>
    <row r="32" spans="2:17" x14ac:dyDescent="0.2">
      <c r="B32" s="56"/>
      <c r="C32" s="56"/>
      <c r="D32" s="56"/>
      <c r="E32" s="56"/>
      <c r="F32" s="56"/>
      <c r="G32" s="56"/>
      <c r="H32" s="56"/>
      <c r="I32" s="56"/>
      <c r="J32" s="56"/>
      <c r="K32" s="56"/>
      <c r="L32" s="56"/>
      <c r="M32" s="56"/>
      <c r="N32" s="56"/>
      <c r="O32" s="56"/>
      <c r="P32" s="56"/>
      <c r="Q32" s="56"/>
    </row>
    <row r="33" spans="2:17" ht="13.5" thickBot="1" x14ac:dyDescent="0.25">
      <c r="B33" s="104" t="s">
        <v>5</v>
      </c>
      <c r="C33" s="56"/>
      <c r="D33" s="111">
        <f>SUM(D20:D31)</f>
        <v>4874928.8123840531</v>
      </c>
      <c r="E33" s="112">
        <f>IF(D33&lt;&gt;0,F33/D33,0)</f>
        <v>8.0173058119351861</v>
      </c>
      <c r="F33" s="113">
        <f>SUM(F20:F31)</f>
        <v>39083795.100296967</v>
      </c>
      <c r="G33" s="56"/>
      <c r="H33" s="111">
        <f>SUM(H20:H31)</f>
        <v>2869307.9696640614</v>
      </c>
      <c r="I33" s="112">
        <f>IF(H33&lt;&gt;0,J33/H33,0)</f>
        <v>1.2777487138748378</v>
      </c>
      <c r="J33" s="113">
        <f>SUM(J20:J31)</f>
        <v>3666254.5679490766</v>
      </c>
      <c r="K33" s="56"/>
      <c r="L33" s="111">
        <f>SUM(L20:L31)</f>
        <v>5014043.2554788999</v>
      </c>
      <c r="M33" s="112">
        <f>IF(L33&lt;&gt;0,N33/L33,0)</f>
        <v>4.3227402143889755</v>
      </c>
      <c r="N33" s="113">
        <f>SUM(N20:N31)</f>
        <v>21674406.417144455</v>
      </c>
      <c r="O33" s="56"/>
      <c r="P33" s="113">
        <f>SUM(P20:P31)</f>
        <v>25340660.985093527</v>
      </c>
      <c r="Q33" s="56"/>
    </row>
    <row r="34" spans="2:17" x14ac:dyDescent="0.2">
      <c r="B34" s="56"/>
      <c r="C34" s="56"/>
      <c r="D34" s="56"/>
      <c r="E34" s="56"/>
      <c r="F34" s="56"/>
      <c r="G34" s="56"/>
      <c r="H34" s="56"/>
      <c r="I34" s="56"/>
      <c r="J34" s="56"/>
      <c r="K34" s="56"/>
      <c r="L34" s="56"/>
      <c r="M34" s="56"/>
      <c r="N34" s="56"/>
      <c r="O34" s="56"/>
      <c r="P34" s="56"/>
      <c r="Q34" s="56"/>
    </row>
    <row r="35" spans="2:17" x14ac:dyDescent="0.2">
      <c r="B35" s="101" t="s">
        <v>78</v>
      </c>
      <c r="C35" s="102"/>
      <c r="D35" s="267" t="s">
        <v>2</v>
      </c>
      <c r="E35" s="267"/>
      <c r="F35" s="267"/>
      <c r="G35" s="102"/>
      <c r="H35" s="267" t="s">
        <v>3</v>
      </c>
      <c r="I35" s="267"/>
      <c r="J35" s="267"/>
      <c r="K35" s="102"/>
      <c r="L35" s="267" t="s">
        <v>4</v>
      </c>
      <c r="M35" s="267"/>
      <c r="N35" s="267"/>
      <c r="O35" s="102"/>
      <c r="P35" s="101" t="s">
        <v>62</v>
      </c>
      <c r="Q35" s="56"/>
    </row>
    <row r="36" spans="2:17" x14ac:dyDescent="0.2">
      <c r="B36" s="104"/>
      <c r="C36" s="56"/>
      <c r="D36" s="120"/>
      <c r="E36" s="120"/>
      <c r="F36" s="120"/>
      <c r="G36" s="56"/>
      <c r="H36" s="120"/>
      <c r="I36" s="120"/>
      <c r="J36" s="120"/>
      <c r="K36" s="56"/>
      <c r="L36" s="120"/>
      <c r="M36" s="120"/>
      <c r="N36" s="120"/>
      <c r="O36" s="56"/>
      <c r="P36" s="120"/>
      <c r="Q36" s="56"/>
    </row>
    <row r="37" spans="2:17" x14ac:dyDescent="0.2">
      <c r="B37" s="104" t="s">
        <v>63</v>
      </c>
      <c r="C37" s="56"/>
      <c r="D37" s="120" t="s">
        <v>64</v>
      </c>
      <c r="E37" s="120" t="s">
        <v>23</v>
      </c>
      <c r="F37" s="120" t="s">
        <v>65</v>
      </c>
      <c r="G37" s="56"/>
      <c r="H37" s="120" t="s">
        <v>64</v>
      </c>
      <c r="I37" s="120" t="s">
        <v>23</v>
      </c>
      <c r="J37" s="120" t="s">
        <v>65</v>
      </c>
      <c r="K37" s="56"/>
      <c r="L37" s="120" t="s">
        <v>64</v>
      </c>
      <c r="M37" s="120" t="s">
        <v>23</v>
      </c>
      <c r="N37" s="120" t="s">
        <v>65</v>
      </c>
      <c r="O37" s="56"/>
      <c r="P37" s="120" t="s">
        <v>65</v>
      </c>
      <c r="Q37" s="56"/>
    </row>
    <row r="38" spans="2:17" x14ac:dyDescent="0.2">
      <c r="B38" s="56"/>
      <c r="C38" s="56"/>
      <c r="D38" s="56"/>
      <c r="E38" s="56"/>
      <c r="F38" s="56"/>
      <c r="G38" s="56"/>
      <c r="H38" s="56"/>
      <c r="I38" s="56"/>
      <c r="J38" s="56"/>
      <c r="K38" s="56"/>
      <c r="L38" s="56"/>
      <c r="M38" s="56"/>
      <c r="N38" s="56"/>
      <c r="O38" s="56"/>
      <c r="P38" s="56"/>
      <c r="Q38" s="56"/>
    </row>
    <row r="39" spans="2:17" x14ac:dyDescent="0.2">
      <c r="B39" s="57" t="s">
        <v>66</v>
      </c>
      <c r="C39" s="56"/>
      <c r="D39" s="127">
        <v>318646.61461242673</v>
      </c>
      <c r="E39" s="122">
        <f>'4. UTRs &amp; Sub-Transmission'!P35</f>
        <v>6.7058407167960246</v>
      </c>
      <c r="F39" s="128">
        <f>D39*E39</f>
        <v>2136793.4425372221</v>
      </c>
      <c r="G39" s="56"/>
      <c r="H39" s="127">
        <v>289708.50674486614</v>
      </c>
      <c r="I39" s="122">
        <f>'4. UTRs &amp; Sub-Transmission'!P37</f>
        <v>0.87934666488866342</v>
      </c>
      <c r="J39" s="128">
        <f>H39*I39</f>
        <v>254754.20919597289</v>
      </c>
      <c r="K39" s="56"/>
      <c r="L39" s="127">
        <v>335897.36732003209</v>
      </c>
      <c r="M39" s="122">
        <f>'4. UTRs &amp; Sub-Transmission'!P39</f>
        <v>4.4494895882268111</v>
      </c>
      <c r="N39" s="128">
        <f>L39*M39</f>
        <v>1494571.8386032796</v>
      </c>
      <c r="O39" s="56"/>
      <c r="P39" s="110">
        <f t="shared" ref="P39:P50" si="7">J39+N39</f>
        <v>1749326.0477992524</v>
      </c>
      <c r="Q39" s="56"/>
    </row>
    <row r="40" spans="2:17" x14ac:dyDescent="0.2">
      <c r="B40" s="57" t="s">
        <v>67</v>
      </c>
      <c r="C40" s="56"/>
      <c r="D40" s="127">
        <v>318775.34822616313</v>
      </c>
      <c r="E40" s="122">
        <f t="shared" ref="E40:E50" si="8">E39</f>
        <v>6.7058407167960246</v>
      </c>
      <c r="F40" s="128">
        <f t="shared" ref="F40:F50" si="9">D40*E40</f>
        <v>2137656.7096458361</v>
      </c>
      <c r="G40" s="56"/>
      <c r="H40" s="127">
        <v>265667.37456022709</v>
      </c>
      <c r="I40" s="122">
        <f t="shared" ref="I40:I50" si="10">I39</f>
        <v>0.87934666488866342</v>
      </c>
      <c r="J40" s="128">
        <f t="shared" ref="J40:J50" si="11">H40*I40</f>
        <v>233613.71978926304</v>
      </c>
      <c r="K40" s="56"/>
      <c r="L40" s="127">
        <v>320515.43533746933</v>
      </c>
      <c r="M40" s="122">
        <f t="shared" ref="M40:M50" si="12">M39</f>
        <v>4.4494895882268111</v>
      </c>
      <c r="N40" s="128">
        <f t="shared" ref="N40:N50" si="13">L40*M40</f>
        <v>1426130.0924000535</v>
      </c>
      <c r="O40" s="56"/>
      <c r="P40" s="110">
        <f t="shared" si="7"/>
        <v>1659743.8121893166</v>
      </c>
      <c r="Q40" s="56"/>
    </row>
    <row r="41" spans="2:17" x14ac:dyDescent="0.2">
      <c r="B41" s="57" t="s">
        <v>68</v>
      </c>
      <c r="C41" s="56"/>
      <c r="D41" s="127">
        <v>268235.6148749718</v>
      </c>
      <c r="E41" s="122">
        <f t="shared" si="8"/>
        <v>6.7058407167960246</v>
      </c>
      <c r="F41" s="128">
        <f t="shared" si="9"/>
        <v>1798745.3079234033</v>
      </c>
      <c r="G41" s="56"/>
      <c r="H41" s="127">
        <v>228776.55533539216</v>
      </c>
      <c r="I41" s="122">
        <f t="shared" si="10"/>
        <v>0.87934666488866342</v>
      </c>
      <c r="J41" s="128">
        <f t="shared" si="11"/>
        <v>201173.90093889384</v>
      </c>
      <c r="K41" s="56"/>
      <c r="L41" s="127">
        <v>273149.00680804969</v>
      </c>
      <c r="M41" s="122">
        <f t="shared" si="12"/>
        <v>4.4494895882268111</v>
      </c>
      <c r="N41" s="128">
        <f t="shared" si="13"/>
        <v>1215373.6618269114</v>
      </c>
      <c r="O41" s="56"/>
      <c r="P41" s="110">
        <f t="shared" si="7"/>
        <v>1416547.5627658053</v>
      </c>
      <c r="Q41" s="56"/>
    </row>
    <row r="42" spans="2:17" x14ac:dyDescent="0.2">
      <c r="B42" s="57" t="s">
        <v>69</v>
      </c>
      <c r="C42" s="56"/>
      <c r="D42" s="127">
        <v>236043.87939731102</v>
      </c>
      <c r="E42" s="122">
        <f t="shared" si="8"/>
        <v>6.7058407167960246</v>
      </c>
      <c r="F42" s="128">
        <f t="shared" si="9"/>
        <v>1582872.6574129784</v>
      </c>
      <c r="G42" s="56"/>
      <c r="H42" s="127">
        <v>208786.77902331157</v>
      </c>
      <c r="I42" s="122">
        <f t="shared" si="10"/>
        <v>0.87934666488866342</v>
      </c>
      <c r="J42" s="128">
        <f t="shared" si="11"/>
        <v>183595.95780699537</v>
      </c>
      <c r="K42" s="56"/>
      <c r="L42" s="127">
        <v>240894.19091551713</v>
      </c>
      <c r="M42" s="122">
        <f t="shared" si="12"/>
        <v>4.4494895882268111</v>
      </c>
      <c r="N42" s="128">
        <f t="shared" si="13"/>
        <v>1071856.1943429152</v>
      </c>
      <c r="O42" s="56"/>
      <c r="P42" s="110">
        <f t="shared" si="7"/>
        <v>1255452.1521499106</v>
      </c>
      <c r="Q42" s="56"/>
    </row>
    <row r="43" spans="2:17" x14ac:dyDescent="0.2">
      <c r="B43" s="57" t="s">
        <v>70</v>
      </c>
      <c r="C43" s="56"/>
      <c r="D43" s="127">
        <v>275776.00809298077</v>
      </c>
      <c r="E43" s="122">
        <f t="shared" si="8"/>
        <v>6.7058407167960246</v>
      </c>
      <c r="F43" s="128">
        <f t="shared" si="9"/>
        <v>1849309.9837853804</v>
      </c>
      <c r="G43" s="56"/>
      <c r="H43" s="127">
        <v>229138.68058327318</v>
      </c>
      <c r="I43" s="122">
        <f t="shared" si="10"/>
        <v>0.87934666488866342</v>
      </c>
      <c r="J43" s="128">
        <f t="shared" si="11"/>
        <v>201492.33456789001</v>
      </c>
      <c r="K43" s="56"/>
      <c r="L43" s="127">
        <v>278153.30770946376</v>
      </c>
      <c r="M43" s="122">
        <f t="shared" si="12"/>
        <v>4.4494895882268111</v>
      </c>
      <c r="N43" s="128">
        <f t="shared" si="13"/>
        <v>1237640.2465841074</v>
      </c>
      <c r="O43" s="56"/>
      <c r="P43" s="110">
        <f t="shared" si="7"/>
        <v>1439132.5811519974</v>
      </c>
      <c r="Q43" s="56"/>
    </row>
    <row r="44" spans="2:17" x14ac:dyDescent="0.2">
      <c r="B44" s="57" t="s">
        <v>71</v>
      </c>
      <c r="C44" s="56"/>
      <c r="D44" s="127">
        <v>357001.05288518436</v>
      </c>
      <c r="E44" s="122">
        <f t="shared" si="8"/>
        <v>6.7058407167960246</v>
      </c>
      <c r="F44" s="128">
        <f t="shared" si="9"/>
        <v>2393992.1963765202</v>
      </c>
      <c r="G44" s="56"/>
      <c r="H44" s="127">
        <v>311285.06528720836</v>
      </c>
      <c r="I44" s="122">
        <f t="shared" si="10"/>
        <v>0.87934666488866342</v>
      </c>
      <c r="J44" s="128">
        <f t="shared" si="11"/>
        <v>273727.4839899565</v>
      </c>
      <c r="K44" s="56"/>
      <c r="L44" s="127">
        <v>360404.00818272569</v>
      </c>
      <c r="M44" s="122">
        <f t="shared" si="12"/>
        <v>4.4494895882268111</v>
      </c>
      <c r="N44" s="128">
        <f t="shared" si="13"/>
        <v>1603613.8819642484</v>
      </c>
      <c r="O44" s="56"/>
      <c r="P44" s="110">
        <f t="shared" si="7"/>
        <v>1877341.3659542049</v>
      </c>
      <c r="Q44" s="56"/>
    </row>
    <row r="45" spans="2:17" x14ac:dyDescent="0.2">
      <c r="B45" s="57" t="s">
        <v>72</v>
      </c>
      <c r="C45" s="56"/>
      <c r="D45" s="127">
        <v>338994.05510656576</v>
      </c>
      <c r="E45" s="122">
        <f t="shared" si="8"/>
        <v>6.7058407167960246</v>
      </c>
      <c r="F45" s="128">
        <f t="shared" si="9"/>
        <v>2273240.137485404</v>
      </c>
      <c r="G45" s="56"/>
      <c r="H45" s="127">
        <v>287954.57616739639</v>
      </c>
      <c r="I45" s="122">
        <f t="shared" si="10"/>
        <v>0.87934666488866342</v>
      </c>
      <c r="J45" s="128">
        <f t="shared" si="11"/>
        <v>253211.89619222863</v>
      </c>
      <c r="K45" s="56"/>
      <c r="L45" s="127">
        <v>339982.37001444289</v>
      </c>
      <c r="M45" s="122">
        <f t="shared" si="12"/>
        <v>4.4494895882268111</v>
      </c>
      <c r="N45" s="128">
        <f t="shared" si="13"/>
        <v>1512748.0155599387</v>
      </c>
      <c r="O45" s="56"/>
      <c r="P45" s="110">
        <f t="shared" si="7"/>
        <v>1765959.9117521674</v>
      </c>
      <c r="Q45" s="56"/>
    </row>
    <row r="46" spans="2:17" x14ac:dyDescent="0.2">
      <c r="B46" s="57" t="s">
        <v>73</v>
      </c>
      <c r="C46" s="56"/>
      <c r="D46" s="127">
        <v>371123.25305038091</v>
      </c>
      <c r="E46" s="122">
        <f t="shared" si="8"/>
        <v>6.7058407167960246</v>
      </c>
      <c r="F46" s="128">
        <f t="shared" si="9"/>
        <v>2488693.4212550386</v>
      </c>
      <c r="G46" s="56"/>
      <c r="H46" s="127">
        <v>280407.37333303911</v>
      </c>
      <c r="I46" s="122">
        <f t="shared" si="10"/>
        <v>0.87934666488866342</v>
      </c>
      <c r="J46" s="128">
        <f t="shared" si="11"/>
        <v>246575.28855059828</v>
      </c>
      <c r="K46" s="56"/>
      <c r="L46" s="127">
        <v>375220.49417139997</v>
      </c>
      <c r="M46" s="122">
        <f t="shared" si="12"/>
        <v>4.4494895882268111</v>
      </c>
      <c r="N46" s="128">
        <f t="shared" si="13"/>
        <v>1669539.6821049631</v>
      </c>
      <c r="O46" s="56"/>
      <c r="P46" s="110">
        <f t="shared" si="7"/>
        <v>1916114.9706555614</v>
      </c>
      <c r="Q46" s="56"/>
    </row>
    <row r="47" spans="2:17" x14ac:dyDescent="0.2">
      <c r="B47" s="57" t="s">
        <v>74</v>
      </c>
      <c r="C47" s="56"/>
      <c r="D47" s="127">
        <v>309489.79313943058</v>
      </c>
      <c r="E47" s="122">
        <f t="shared" si="8"/>
        <v>6.7058407167960246</v>
      </c>
      <c r="F47" s="128">
        <f t="shared" si="9"/>
        <v>2075389.2562671725</v>
      </c>
      <c r="G47" s="56"/>
      <c r="H47" s="127">
        <v>241302.96852635191</v>
      </c>
      <c r="I47" s="122">
        <f t="shared" si="10"/>
        <v>0.87934666488866342</v>
      </c>
      <c r="J47" s="128">
        <f t="shared" si="11"/>
        <v>212188.96060138167</v>
      </c>
      <c r="K47" s="56"/>
      <c r="L47" s="127">
        <v>311132.0200449152</v>
      </c>
      <c r="M47" s="122">
        <f t="shared" si="12"/>
        <v>4.4494895882268111</v>
      </c>
      <c r="N47" s="128">
        <f t="shared" si="13"/>
        <v>1384378.6837538257</v>
      </c>
      <c r="O47" s="56"/>
      <c r="P47" s="110">
        <f t="shared" si="7"/>
        <v>1596567.6443552074</v>
      </c>
      <c r="Q47" s="56"/>
    </row>
    <row r="48" spans="2:17" x14ac:dyDescent="0.2">
      <c r="B48" s="57" t="s">
        <v>75</v>
      </c>
      <c r="C48" s="56"/>
      <c r="D48" s="127">
        <v>260600.81936724178</v>
      </c>
      <c r="E48" s="122">
        <f t="shared" si="8"/>
        <v>6.7058407167960246</v>
      </c>
      <c r="F48" s="128">
        <f t="shared" si="9"/>
        <v>1747547.5853432559</v>
      </c>
      <c r="G48" s="56"/>
      <c r="H48" s="127">
        <v>206898.70962536795</v>
      </c>
      <c r="I48" s="122">
        <f t="shared" si="10"/>
        <v>0.87934666488866342</v>
      </c>
      <c r="J48" s="128">
        <f t="shared" si="11"/>
        <v>181935.6902788353</v>
      </c>
      <c r="K48" s="56"/>
      <c r="L48" s="127">
        <v>263653.5927994746</v>
      </c>
      <c r="M48" s="122">
        <f t="shared" si="12"/>
        <v>4.4494895882268111</v>
      </c>
      <c r="N48" s="128">
        <f t="shared" si="13"/>
        <v>1173123.9160598535</v>
      </c>
      <c r="O48" s="56"/>
      <c r="P48" s="110">
        <f t="shared" si="7"/>
        <v>1355059.6063386889</v>
      </c>
      <c r="Q48" s="56"/>
    </row>
    <row r="49" spans="2:17" x14ac:dyDescent="0.2">
      <c r="B49" s="57" t="s">
        <v>76</v>
      </c>
      <c r="C49" s="56"/>
      <c r="D49" s="127">
        <v>283313.2620424481</v>
      </c>
      <c r="E49" s="122">
        <f t="shared" si="8"/>
        <v>6.7058407167960246</v>
      </c>
      <c r="F49" s="128">
        <f t="shared" si="9"/>
        <v>1899853.6082125502</v>
      </c>
      <c r="G49" s="56"/>
      <c r="H49" s="127">
        <v>229644.72831185782</v>
      </c>
      <c r="I49" s="122">
        <f t="shared" si="10"/>
        <v>0.87934666488866342</v>
      </c>
      <c r="J49" s="128">
        <f t="shared" si="11"/>
        <v>201937.3259502954</v>
      </c>
      <c r="K49" s="56"/>
      <c r="L49" s="127">
        <v>287525.98339911166</v>
      </c>
      <c r="M49" s="122">
        <f t="shared" si="12"/>
        <v>4.4494895882268111</v>
      </c>
      <c r="N49" s="128">
        <f t="shared" si="13"/>
        <v>1279343.8694790222</v>
      </c>
      <c r="O49" s="56"/>
      <c r="P49" s="110">
        <f t="shared" si="7"/>
        <v>1481281.1954293177</v>
      </c>
      <c r="Q49" s="56"/>
    </row>
    <row r="50" spans="2:17" x14ac:dyDescent="0.2">
      <c r="B50" s="57" t="s">
        <v>77</v>
      </c>
      <c r="C50" s="56"/>
      <c r="D50" s="127">
        <v>291659.75097177306</v>
      </c>
      <c r="E50" s="122">
        <f t="shared" si="8"/>
        <v>6.7058407167960246</v>
      </c>
      <c r="F50" s="128">
        <f t="shared" si="9"/>
        <v>1955823.8335171046</v>
      </c>
      <c r="G50" s="56"/>
      <c r="H50" s="127">
        <v>249277.37152114452</v>
      </c>
      <c r="I50" s="122">
        <f t="shared" si="10"/>
        <v>0.87934666488866342</v>
      </c>
      <c r="J50" s="128">
        <f t="shared" si="11"/>
        <v>219201.22527933071</v>
      </c>
      <c r="K50" s="56"/>
      <c r="L50" s="127">
        <v>298791.35477718583</v>
      </c>
      <c r="M50" s="122">
        <f t="shared" si="12"/>
        <v>4.4494895882268111</v>
      </c>
      <c r="N50" s="128">
        <f t="shared" si="13"/>
        <v>1329469.0221332717</v>
      </c>
      <c r="O50" s="56"/>
      <c r="P50" s="110">
        <f t="shared" si="7"/>
        <v>1548670.2474126024</v>
      </c>
      <c r="Q50" s="56"/>
    </row>
    <row r="51" spans="2:17" x14ac:dyDescent="0.2">
      <c r="B51" s="56"/>
      <c r="C51" s="56"/>
      <c r="D51" s="56"/>
      <c r="E51" s="56"/>
      <c r="F51" s="56"/>
      <c r="G51" s="56"/>
      <c r="H51" s="56"/>
      <c r="I51" s="56"/>
      <c r="J51" s="56"/>
      <c r="K51" s="56"/>
      <c r="L51" s="56"/>
      <c r="M51" s="56"/>
      <c r="N51" s="56"/>
      <c r="O51" s="56"/>
      <c r="P51" s="56"/>
      <c r="Q51" s="56"/>
    </row>
    <row r="52" spans="2:17" ht="13.5" thickBot="1" x14ac:dyDescent="0.25">
      <c r="B52" s="104" t="s">
        <v>5</v>
      </c>
      <c r="C52" s="56"/>
      <c r="D52" s="111">
        <f>SUM(D39:D50)</f>
        <v>3629659.4517668779</v>
      </c>
      <c r="E52" s="112">
        <f>IF(D52&lt;&gt;0,F52/D52,0)</f>
        <v>6.7058407167960246</v>
      </c>
      <c r="F52" s="113">
        <f>SUM(F39:F50)</f>
        <v>24339918.139761865</v>
      </c>
      <c r="G52" s="56"/>
      <c r="H52" s="111">
        <f>SUM(H39:H50)</f>
        <v>3028848.689019436</v>
      </c>
      <c r="I52" s="112">
        <f>IF(H52&lt;&gt;0,J52/H52,0)</f>
        <v>0.87934666488866342</v>
      </c>
      <c r="J52" s="113">
        <f>SUM(J39:J50)</f>
        <v>2663407.9931416414</v>
      </c>
      <c r="K52" s="56"/>
      <c r="L52" s="111">
        <f>SUM(L39:L50)</f>
        <v>3685319.1314797876</v>
      </c>
      <c r="M52" s="112">
        <f>IF(L52&lt;&gt;0,N52/L52,0)</f>
        <v>4.449489588226812</v>
      </c>
      <c r="N52" s="113">
        <f>SUM(N39:N50)</f>
        <v>16397789.104812393</v>
      </c>
      <c r="O52" s="56"/>
      <c r="P52" s="113">
        <f>SUM(P39:P50)</f>
        <v>19061197.097954039</v>
      </c>
      <c r="Q52" s="56"/>
    </row>
    <row r="53" spans="2:17" x14ac:dyDescent="0.2">
      <c r="B53" s="56"/>
      <c r="C53" s="56"/>
      <c r="D53" s="56"/>
      <c r="E53" s="56"/>
      <c r="F53" s="56"/>
      <c r="G53" s="56"/>
      <c r="H53" s="56"/>
      <c r="I53" s="56"/>
      <c r="J53" s="56"/>
      <c r="K53" s="56"/>
      <c r="L53" s="56"/>
      <c r="M53" s="56"/>
      <c r="N53" s="56"/>
      <c r="O53" s="56"/>
      <c r="P53" s="56"/>
      <c r="Q53" s="56"/>
    </row>
    <row r="54" spans="2:17" x14ac:dyDescent="0.2">
      <c r="B54" s="101" t="e">
        <f>#REF!</f>
        <v>#REF!</v>
      </c>
      <c r="C54" s="102"/>
      <c r="D54" s="267" t="s">
        <v>2</v>
      </c>
      <c r="E54" s="267"/>
      <c r="F54" s="267"/>
      <c r="G54" s="102"/>
      <c r="H54" s="267" t="s">
        <v>3</v>
      </c>
      <c r="I54" s="267"/>
      <c r="J54" s="267"/>
      <c r="K54" s="102"/>
      <c r="L54" s="267" t="s">
        <v>4</v>
      </c>
      <c r="M54" s="267"/>
      <c r="N54" s="267"/>
      <c r="O54" s="102"/>
      <c r="P54" s="101" t="s">
        <v>62</v>
      </c>
      <c r="Q54" s="56"/>
    </row>
    <row r="55" spans="2:17" x14ac:dyDescent="0.2">
      <c r="B55" s="104"/>
      <c r="C55" s="56"/>
      <c r="D55" s="120"/>
      <c r="E55" s="120"/>
      <c r="F55" s="120"/>
      <c r="G55" s="56"/>
      <c r="H55" s="120"/>
      <c r="I55" s="120"/>
      <c r="J55" s="120"/>
      <c r="K55" s="56"/>
      <c r="L55" s="120"/>
      <c r="M55" s="120"/>
      <c r="N55" s="120"/>
      <c r="O55" s="56"/>
      <c r="P55" s="120"/>
      <c r="Q55" s="56"/>
    </row>
    <row r="56" spans="2:17" x14ac:dyDescent="0.2">
      <c r="B56" s="104" t="s">
        <v>63</v>
      </c>
      <c r="C56" s="56"/>
      <c r="D56" s="120" t="s">
        <v>64</v>
      </c>
      <c r="E56" s="120" t="s">
        <v>23</v>
      </c>
      <c r="F56" s="120" t="s">
        <v>65</v>
      </c>
      <c r="G56" s="56"/>
      <c r="H56" s="120" t="s">
        <v>64</v>
      </c>
      <c r="I56" s="120" t="s">
        <v>23</v>
      </c>
      <c r="J56" s="120" t="s">
        <v>65</v>
      </c>
      <c r="K56" s="56"/>
      <c r="L56" s="120" t="s">
        <v>64</v>
      </c>
      <c r="M56" s="120" t="s">
        <v>23</v>
      </c>
      <c r="N56" s="120" t="s">
        <v>65</v>
      </c>
      <c r="O56" s="56"/>
      <c r="P56" s="120" t="s">
        <v>65</v>
      </c>
      <c r="Q56" s="56"/>
    </row>
    <row r="57" spans="2:17" x14ac:dyDescent="0.2">
      <c r="B57" s="56"/>
      <c r="C57" s="56"/>
      <c r="D57" s="56"/>
      <c r="E57" s="56"/>
      <c r="F57" s="56"/>
      <c r="G57" s="56"/>
      <c r="H57" s="56"/>
      <c r="I57" s="56"/>
      <c r="J57" s="56"/>
      <c r="K57" s="56"/>
      <c r="L57" s="56"/>
      <c r="M57" s="56"/>
      <c r="N57" s="56"/>
      <c r="O57" s="56"/>
      <c r="P57" s="56"/>
      <c r="Q57" s="56"/>
    </row>
    <row r="58" spans="2:17" x14ac:dyDescent="0.2">
      <c r="B58" s="57" t="s">
        <v>66</v>
      </c>
      <c r="C58" s="56"/>
      <c r="D58" s="127"/>
      <c r="E58" s="122"/>
      <c r="F58" s="128"/>
      <c r="G58" s="56"/>
      <c r="H58" s="127"/>
      <c r="I58" s="122"/>
      <c r="J58" s="128"/>
      <c r="K58" s="56"/>
      <c r="L58" s="127"/>
      <c r="M58" s="122"/>
      <c r="N58" s="128"/>
      <c r="O58" s="56"/>
      <c r="P58" s="110"/>
      <c r="Q58" s="56"/>
    </row>
    <row r="59" spans="2:17" x14ac:dyDescent="0.2">
      <c r="B59" s="57" t="s">
        <v>67</v>
      </c>
      <c r="C59" s="56"/>
      <c r="D59" s="127"/>
      <c r="E59" s="122"/>
      <c r="F59" s="128"/>
      <c r="G59" s="56"/>
      <c r="H59" s="127"/>
      <c r="I59" s="122"/>
      <c r="J59" s="128"/>
      <c r="K59" s="56"/>
      <c r="L59" s="127"/>
      <c r="M59" s="122"/>
      <c r="N59" s="128"/>
      <c r="O59" s="56"/>
      <c r="P59" s="110"/>
      <c r="Q59" s="56"/>
    </row>
    <row r="60" spans="2:17" x14ac:dyDescent="0.2">
      <c r="B60" s="57" t="s">
        <v>68</v>
      </c>
      <c r="C60" s="56"/>
      <c r="D60" s="127"/>
      <c r="E60" s="122"/>
      <c r="F60" s="128"/>
      <c r="G60" s="56"/>
      <c r="H60" s="127"/>
      <c r="I60" s="122"/>
      <c r="J60" s="128"/>
      <c r="K60" s="56"/>
      <c r="L60" s="127"/>
      <c r="M60" s="122"/>
      <c r="N60" s="128"/>
      <c r="O60" s="56"/>
      <c r="P60" s="110"/>
      <c r="Q60" s="56"/>
    </row>
    <row r="61" spans="2:17" x14ac:dyDescent="0.2">
      <c r="B61" s="57" t="s">
        <v>69</v>
      </c>
      <c r="C61" s="56"/>
      <c r="D61" s="127"/>
      <c r="E61" s="122"/>
      <c r="F61" s="128"/>
      <c r="G61" s="56"/>
      <c r="H61" s="127"/>
      <c r="I61" s="122"/>
      <c r="J61" s="128"/>
      <c r="K61" s="56"/>
      <c r="L61" s="127"/>
      <c r="M61" s="122"/>
      <c r="N61" s="128"/>
      <c r="O61" s="56"/>
      <c r="P61" s="110"/>
      <c r="Q61" s="56"/>
    </row>
    <row r="62" spans="2:17" x14ac:dyDescent="0.2">
      <c r="B62" s="57" t="s">
        <v>70</v>
      </c>
      <c r="C62" s="56"/>
      <c r="D62" s="127"/>
      <c r="E62" s="122"/>
      <c r="F62" s="128"/>
      <c r="G62" s="56"/>
      <c r="H62" s="127"/>
      <c r="I62" s="122"/>
      <c r="J62" s="128"/>
      <c r="K62" s="56"/>
      <c r="L62" s="127"/>
      <c r="M62" s="122"/>
      <c r="N62" s="128"/>
      <c r="O62" s="56"/>
      <c r="P62" s="110"/>
      <c r="Q62" s="56"/>
    </row>
    <row r="63" spans="2:17" x14ac:dyDescent="0.2">
      <c r="B63" s="57" t="s">
        <v>71</v>
      </c>
      <c r="C63" s="56"/>
      <c r="D63" s="127"/>
      <c r="E63" s="122"/>
      <c r="F63" s="128"/>
      <c r="G63" s="56"/>
      <c r="H63" s="127"/>
      <c r="I63" s="122"/>
      <c r="J63" s="128"/>
      <c r="K63" s="56"/>
      <c r="L63" s="127"/>
      <c r="M63" s="122"/>
      <c r="N63" s="128"/>
      <c r="O63" s="56"/>
      <c r="P63" s="110"/>
      <c r="Q63" s="56"/>
    </row>
    <row r="64" spans="2:17" x14ac:dyDescent="0.2">
      <c r="B64" s="57" t="s">
        <v>72</v>
      </c>
      <c r="C64" s="56"/>
      <c r="D64" s="127"/>
      <c r="E64" s="122"/>
      <c r="F64" s="128"/>
      <c r="G64" s="56"/>
      <c r="H64" s="127"/>
      <c r="I64" s="122"/>
      <c r="J64" s="128"/>
      <c r="K64" s="56"/>
      <c r="L64" s="127"/>
      <c r="M64" s="122"/>
      <c r="N64" s="128"/>
      <c r="O64" s="56"/>
      <c r="P64" s="110"/>
      <c r="Q64" s="56"/>
    </row>
    <row r="65" spans="2:17" x14ac:dyDescent="0.2">
      <c r="B65" s="57" t="s">
        <v>73</v>
      </c>
      <c r="C65" s="56"/>
      <c r="D65" s="127"/>
      <c r="E65" s="122"/>
      <c r="F65" s="128"/>
      <c r="G65" s="56"/>
      <c r="H65" s="127"/>
      <c r="I65" s="122"/>
      <c r="J65" s="128"/>
      <c r="K65" s="56"/>
      <c r="L65" s="127"/>
      <c r="M65" s="122"/>
      <c r="N65" s="128"/>
      <c r="O65" s="56"/>
      <c r="P65" s="110"/>
      <c r="Q65" s="56"/>
    </row>
    <row r="66" spans="2:17" x14ac:dyDescent="0.2">
      <c r="B66" s="57" t="s">
        <v>74</v>
      </c>
      <c r="C66" s="56"/>
      <c r="D66" s="127"/>
      <c r="E66" s="122"/>
      <c r="F66" s="128"/>
      <c r="G66" s="56"/>
      <c r="H66" s="127"/>
      <c r="I66" s="122"/>
      <c r="J66" s="128"/>
      <c r="K66" s="56"/>
      <c r="L66" s="127"/>
      <c r="M66" s="122"/>
      <c r="N66" s="128"/>
      <c r="O66" s="56"/>
      <c r="P66" s="110"/>
      <c r="Q66" s="56"/>
    </row>
    <row r="67" spans="2:17" x14ac:dyDescent="0.2">
      <c r="B67" s="57" t="s">
        <v>75</v>
      </c>
      <c r="C67" s="56"/>
      <c r="D67" s="127"/>
      <c r="E67" s="122"/>
      <c r="F67" s="128"/>
      <c r="G67" s="56"/>
      <c r="H67" s="127"/>
      <c r="I67" s="122"/>
      <c r="J67" s="128"/>
      <c r="K67" s="56"/>
      <c r="L67" s="127"/>
      <c r="M67" s="122"/>
      <c r="N67" s="128"/>
      <c r="O67" s="56"/>
      <c r="P67" s="110"/>
      <c r="Q67" s="56"/>
    </row>
    <row r="68" spans="2:17" x14ac:dyDescent="0.2">
      <c r="B68" s="57" t="s">
        <v>76</v>
      </c>
      <c r="C68" s="56"/>
      <c r="D68" s="127"/>
      <c r="E68" s="122"/>
      <c r="F68" s="128"/>
      <c r="G68" s="56"/>
      <c r="H68" s="127"/>
      <c r="I68" s="122"/>
      <c r="J68" s="128"/>
      <c r="K68" s="56"/>
      <c r="L68" s="127"/>
      <c r="M68" s="122"/>
      <c r="N68" s="128"/>
      <c r="O68" s="56"/>
      <c r="P68" s="110"/>
      <c r="Q68" s="56"/>
    </row>
    <row r="69" spans="2:17" x14ac:dyDescent="0.2">
      <c r="B69" s="57" t="s">
        <v>77</v>
      </c>
      <c r="C69" s="56"/>
      <c r="D69" s="127"/>
      <c r="E69" s="122"/>
      <c r="F69" s="128"/>
      <c r="G69" s="56"/>
      <c r="H69" s="127"/>
      <c r="I69" s="122"/>
      <c r="J69" s="128"/>
      <c r="K69" s="56"/>
      <c r="L69" s="127"/>
      <c r="M69" s="122"/>
      <c r="N69" s="128"/>
      <c r="O69" s="56"/>
      <c r="P69" s="110"/>
      <c r="Q69" s="56"/>
    </row>
    <row r="70" spans="2:17" x14ac:dyDescent="0.2">
      <c r="B70" s="56"/>
      <c r="C70" s="56"/>
      <c r="D70" s="56"/>
      <c r="E70" s="56"/>
      <c r="F70" s="56"/>
      <c r="G70" s="56"/>
      <c r="H70" s="56"/>
      <c r="I70" s="56"/>
      <c r="J70" s="56"/>
      <c r="K70" s="56"/>
      <c r="L70" s="56"/>
      <c r="M70" s="56"/>
      <c r="N70" s="56"/>
      <c r="O70" s="56"/>
      <c r="P70" s="56"/>
      <c r="Q70" s="56"/>
    </row>
    <row r="71" spans="2:17" ht="13.5" thickBot="1" x14ac:dyDescent="0.25">
      <c r="B71" s="104" t="s">
        <v>5</v>
      </c>
      <c r="C71" s="56"/>
      <c r="D71" s="111">
        <f>SUM(D58:D69)</f>
        <v>0</v>
      </c>
      <c r="E71" s="112">
        <f>IF(D71&lt;&gt;0,F71/D71,0)</f>
        <v>0</v>
      </c>
      <c r="F71" s="113">
        <f>SUM(F58:F69)</f>
        <v>0</v>
      </c>
      <c r="G71" s="56"/>
      <c r="H71" s="111">
        <f>SUM(H58:H69)</f>
        <v>0</v>
      </c>
      <c r="I71" s="112">
        <f>IF(H71&lt;&gt;0,J71/H71,0)</f>
        <v>0</v>
      </c>
      <c r="J71" s="113">
        <f>SUM(J58:J69)</f>
        <v>0</v>
      </c>
      <c r="K71" s="56"/>
      <c r="L71" s="111">
        <f>SUM(L58:L69)</f>
        <v>0</v>
      </c>
      <c r="M71" s="112">
        <f>IF(L71&lt;&gt;0,N71/L71,0)</f>
        <v>0</v>
      </c>
      <c r="N71" s="113">
        <f>SUM(N58:N69)</f>
        <v>0</v>
      </c>
      <c r="O71" s="56"/>
      <c r="P71" s="113">
        <f>SUM(P58:P69)</f>
        <v>0</v>
      </c>
      <c r="Q71" s="56"/>
    </row>
    <row r="72" spans="2:17" x14ac:dyDescent="0.2">
      <c r="B72" s="56"/>
      <c r="C72" s="56"/>
      <c r="D72" s="56"/>
      <c r="E72" s="56"/>
      <c r="F72" s="56"/>
      <c r="G72" s="56"/>
      <c r="H72" s="56"/>
      <c r="I72" s="56"/>
      <c r="J72" s="56"/>
      <c r="K72" s="56"/>
      <c r="L72" s="56"/>
      <c r="M72" s="56"/>
      <c r="N72" s="56"/>
      <c r="O72" s="56"/>
      <c r="P72" s="56"/>
      <c r="Q72" s="56"/>
    </row>
    <row r="73" spans="2:17" x14ac:dyDescent="0.2">
      <c r="B73" s="101" t="e">
        <f>#REF!</f>
        <v>#REF!</v>
      </c>
      <c r="C73" s="102"/>
      <c r="D73" s="267" t="s">
        <v>2</v>
      </c>
      <c r="E73" s="267"/>
      <c r="F73" s="267"/>
      <c r="G73" s="102"/>
      <c r="H73" s="267" t="s">
        <v>3</v>
      </c>
      <c r="I73" s="267"/>
      <c r="J73" s="267"/>
      <c r="K73" s="102"/>
      <c r="L73" s="267" t="s">
        <v>4</v>
      </c>
      <c r="M73" s="267"/>
      <c r="N73" s="267"/>
      <c r="O73" s="102"/>
      <c r="P73" s="101" t="s">
        <v>62</v>
      </c>
      <c r="Q73" s="56"/>
    </row>
    <row r="74" spans="2:17" x14ac:dyDescent="0.2">
      <c r="B74" s="104"/>
      <c r="C74" s="56"/>
      <c r="D74" s="120"/>
      <c r="E74" s="120"/>
      <c r="F74" s="120"/>
      <c r="G74" s="56"/>
      <c r="H74" s="120"/>
      <c r="I74" s="120"/>
      <c r="J74" s="120"/>
      <c r="K74" s="56"/>
      <c r="L74" s="120"/>
      <c r="M74" s="120"/>
      <c r="N74" s="120"/>
      <c r="O74" s="56"/>
      <c r="P74" s="120"/>
      <c r="Q74" s="56"/>
    </row>
    <row r="75" spans="2:17" x14ac:dyDescent="0.2">
      <c r="B75" s="104" t="s">
        <v>63</v>
      </c>
      <c r="C75" s="56"/>
      <c r="D75" s="120" t="s">
        <v>64</v>
      </c>
      <c r="E75" s="120" t="s">
        <v>23</v>
      </c>
      <c r="F75" s="120" t="s">
        <v>65</v>
      </c>
      <c r="G75" s="56"/>
      <c r="H75" s="120" t="s">
        <v>64</v>
      </c>
      <c r="I75" s="120" t="s">
        <v>23</v>
      </c>
      <c r="J75" s="120" t="s">
        <v>65</v>
      </c>
      <c r="K75" s="56"/>
      <c r="L75" s="120" t="s">
        <v>64</v>
      </c>
      <c r="M75" s="120" t="s">
        <v>23</v>
      </c>
      <c r="N75" s="120" t="s">
        <v>65</v>
      </c>
      <c r="O75" s="56"/>
      <c r="P75" s="120" t="s">
        <v>65</v>
      </c>
      <c r="Q75" s="56"/>
    </row>
    <row r="76" spans="2:17" x14ac:dyDescent="0.2">
      <c r="B76" s="56"/>
      <c r="C76" s="56"/>
      <c r="D76" s="56"/>
      <c r="E76" s="56"/>
      <c r="F76" s="56"/>
      <c r="G76" s="56"/>
      <c r="H76" s="56"/>
      <c r="I76" s="56"/>
      <c r="J76" s="56"/>
      <c r="K76" s="56"/>
      <c r="L76" s="56"/>
      <c r="M76" s="56"/>
      <c r="N76" s="56"/>
      <c r="O76" s="56"/>
      <c r="P76" s="56"/>
      <c r="Q76" s="56"/>
    </row>
    <row r="77" spans="2:17" x14ac:dyDescent="0.2">
      <c r="B77" s="57" t="s">
        <v>66</v>
      </c>
      <c r="C77" s="56"/>
      <c r="D77" s="127"/>
      <c r="E77" s="122"/>
      <c r="F77" s="128"/>
      <c r="G77" s="56"/>
      <c r="H77" s="127"/>
      <c r="I77" s="122"/>
      <c r="J77" s="128"/>
      <c r="K77" s="56"/>
      <c r="L77" s="127"/>
      <c r="M77" s="122"/>
      <c r="N77" s="128"/>
      <c r="O77" s="56"/>
      <c r="P77" s="110"/>
      <c r="Q77" s="56"/>
    </row>
    <row r="78" spans="2:17" x14ac:dyDescent="0.2">
      <c r="B78" s="57" t="s">
        <v>67</v>
      </c>
      <c r="C78" s="56"/>
      <c r="D78" s="127"/>
      <c r="E78" s="122"/>
      <c r="F78" s="128"/>
      <c r="G78" s="56"/>
      <c r="H78" s="127"/>
      <c r="I78" s="122"/>
      <c r="J78" s="128"/>
      <c r="K78" s="56"/>
      <c r="L78" s="127"/>
      <c r="M78" s="122"/>
      <c r="N78" s="128"/>
      <c r="O78" s="56"/>
      <c r="P78" s="110"/>
      <c r="Q78" s="56"/>
    </row>
    <row r="79" spans="2:17" x14ac:dyDescent="0.2">
      <c r="B79" s="57" t="s">
        <v>68</v>
      </c>
      <c r="C79" s="56"/>
      <c r="D79" s="127"/>
      <c r="E79" s="122"/>
      <c r="F79" s="128"/>
      <c r="G79" s="56"/>
      <c r="H79" s="127"/>
      <c r="I79" s="122"/>
      <c r="J79" s="128"/>
      <c r="K79" s="56"/>
      <c r="L79" s="127"/>
      <c r="M79" s="122"/>
      <c r="N79" s="128"/>
      <c r="O79" s="56"/>
      <c r="P79" s="110"/>
      <c r="Q79" s="56"/>
    </row>
    <row r="80" spans="2:17" x14ac:dyDescent="0.2">
      <c r="B80" s="57" t="s">
        <v>69</v>
      </c>
      <c r="C80" s="56"/>
      <c r="D80" s="127"/>
      <c r="E80" s="122"/>
      <c r="F80" s="128"/>
      <c r="G80" s="56"/>
      <c r="H80" s="127"/>
      <c r="I80" s="122"/>
      <c r="J80" s="128"/>
      <c r="K80" s="56"/>
      <c r="L80" s="127"/>
      <c r="M80" s="122"/>
      <c r="N80" s="128"/>
      <c r="O80" s="56"/>
      <c r="P80" s="110"/>
      <c r="Q80" s="56"/>
    </row>
    <row r="81" spans="2:17" x14ac:dyDescent="0.2">
      <c r="B81" s="57" t="s">
        <v>70</v>
      </c>
      <c r="C81" s="56"/>
      <c r="D81" s="127"/>
      <c r="E81" s="122"/>
      <c r="F81" s="128"/>
      <c r="G81" s="56"/>
      <c r="H81" s="127"/>
      <c r="I81" s="122"/>
      <c r="J81" s="128"/>
      <c r="K81" s="56"/>
      <c r="L81" s="127"/>
      <c r="M81" s="122"/>
      <c r="N81" s="128"/>
      <c r="O81" s="56"/>
      <c r="P81" s="110"/>
      <c r="Q81" s="56"/>
    </row>
    <row r="82" spans="2:17" x14ac:dyDescent="0.2">
      <c r="B82" s="57" t="s">
        <v>71</v>
      </c>
      <c r="C82" s="56"/>
      <c r="D82" s="127"/>
      <c r="E82" s="122"/>
      <c r="F82" s="128"/>
      <c r="G82" s="56"/>
      <c r="H82" s="127"/>
      <c r="I82" s="122"/>
      <c r="J82" s="128"/>
      <c r="K82" s="56"/>
      <c r="L82" s="127"/>
      <c r="M82" s="122"/>
      <c r="N82" s="128"/>
      <c r="O82" s="56"/>
      <c r="P82" s="110"/>
      <c r="Q82" s="56"/>
    </row>
    <row r="83" spans="2:17" x14ac:dyDescent="0.2">
      <c r="B83" s="57" t="s">
        <v>72</v>
      </c>
      <c r="C83" s="56"/>
      <c r="D83" s="127"/>
      <c r="E83" s="122"/>
      <c r="F83" s="128"/>
      <c r="G83" s="56"/>
      <c r="H83" s="127"/>
      <c r="I83" s="122"/>
      <c r="J83" s="128"/>
      <c r="K83" s="56"/>
      <c r="L83" s="127"/>
      <c r="M83" s="122"/>
      <c r="N83" s="128"/>
      <c r="O83" s="56"/>
      <c r="P83" s="110"/>
      <c r="Q83" s="56"/>
    </row>
    <row r="84" spans="2:17" x14ac:dyDescent="0.2">
      <c r="B84" s="57" t="s">
        <v>73</v>
      </c>
      <c r="C84" s="56"/>
      <c r="D84" s="127"/>
      <c r="E84" s="122"/>
      <c r="F84" s="128"/>
      <c r="G84" s="56"/>
      <c r="H84" s="127"/>
      <c r="I84" s="122"/>
      <c r="J84" s="128"/>
      <c r="K84" s="56"/>
      <c r="L84" s="127"/>
      <c r="M84" s="122"/>
      <c r="N84" s="128"/>
      <c r="O84" s="56"/>
      <c r="P84" s="110"/>
      <c r="Q84" s="56"/>
    </row>
    <row r="85" spans="2:17" x14ac:dyDescent="0.2">
      <c r="B85" s="57" t="s">
        <v>74</v>
      </c>
      <c r="C85" s="56"/>
      <c r="D85" s="127"/>
      <c r="E85" s="122"/>
      <c r="F85" s="128"/>
      <c r="G85" s="56"/>
      <c r="H85" s="127"/>
      <c r="I85" s="122"/>
      <c r="J85" s="128"/>
      <c r="K85" s="56"/>
      <c r="L85" s="127"/>
      <c r="M85" s="122"/>
      <c r="N85" s="128"/>
      <c r="O85" s="56"/>
      <c r="P85" s="110"/>
      <c r="Q85" s="56"/>
    </row>
    <row r="86" spans="2:17" x14ac:dyDescent="0.2">
      <c r="B86" s="57" t="s">
        <v>75</v>
      </c>
      <c r="C86" s="56"/>
      <c r="D86" s="127"/>
      <c r="E86" s="122"/>
      <c r="F86" s="128"/>
      <c r="G86" s="56"/>
      <c r="H86" s="127"/>
      <c r="I86" s="122"/>
      <c r="J86" s="128"/>
      <c r="K86" s="56"/>
      <c r="L86" s="127"/>
      <c r="M86" s="122"/>
      <c r="N86" s="128"/>
      <c r="O86" s="56"/>
      <c r="P86" s="110"/>
      <c r="Q86" s="56"/>
    </row>
    <row r="87" spans="2:17" x14ac:dyDescent="0.2">
      <c r="B87" s="57" t="s">
        <v>76</v>
      </c>
      <c r="C87" s="56"/>
      <c r="D87" s="127"/>
      <c r="E87" s="122"/>
      <c r="F87" s="128"/>
      <c r="G87" s="56"/>
      <c r="H87" s="127"/>
      <c r="I87" s="122"/>
      <c r="J87" s="128"/>
      <c r="K87" s="56"/>
      <c r="L87" s="127"/>
      <c r="M87" s="122"/>
      <c r="N87" s="128"/>
      <c r="O87" s="56"/>
      <c r="P87" s="110"/>
      <c r="Q87" s="56"/>
    </row>
    <row r="88" spans="2:17" x14ac:dyDescent="0.2">
      <c r="B88" s="57" t="s">
        <v>77</v>
      </c>
      <c r="C88" s="56"/>
      <c r="D88" s="127"/>
      <c r="E88" s="122"/>
      <c r="F88" s="128"/>
      <c r="G88" s="56"/>
      <c r="H88" s="127"/>
      <c r="I88" s="122"/>
      <c r="J88" s="128"/>
      <c r="K88" s="56"/>
      <c r="L88" s="127"/>
      <c r="M88" s="122"/>
      <c r="N88" s="128"/>
      <c r="O88" s="56"/>
      <c r="P88" s="110"/>
      <c r="Q88" s="56"/>
    </row>
    <row r="89" spans="2:17" x14ac:dyDescent="0.2">
      <c r="B89" s="56"/>
      <c r="C89" s="56"/>
      <c r="D89" s="56"/>
      <c r="E89" s="56"/>
      <c r="F89" s="56"/>
      <c r="G89" s="56"/>
      <c r="H89" s="56"/>
      <c r="I89" s="56"/>
      <c r="J89" s="56"/>
      <c r="K89" s="56"/>
      <c r="L89" s="56"/>
      <c r="M89" s="56"/>
      <c r="N89" s="56"/>
      <c r="O89" s="56"/>
      <c r="P89" s="56"/>
      <c r="Q89" s="56"/>
    </row>
    <row r="90" spans="2:17" ht="13.5" thickBot="1" x14ac:dyDescent="0.25">
      <c r="B90" s="104" t="s">
        <v>5</v>
      </c>
      <c r="C90" s="56"/>
      <c r="D90" s="111">
        <f>SUM(D77:D88)</f>
        <v>0</v>
      </c>
      <c r="E90" s="112">
        <f>IF(D90&lt;&gt;0,F90/D90,0)</f>
        <v>0</v>
      </c>
      <c r="F90" s="113">
        <f>SUM(F77:F88)</f>
        <v>0</v>
      </c>
      <c r="G90" s="56"/>
      <c r="H90" s="111">
        <f>SUM(H77:H88)</f>
        <v>0</v>
      </c>
      <c r="I90" s="112">
        <f>IF(H90&lt;&gt;0,J90/H90,0)</f>
        <v>0</v>
      </c>
      <c r="J90" s="113">
        <f>SUM(J77:J88)</f>
        <v>0</v>
      </c>
      <c r="K90" s="56"/>
      <c r="L90" s="111">
        <f>SUM(L77:L88)</f>
        <v>0</v>
      </c>
      <c r="M90" s="112">
        <f>IF(L90&lt;&gt;0,N90/L90,0)</f>
        <v>0</v>
      </c>
      <c r="N90" s="113">
        <f>SUM(N77:N88)</f>
        <v>0</v>
      </c>
      <c r="O90" s="56"/>
      <c r="P90" s="113">
        <f>SUM(P77:P88)</f>
        <v>0</v>
      </c>
      <c r="Q90" s="56"/>
    </row>
    <row r="91" spans="2:17" x14ac:dyDescent="0.2">
      <c r="B91" s="56"/>
      <c r="C91" s="56"/>
      <c r="D91" s="56"/>
      <c r="E91" s="56"/>
      <c r="F91" s="56"/>
      <c r="G91" s="56"/>
      <c r="H91" s="56"/>
      <c r="I91" s="56"/>
      <c r="J91" s="56"/>
      <c r="K91" s="56"/>
      <c r="L91" s="56"/>
      <c r="M91" s="56"/>
      <c r="N91" s="56"/>
      <c r="O91" s="56"/>
      <c r="P91" s="56"/>
      <c r="Q91" s="56"/>
    </row>
    <row r="92" spans="2:17" x14ac:dyDescent="0.2">
      <c r="B92" s="101" t="s">
        <v>5</v>
      </c>
      <c r="C92" s="102"/>
      <c r="D92" s="267" t="s">
        <v>2</v>
      </c>
      <c r="E92" s="267"/>
      <c r="F92" s="267"/>
      <c r="G92" s="102"/>
      <c r="H92" s="267" t="s">
        <v>3</v>
      </c>
      <c r="I92" s="267"/>
      <c r="J92" s="267"/>
      <c r="K92" s="102"/>
      <c r="L92" s="267" t="s">
        <v>4</v>
      </c>
      <c r="M92" s="267"/>
      <c r="N92" s="267"/>
      <c r="O92" s="102"/>
      <c r="P92" s="101" t="s">
        <v>62</v>
      </c>
      <c r="Q92" s="56"/>
    </row>
    <row r="93" spans="2:17" x14ac:dyDescent="0.2">
      <c r="B93" s="56"/>
      <c r="C93" s="56"/>
      <c r="D93" s="268"/>
      <c r="E93" s="268"/>
      <c r="F93" s="268"/>
      <c r="G93" s="56"/>
      <c r="H93" s="268"/>
      <c r="I93" s="268"/>
      <c r="J93" s="268"/>
      <c r="K93" s="56"/>
      <c r="L93" s="268"/>
      <c r="M93" s="268"/>
      <c r="N93" s="268"/>
      <c r="O93" s="56"/>
      <c r="P93" s="120"/>
      <c r="Q93" s="56"/>
    </row>
    <row r="94" spans="2:17" x14ac:dyDescent="0.2">
      <c r="B94" s="104" t="s">
        <v>63</v>
      </c>
      <c r="C94" s="56"/>
      <c r="D94" s="120" t="s">
        <v>64</v>
      </c>
      <c r="E94" s="120" t="s">
        <v>23</v>
      </c>
      <c r="F94" s="120" t="s">
        <v>65</v>
      </c>
      <c r="G94" s="56"/>
      <c r="H94" s="120" t="s">
        <v>64</v>
      </c>
      <c r="I94" s="120" t="s">
        <v>23</v>
      </c>
      <c r="J94" s="120" t="s">
        <v>65</v>
      </c>
      <c r="K94" s="56"/>
      <c r="L94" s="120" t="s">
        <v>64</v>
      </c>
      <c r="M94" s="120" t="s">
        <v>23</v>
      </c>
      <c r="N94" s="120" t="s">
        <v>65</v>
      </c>
      <c r="O94" s="56"/>
      <c r="P94" s="120" t="s">
        <v>65</v>
      </c>
      <c r="Q94" s="56"/>
    </row>
    <row r="95" spans="2:17" x14ac:dyDescent="0.2">
      <c r="B95" s="56"/>
      <c r="C95" s="56"/>
      <c r="D95" s="56"/>
      <c r="E95" s="56"/>
      <c r="F95" s="56"/>
      <c r="G95" s="56"/>
      <c r="H95" s="56"/>
      <c r="I95" s="56"/>
      <c r="J95" s="56"/>
      <c r="K95" s="56"/>
      <c r="L95" s="56"/>
      <c r="M95" s="56"/>
      <c r="N95" s="56"/>
      <c r="O95" s="56"/>
      <c r="P95" s="56"/>
      <c r="Q95" s="56"/>
    </row>
    <row r="96" spans="2:17" x14ac:dyDescent="0.2">
      <c r="B96" s="57" t="s">
        <v>66</v>
      </c>
      <c r="C96" s="56"/>
      <c r="D96" s="121">
        <f>D20+D39+D58+D77</f>
        <v>682641.26150479936</v>
      </c>
      <c r="E96" s="122">
        <f t="shared" ref="E96:E107" si="14">IF(D96&lt;&gt;0,F96/D96,0)</f>
        <v>7.4051337439484648</v>
      </c>
      <c r="F96" s="110">
        <f>F20+F39+F58+F77</f>
        <v>5055049.8405807381</v>
      </c>
      <c r="G96" s="56"/>
      <c r="H96" s="121">
        <f>H20+H39+H58+H77</f>
        <v>478055.1778432487</v>
      </c>
      <c r="I96" s="122">
        <f t="shared" ref="I96:I107" si="15">IF(H96&lt;&gt;0,J96/H96,0)</f>
        <v>1.0363111810431669</v>
      </c>
      <c r="J96" s="110">
        <f>J20+J39+J58+J77</f>
        <v>495413.92595453828</v>
      </c>
      <c r="K96" s="56"/>
      <c r="L96" s="121">
        <f>L20+L39+L58+L77</f>
        <v>723715.04984571924</v>
      </c>
      <c r="M96" s="122">
        <f t="shared" ref="M96:M107" si="16">IF(L96&lt;&gt;0,N96/L96,0)</f>
        <v>4.3815683139160857</v>
      </c>
      <c r="N96" s="110">
        <f>N20+N39+N58+N77</f>
        <v>3171006.9307082039</v>
      </c>
      <c r="O96" s="56"/>
      <c r="P96" s="110">
        <f t="shared" ref="P96:P107" si="17">J96+N96</f>
        <v>3666420.8566627423</v>
      </c>
      <c r="Q96" s="56"/>
    </row>
    <row r="97" spans="2:17" x14ac:dyDescent="0.2">
      <c r="B97" s="57" t="s">
        <v>67</v>
      </c>
      <c r="C97" s="56"/>
      <c r="D97" s="121">
        <f t="shared" ref="D97:D107" si="18">D21+D40+D59+D78</f>
        <v>675927.33383834362</v>
      </c>
      <c r="E97" s="122">
        <f t="shared" si="14"/>
        <v>7.39880331697701</v>
      </c>
      <c r="F97" s="110">
        <f t="shared" ref="F97:F107" si="19">F21+F40+F59+F78</f>
        <v>5001053.3996385634</v>
      </c>
      <c r="G97" s="56"/>
      <c r="H97" s="121">
        <f t="shared" ref="H97:H107" si="20">H21+H40+H59+H78</f>
        <v>463484.95921044506</v>
      </c>
      <c r="I97" s="122">
        <f t="shared" si="15"/>
        <v>1.0493865539594944</v>
      </c>
      <c r="J97" s="110">
        <f t="shared" ref="J97:J107" si="21">J21+J40+J59+J78</f>
        <v>486374.88415790582</v>
      </c>
      <c r="K97" s="56"/>
      <c r="L97" s="121">
        <f t="shared" ref="L97:L107" si="22">L21+L40+L59+L78</f>
        <v>699976.29059081431</v>
      </c>
      <c r="M97" s="122">
        <f t="shared" si="16"/>
        <v>4.3807780812145731</v>
      </c>
      <c r="N97" s="110">
        <f t="shared" ref="N97:N107" si="23">N21+N40+N59+N78</f>
        <v>3066440.7911901223</v>
      </c>
      <c r="O97" s="56"/>
      <c r="P97" s="110">
        <f t="shared" si="17"/>
        <v>3552815.6753480281</v>
      </c>
      <c r="Q97" s="56"/>
    </row>
    <row r="98" spans="2:17" x14ac:dyDescent="0.2">
      <c r="B98" s="57" t="s">
        <v>68</v>
      </c>
      <c r="C98" s="56"/>
      <c r="D98" s="121">
        <f t="shared" si="18"/>
        <v>619568.15192340151</v>
      </c>
      <c r="E98" s="122">
        <f t="shared" si="14"/>
        <v>7.4495205810616536</v>
      </c>
      <c r="F98" s="110">
        <f t="shared" si="19"/>
        <v>4615485.6991237132</v>
      </c>
      <c r="G98" s="56"/>
      <c r="H98" s="121">
        <f t="shared" si="20"/>
        <v>417938.72814895457</v>
      </c>
      <c r="I98" s="122">
        <f t="shared" si="15"/>
        <v>1.0596663915944897</v>
      </c>
      <c r="J98" s="110">
        <f t="shared" si="21"/>
        <v>442875.62396519305</v>
      </c>
      <c r="K98" s="56"/>
      <c r="L98" s="121">
        <f t="shared" si="22"/>
        <v>634490.6177297649</v>
      </c>
      <c r="M98" s="122">
        <f t="shared" si="16"/>
        <v>4.3773059788146558</v>
      </c>
      <c r="N98" s="110">
        <f t="shared" si="23"/>
        <v>2777359.5744903041</v>
      </c>
      <c r="O98" s="56"/>
      <c r="P98" s="110">
        <f t="shared" si="17"/>
        <v>3220235.1984554972</v>
      </c>
      <c r="Q98" s="56"/>
    </row>
    <row r="99" spans="2:17" x14ac:dyDescent="0.2">
      <c r="B99" s="57" t="s">
        <v>69</v>
      </c>
      <c r="C99" s="56"/>
      <c r="D99" s="121">
        <f t="shared" si="18"/>
        <v>577907.86324619234</v>
      </c>
      <c r="E99" s="122">
        <f t="shared" si="14"/>
        <v>7.4816437653730414</v>
      </c>
      <c r="F99" s="110">
        <f t="shared" si="19"/>
        <v>4323700.7620159313</v>
      </c>
      <c r="G99" s="56"/>
      <c r="H99" s="121">
        <f t="shared" si="20"/>
        <v>389563.8003370869</v>
      </c>
      <c r="I99" s="122">
        <f t="shared" si="15"/>
        <v>1.0642250741215165</v>
      </c>
      <c r="J99" s="110">
        <f t="shared" si="21"/>
        <v>414583.56428879598</v>
      </c>
      <c r="K99" s="56"/>
      <c r="L99" s="121">
        <f t="shared" si="22"/>
        <v>585443.07549093117</v>
      </c>
      <c r="M99" s="122">
        <f t="shared" si="16"/>
        <v>4.3748941967964194</v>
      </c>
      <c r="N99" s="110">
        <f t="shared" si="23"/>
        <v>2561251.5135199227</v>
      </c>
      <c r="O99" s="56"/>
      <c r="P99" s="110">
        <f t="shared" si="17"/>
        <v>2975835.0778087187</v>
      </c>
      <c r="Q99" s="56"/>
    </row>
    <row r="100" spans="2:17" x14ac:dyDescent="0.2">
      <c r="B100" s="57" t="s">
        <v>70</v>
      </c>
      <c r="C100" s="56"/>
      <c r="D100" s="121">
        <f t="shared" si="18"/>
        <v>695603.60815965652</v>
      </c>
      <c r="E100" s="122">
        <f t="shared" si="14"/>
        <v>7.497368013384051</v>
      </c>
      <c r="F100" s="110">
        <f t="shared" si="19"/>
        <v>5215196.2418107418</v>
      </c>
      <c r="G100" s="56"/>
      <c r="H100" s="121">
        <f t="shared" si="20"/>
        <v>470163.69402430067</v>
      </c>
      <c r="I100" s="122">
        <f t="shared" si="15"/>
        <v>1.0835837432345352</v>
      </c>
      <c r="J100" s="110">
        <f t="shared" si="21"/>
        <v>509461.73550382839</v>
      </c>
      <c r="K100" s="56"/>
      <c r="L100" s="121">
        <f t="shared" si="22"/>
        <v>711008.872224577</v>
      </c>
      <c r="M100" s="122">
        <f t="shared" si="16"/>
        <v>4.3723257525733166</v>
      </c>
      <c r="N100" s="110">
        <f t="shared" si="23"/>
        <v>3108762.4023356289</v>
      </c>
      <c r="O100" s="56"/>
      <c r="P100" s="110">
        <f t="shared" si="17"/>
        <v>3618224.137839457</v>
      </c>
      <c r="Q100" s="56"/>
    </row>
    <row r="101" spans="2:17" x14ac:dyDescent="0.2">
      <c r="B101" s="57" t="s">
        <v>71</v>
      </c>
      <c r="C101" s="56"/>
      <c r="D101" s="121">
        <f t="shared" si="18"/>
        <v>834872.07604299649</v>
      </c>
      <c r="E101" s="122">
        <f t="shared" si="14"/>
        <v>7.456508016414312</v>
      </c>
      <c r="F101" s="110">
        <f t="shared" si="19"/>
        <v>6225230.3276950624</v>
      </c>
      <c r="G101" s="56"/>
      <c r="H101" s="121">
        <f t="shared" si="20"/>
        <v>611938.47838013433</v>
      </c>
      <c r="I101" s="122">
        <f t="shared" si="15"/>
        <v>1.0750868251217334</v>
      </c>
      <c r="J101" s="110">
        <f t="shared" si="21"/>
        <v>657886.99589152308</v>
      </c>
      <c r="K101" s="56"/>
      <c r="L101" s="121">
        <f t="shared" si="22"/>
        <v>877170.09650288557</v>
      </c>
      <c r="M101" s="122">
        <f t="shared" si="16"/>
        <v>4.3748178929919375</v>
      </c>
      <c r="N101" s="110">
        <f t="shared" si="23"/>
        <v>3837459.4333782885</v>
      </c>
      <c r="O101" s="56"/>
      <c r="P101" s="110">
        <f t="shared" si="17"/>
        <v>4495346.4292698111</v>
      </c>
      <c r="Q101" s="56"/>
    </row>
    <row r="102" spans="2:17" x14ac:dyDescent="0.2">
      <c r="B102" s="57" t="s">
        <v>72</v>
      </c>
      <c r="C102" s="56"/>
      <c r="D102" s="121">
        <f t="shared" si="18"/>
        <v>861796.74440088612</v>
      </c>
      <c r="E102" s="122">
        <f t="shared" si="14"/>
        <v>7.5014314208790811</v>
      </c>
      <c r="F102" s="110">
        <f t="shared" si="19"/>
        <v>6464709.1768601052</v>
      </c>
      <c r="G102" s="56"/>
      <c r="H102" s="121">
        <f t="shared" si="20"/>
        <v>602832.65231830033</v>
      </c>
      <c r="I102" s="122">
        <f t="shared" si="15"/>
        <v>1.0874443355057275</v>
      </c>
      <c r="J102" s="110">
        <f t="shared" si="21"/>
        <v>655546.95302142936</v>
      </c>
      <c r="K102" s="56"/>
      <c r="L102" s="121">
        <f t="shared" si="22"/>
        <v>876130.49113981077</v>
      </c>
      <c r="M102" s="122">
        <f t="shared" si="16"/>
        <v>4.3719252992034212</v>
      </c>
      <c r="N102" s="110">
        <f t="shared" si="23"/>
        <v>3830377.0596176572</v>
      </c>
      <c r="O102" s="56"/>
      <c r="P102" s="110">
        <f t="shared" si="17"/>
        <v>4485924.0126390867</v>
      </c>
      <c r="Q102" s="56"/>
    </row>
    <row r="103" spans="2:17" x14ac:dyDescent="0.2">
      <c r="B103" s="57" t="s">
        <v>73</v>
      </c>
      <c r="C103" s="56"/>
      <c r="D103" s="121">
        <f t="shared" si="18"/>
        <v>879480.58634788322</v>
      </c>
      <c r="E103" s="122">
        <f t="shared" si="14"/>
        <v>7.4638937185640319</v>
      </c>
      <c r="F103" s="110">
        <f t="shared" si="19"/>
        <v>6564349.6240409771</v>
      </c>
      <c r="G103" s="56"/>
      <c r="H103" s="121">
        <f t="shared" si="20"/>
        <v>585746.08571578271</v>
      </c>
      <c r="I103" s="122">
        <f t="shared" si="15"/>
        <v>1.0870263602628658</v>
      </c>
      <c r="J103" s="110">
        <f t="shared" si="21"/>
        <v>636721.43559384788</v>
      </c>
      <c r="K103" s="56"/>
      <c r="L103" s="121">
        <f t="shared" si="22"/>
        <v>902911.47305222531</v>
      </c>
      <c r="M103" s="122">
        <f t="shared" si="16"/>
        <v>4.3754131110203343</v>
      </c>
      <c r="N103" s="110">
        <f t="shared" si="23"/>
        <v>3950610.69728339</v>
      </c>
      <c r="O103" s="56"/>
      <c r="P103" s="110">
        <f t="shared" si="17"/>
        <v>4587332.1328772381</v>
      </c>
      <c r="Q103" s="56"/>
    </row>
    <row r="104" spans="2:17" x14ac:dyDescent="0.2">
      <c r="B104" s="57" t="s">
        <v>74</v>
      </c>
      <c r="C104" s="56"/>
      <c r="D104" s="121">
        <f t="shared" si="18"/>
        <v>751426.81307901407</v>
      </c>
      <c r="E104" s="122">
        <f t="shared" si="14"/>
        <v>7.4771533261048431</v>
      </c>
      <c r="F104" s="110">
        <f t="shared" si="19"/>
        <v>5618533.4947381122</v>
      </c>
      <c r="G104" s="56"/>
      <c r="H104" s="121">
        <f t="shared" si="20"/>
        <v>490213.91895845288</v>
      </c>
      <c r="I104" s="122">
        <f t="shared" si="15"/>
        <v>1.0816392331575173</v>
      </c>
      <c r="J104" s="110">
        <f t="shared" si="21"/>
        <v>530234.60738536227</v>
      </c>
      <c r="K104" s="56"/>
      <c r="L104" s="121">
        <f t="shared" si="22"/>
        <v>754246.85577574256</v>
      </c>
      <c r="M104" s="122">
        <f t="shared" si="16"/>
        <v>4.3750252036065094</v>
      </c>
      <c r="N104" s="110">
        <f t="shared" si="23"/>
        <v>3299849.0037598377</v>
      </c>
      <c r="O104" s="56"/>
      <c r="P104" s="110">
        <f t="shared" si="17"/>
        <v>3830083.6111452002</v>
      </c>
      <c r="Q104" s="56"/>
    </row>
    <row r="105" spans="2:17" x14ac:dyDescent="0.2">
      <c r="B105" s="57" t="s">
        <v>75</v>
      </c>
      <c r="C105" s="56"/>
      <c r="D105" s="121">
        <f t="shared" si="18"/>
        <v>622556.12188359303</v>
      </c>
      <c r="E105" s="122">
        <f t="shared" si="14"/>
        <v>7.4683289946632696</v>
      </c>
      <c r="F105" s="110">
        <f t="shared" si="19"/>
        <v>4649453.9358683582</v>
      </c>
      <c r="G105" s="56"/>
      <c r="H105" s="121">
        <f t="shared" si="20"/>
        <v>467306.93604774692</v>
      </c>
      <c r="I105" s="122">
        <f t="shared" si="15"/>
        <v>1.1013574312106318</v>
      </c>
      <c r="J105" s="110">
        <f t="shared" si="21"/>
        <v>514671.96667245758</v>
      </c>
      <c r="K105" s="56"/>
      <c r="L105" s="121">
        <f t="shared" si="22"/>
        <v>642926.8000459983</v>
      </c>
      <c r="M105" s="122">
        <f t="shared" si="16"/>
        <v>4.374718025541096</v>
      </c>
      <c r="N105" s="110">
        <f t="shared" si="23"/>
        <v>2812623.4612646848</v>
      </c>
      <c r="O105" s="56"/>
      <c r="P105" s="110">
        <f t="shared" si="17"/>
        <v>3327295.4279371426</v>
      </c>
      <c r="Q105" s="56"/>
    </row>
    <row r="106" spans="2:17" x14ac:dyDescent="0.2">
      <c r="B106" s="57" t="s">
        <v>76</v>
      </c>
      <c r="C106" s="56"/>
      <c r="D106" s="121">
        <f t="shared" si="18"/>
        <v>631714.24155034707</v>
      </c>
      <c r="E106" s="122">
        <f t="shared" si="14"/>
        <v>7.4291356715140724</v>
      </c>
      <c r="F106" s="110">
        <f t="shared" si="19"/>
        <v>4693090.8061051406</v>
      </c>
      <c r="G106" s="56"/>
      <c r="H106" s="121">
        <f t="shared" si="20"/>
        <v>427594.49269015127</v>
      </c>
      <c r="I106" s="122">
        <f t="shared" si="15"/>
        <v>1.0637821360484607</v>
      </c>
      <c r="J106" s="110">
        <f t="shared" si="21"/>
        <v>454867.38279648707</v>
      </c>
      <c r="K106" s="56"/>
      <c r="L106" s="121">
        <f t="shared" si="22"/>
        <v>614363.9645885576</v>
      </c>
      <c r="M106" s="122">
        <f t="shared" si="16"/>
        <v>4.3820596739577846</v>
      </c>
      <c r="N106" s="110">
        <f t="shared" si="23"/>
        <v>2692179.5543563468</v>
      </c>
      <c r="O106" s="56"/>
      <c r="P106" s="110">
        <f t="shared" si="17"/>
        <v>3147046.9371528337</v>
      </c>
      <c r="Q106" s="56"/>
    </row>
    <row r="107" spans="2:17" x14ac:dyDescent="0.2">
      <c r="B107" s="57" t="s">
        <v>77</v>
      </c>
      <c r="C107" s="56"/>
      <c r="D107" s="121">
        <f t="shared" si="18"/>
        <v>671093.46217381675</v>
      </c>
      <c r="E107" s="122">
        <f t="shared" si="14"/>
        <v>7.4473381328917121</v>
      </c>
      <c r="F107" s="110">
        <f t="shared" si="19"/>
        <v>4997859.9315813873</v>
      </c>
      <c r="G107" s="56"/>
      <c r="H107" s="121">
        <f t="shared" si="20"/>
        <v>493317.73500889353</v>
      </c>
      <c r="I107" s="122">
        <f t="shared" si="15"/>
        <v>1.0764329927238003</v>
      </c>
      <c r="J107" s="110">
        <f t="shared" si="21"/>
        <v>531023.48585934995</v>
      </c>
      <c r="K107" s="56"/>
      <c r="L107" s="121">
        <f t="shared" si="22"/>
        <v>676978.79997166106</v>
      </c>
      <c r="M107" s="122">
        <f t="shared" si="16"/>
        <v>4.3786823164573887</v>
      </c>
      <c r="N107" s="110">
        <f t="shared" si="23"/>
        <v>2964275.1000524559</v>
      </c>
      <c r="O107" s="56"/>
      <c r="P107" s="110">
        <f t="shared" si="17"/>
        <v>3495298.5859118057</v>
      </c>
      <c r="Q107" s="56"/>
    </row>
    <row r="108" spans="2:17" x14ac:dyDescent="0.2">
      <c r="B108" s="56"/>
      <c r="C108" s="56"/>
      <c r="D108" s="56"/>
      <c r="E108" s="56"/>
      <c r="F108" s="56"/>
      <c r="G108" s="56"/>
      <c r="H108" s="56"/>
      <c r="I108" s="56"/>
      <c r="J108" s="56"/>
      <c r="K108" s="56"/>
      <c r="L108" s="56"/>
      <c r="M108" s="56"/>
      <c r="N108" s="56"/>
      <c r="O108" s="56"/>
      <c r="P108" s="110"/>
      <c r="Q108" s="56"/>
    </row>
    <row r="109" spans="2:17" ht="13.5" thickBot="1" x14ac:dyDescent="0.25">
      <c r="B109" s="104" t="s">
        <v>5</v>
      </c>
      <c r="C109" s="56"/>
      <c r="D109" s="111">
        <f>SUM(D96:D107)</f>
        <v>8504588.2641509287</v>
      </c>
      <c r="E109" s="112">
        <f>IF(D109&lt;&gt;0,F109/D109,0)</f>
        <v>7.4575877479461798</v>
      </c>
      <c r="F109" s="113">
        <f>SUM(F96:F107)</f>
        <v>63423713.240058832</v>
      </c>
      <c r="G109" s="56"/>
      <c r="H109" s="111">
        <f>SUM(H96:H107)</f>
        <v>5898156.6586834984</v>
      </c>
      <c r="I109" s="112">
        <f>IF(H109&lt;&gt;0,J109/H109,0)</f>
        <v>1.073159450889108</v>
      </c>
      <c r="J109" s="113">
        <f>SUM(J96:J107)</f>
        <v>6329662.561090719</v>
      </c>
      <c r="K109" s="56"/>
      <c r="L109" s="111">
        <f>SUM(L96:L107)</f>
        <v>8699362.3869586866</v>
      </c>
      <c r="M109" s="112">
        <f>IF(L109&lt;&gt;0,N109/L109,0)</f>
        <v>4.3764351717352641</v>
      </c>
      <c r="N109" s="113">
        <f>SUM(N96:N107)</f>
        <v>38072195.521956839</v>
      </c>
      <c r="O109" s="56"/>
      <c r="P109" s="113">
        <f>SUM(P96:P107)</f>
        <v>44401858.083047561</v>
      </c>
      <c r="Q109" s="56"/>
    </row>
    <row r="111" spans="2:17" x14ac:dyDescent="0.2">
      <c r="N111" s="124" t="s">
        <v>82</v>
      </c>
      <c r="P111" s="125" t="e">
        <f>#REF!</f>
        <v>#REF!</v>
      </c>
    </row>
    <row r="113" spans="14:16" ht="13.5" thickBot="1" x14ac:dyDescent="0.25">
      <c r="N113" s="126" t="s">
        <v>83</v>
      </c>
      <c r="P113" s="113" t="e">
        <f>P109+P111</f>
        <v>#REF!</v>
      </c>
    </row>
  </sheetData>
  <mergeCells count="22">
    <mergeCell ref="B13:P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F039-1710-4974-AC41-BE08911BD9A6}">
  <dimension ref="A3:M49"/>
  <sheetViews>
    <sheetView workbookViewId="0">
      <selection activeCell="B22" sqref="B22"/>
    </sheetView>
  </sheetViews>
  <sheetFormatPr defaultColWidth="9.28515625" defaultRowHeight="12.75" x14ac:dyDescent="0.2"/>
  <cols>
    <col min="1" max="1" width="56.7109375" style="31" customWidth="1"/>
    <col min="2" max="2" width="79.7109375" style="31" customWidth="1"/>
    <col min="3" max="3" width="9.28515625" style="129"/>
    <col min="4" max="4" width="16.28515625" style="129" customWidth="1"/>
    <col min="5" max="5" width="17.42578125" style="129" customWidth="1"/>
    <col min="6" max="6" width="16.28515625" style="129" customWidth="1"/>
    <col min="7" max="7" width="14.5703125" style="129" customWidth="1"/>
    <col min="8" max="8" width="11.5703125" style="129" customWidth="1"/>
    <col min="9" max="9" width="14.28515625" style="129" customWidth="1"/>
    <col min="10" max="10" width="14.42578125" style="129" customWidth="1"/>
    <col min="11" max="11" width="9.28515625" style="31"/>
    <col min="12" max="12" width="14.28515625" style="31" customWidth="1"/>
    <col min="13" max="13" width="12.140625" style="31" customWidth="1"/>
    <col min="14" max="16384" width="9.28515625" style="31"/>
  </cols>
  <sheetData>
    <row r="3" spans="1:13" x14ac:dyDescent="0.2">
      <c r="D3" s="130"/>
      <c r="E3" s="131"/>
      <c r="F3" s="131"/>
      <c r="G3" s="131"/>
      <c r="H3" s="132"/>
      <c r="I3" s="131"/>
      <c r="J3" s="130"/>
    </row>
    <row r="4" spans="1:13" x14ac:dyDescent="0.2">
      <c r="D4" s="130"/>
      <c r="E4" s="131"/>
      <c r="F4" s="131"/>
      <c r="G4" s="131"/>
      <c r="H4" s="132"/>
      <c r="I4" s="131"/>
      <c r="J4" s="130"/>
    </row>
    <row r="5" spans="1:13" x14ac:dyDescent="0.2">
      <c r="D5" s="130"/>
      <c r="E5" s="131"/>
      <c r="F5" s="131"/>
      <c r="G5" s="131"/>
      <c r="H5" s="132"/>
      <c r="I5" s="131"/>
      <c r="J5" s="130"/>
    </row>
    <row r="6" spans="1:13" x14ac:dyDescent="0.2">
      <c r="D6" s="130"/>
      <c r="E6" s="131"/>
      <c r="F6" s="131"/>
      <c r="G6" s="131"/>
      <c r="H6" s="132"/>
      <c r="I6" s="131"/>
      <c r="J6" s="130"/>
    </row>
    <row r="7" spans="1:13" x14ac:dyDescent="0.2">
      <c r="D7" s="130"/>
      <c r="E7" s="131"/>
      <c r="F7" s="131"/>
      <c r="G7" s="131"/>
      <c r="H7" s="132"/>
      <c r="I7" s="131"/>
      <c r="J7" s="130"/>
    </row>
    <row r="8" spans="1:13" x14ac:dyDescent="0.2">
      <c r="D8" s="130"/>
      <c r="E8" s="131"/>
      <c r="F8" s="131"/>
      <c r="G8" s="131"/>
      <c r="H8" s="132"/>
      <c r="I8" s="131"/>
      <c r="J8" s="130"/>
    </row>
    <row r="9" spans="1:13" x14ac:dyDescent="0.2">
      <c r="D9" s="130"/>
      <c r="E9" s="131"/>
      <c r="F9" s="131"/>
      <c r="G9" s="131"/>
      <c r="H9" s="132"/>
      <c r="I9" s="131"/>
      <c r="J9" s="130"/>
    </row>
    <row r="10" spans="1:13" x14ac:dyDescent="0.2">
      <c r="D10" s="130"/>
      <c r="E10" s="131"/>
      <c r="F10" s="131"/>
      <c r="G10" s="131"/>
      <c r="H10" s="132"/>
      <c r="I10" s="131"/>
      <c r="J10" s="130"/>
    </row>
    <row r="11" spans="1:13" x14ac:dyDescent="0.2">
      <c r="D11" s="130"/>
      <c r="E11" s="131"/>
      <c r="F11" s="131"/>
      <c r="G11" s="131"/>
      <c r="H11" s="132"/>
      <c r="I11" s="131"/>
      <c r="J11" s="130"/>
    </row>
    <row r="12" spans="1:13" x14ac:dyDescent="0.2">
      <c r="D12" s="130"/>
      <c r="E12" s="131"/>
      <c r="F12" s="131"/>
      <c r="G12" s="131"/>
      <c r="H12" s="132"/>
      <c r="I12" s="131"/>
      <c r="J12" s="130"/>
    </row>
    <row r="13" spans="1:13" ht="15.75" x14ac:dyDescent="0.25">
      <c r="A13" s="133" t="s">
        <v>85</v>
      </c>
      <c r="D13" s="130"/>
      <c r="E13" s="131"/>
      <c r="F13" s="131"/>
      <c r="G13" s="131"/>
      <c r="H13" s="132"/>
      <c r="I13" s="131"/>
      <c r="J13" s="130"/>
    </row>
    <row r="14" spans="1:13" x14ac:dyDescent="0.2">
      <c r="D14" s="130"/>
      <c r="E14" s="131"/>
      <c r="F14" s="131"/>
      <c r="G14" s="131"/>
      <c r="H14" s="132"/>
      <c r="I14" s="131"/>
      <c r="J14" s="130"/>
    </row>
    <row r="15" spans="1:13" ht="47.25" x14ac:dyDescent="0.2">
      <c r="A15" s="134" t="s">
        <v>20</v>
      </c>
      <c r="B15" s="134" t="s">
        <v>21</v>
      </c>
      <c r="C15" s="135" t="s">
        <v>22</v>
      </c>
      <c r="D15" s="136" t="s">
        <v>86</v>
      </c>
      <c r="E15" s="137" t="s">
        <v>27</v>
      </c>
      <c r="F15" s="138" t="s">
        <v>87</v>
      </c>
      <c r="G15" s="139" t="s">
        <v>88</v>
      </c>
      <c r="H15" s="140" t="s">
        <v>89</v>
      </c>
      <c r="I15" s="138" t="s">
        <v>90</v>
      </c>
      <c r="J15" s="141" t="s">
        <v>91</v>
      </c>
    </row>
    <row r="16" spans="1:13" x14ac:dyDescent="0.2">
      <c r="G16" s="142"/>
      <c r="M16" s="148"/>
    </row>
    <row r="17" spans="1:13" x14ac:dyDescent="0.2">
      <c r="A17" s="31" t="s">
        <v>28</v>
      </c>
      <c r="B17" s="31" t="s">
        <v>29</v>
      </c>
      <c r="C17" s="129" t="s">
        <v>30</v>
      </c>
      <c r="D17" s="130">
        <f>'8. RTSR Rates to Forecast 2029'!J17</f>
        <v>1.38E-2</v>
      </c>
      <c r="E17" s="142">
        <f>'3. RRR Data 2030'!H17</f>
        <v>1750036822.3481808</v>
      </c>
      <c r="F17" s="142">
        <f>'3. RRR Data 2030'!F17</f>
        <v>0</v>
      </c>
      <c r="G17" s="142">
        <f>IF(D17*E17=0,ROUND(D17*F17,2),ROUND(D17*E17,2))</f>
        <v>24150508.149999999</v>
      </c>
      <c r="H17" s="143">
        <f t="shared" ref="H17:H28" si="0">G17/$G$28</f>
        <v>0.40129454967601069</v>
      </c>
      <c r="I17" s="142">
        <f>H17*$I$28</f>
        <v>25451590.443449847</v>
      </c>
      <c r="J17" s="130">
        <f>IF(I17*E17=0,ROUND(I17/F17,4),ROUND(I17/E17,4))</f>
        <v>1.4500000000000001E-2</v>
      </c>
      <c r="K17" s="151"/>
      <c r="L17" s="148"/>
      <c r="M17" s="148"/>
    </row>
    <row r="18" spans="1:13" x14ac:dyDescent="0.2">
      <c r="A18" s="31" t="s">
        <v>32</v>
      </c>
      <c r="B18" s="31" t="s">
        <v>29</v>
      </c>
      <c r="C18" s="129" t="s">
        <v>30</v>
      </c>
      <c r="D18" s="130">
        <f>'8. RTSR Rates to Forecast 2029'!J18</f>
        <v>1.3899999999999999E-2</v>
      </c>
      <c r="E18" s="142">
        <f>'3. RRR Data 2030'!H19</f>
        <v>15617666.62010994</v>
      </c>
      <c r="F18" s="142">
        <f>'3. RRR Data 2030'!F19</f>
        <v>0</v>
      </c>
      <c r="G18" s="142">
        <f t="shared" ref="G18:G27" si="1">IF(D18*E18=0,ROUND(D18*F18,2),ROUND(D18*E18,2))</f>
        <v>217085.57</v>
      </c>
      <c r="H18" s="143">
        <f t="shared" si="0"/>
        <v>3.6071810793061967E-3</v>
      </c>
      <c r="I18" s="142">
        <f t="shared" ref="I18:I27" si="2">H18*$I$28</f>
        <v>228780.81837888213</v>
      </c>
      <c r="J18" s="130">
        <f t="shared" ref="J18:J27" si="3">IF(I18*E18=0,ROUND(I18/F18,4),ROUND(I18/E18,4))</f>
        <v>1.46E-2</v>
      </c>
      <c r="K18" s="151"/>
      <c r="L18" s="148"/>
      <c r="M18" s="148"/>
    </row>
    <row r="19" spans="1:13" x14ac:dyDescent="0.2">
      <c r="A19" s="31" t="s">
        <v>33</v>
      </c>
      <c r="B19" s="31" t="s">
        <v>29</v>
      </c>
      <c r="C19" s="129" t="s">
        <v>30</v>
      </c>
      <c r="D19" s="130">
        <f>'8. RTSR Rates to Forecast 2029'!J19</f>
        <v>1.24E-2</v>
      </c>
      <c r="E19" s="142">
        <f>'3. RRR Data 2030'!H21</f>
        <v>392870913.93001288</v>
      </c>
      <c r="F19" s="142">
        <f>'3. RRR Data 2030'!F21</f>
        <v>0</v>
      </c>
      <c r="G19" s="142">
        <f t="shared" si="1"/>
        <v>4871599.33</v>
      </c>
      <c r="H19" s="143">
        <f t="shared" si="0"/>
        <v>8.0948452396613677E-2</v>
      </c>
      <c r="I19" s="142">
        <f t="shared" si="2"/>
        <v>5134051.4320293786</v>
      </c>
      <c r="J19" s="130">
        <f t="shared" si="3"/>
        <v>1.3100000000000001E-2</v>
      </c>
      <c r="K19" s="151"/>
      <c r="L19" s="148"/>
      <c r="M19" s="148"/>
    </row>
    <row r="20" spans="1:13" x14ac:dyDescent="0.2">
      <c r="A20" s="31" t="s">
        <v>34</v>
      </c>
      <c r="B20" s="31" t="s">
        <v>29</v>
      </c>
      <c r="C20" s="129" t="s">
        <v>35</v>
      </c>
      <c r="D20" s="130">
        <f>'8. RTSR Rates to Forecast 2029'!J20</f>
        <v>5.7694999999999999</v>
      </c>
      <c r="E20" s="142"/>
      <c r="F20" s="142">
        <f>'3. RRR Data 2030'!F23</f>
        <v>3376924.3660485805</v>
      </c>
      <c r="G20" s="142">
        <f t="shared" si="1"/>
        <v>19483165.129999999</v>
      </c>
      <c r="H20" s="143">
        <f t="shared" si="0"/>
        <v>0.32374010221837524</v>
      </c>
      <c r="I20" s="142">
        <f t="shared" si="2"/>
        <v>20532799.407405566</v>
      </c>
      <c r="J20" s="130">
        <f t="shared" si="3"/>
        <v>6.0803000000000003</v>
      </c>
      <c r="K20" s="151"/>
      <c r="L20" s="148"/>
      <c r="M20" s="148"/>
    </row>
    <row r="21" spans="1:13" x14ac:dyDescent="0.2">
      <c r="A21" s="31" t="s">
        <v>34</v>
      </c>
      <c r="B21" s="31" t="s">
        <v>36</v>
      </c>
      <c r="C21" s="129" t="s">
        <v>35</v>
      </c>
      <c r="D21" s="130">
        <f>'8. RTSR Rates to Forecast 2029'!J21</f>
        <v>0.98409999999999997</v>
      </c>
      <c r="E21" s="142"/>
      <c r="F21" s="142">
        <f>'3. RRR Data 2030'!F25</f>
        <v>37461.240867341046</v>
      </c>
      <c r="G21" s="142">
        <f t="shared" si="1"/>
        <v>36865.61</v>
      </c>
      <c r="H21" s="143">
        <f t="shared" si="0"/>
        <v>6.1257379230264509E-4</v>
      </c>
      <c r="I21" s="142">
        <f t="shared" si="2"/>
        <v>38851.70454137832</v>
      </c>
      <c r="J21" s="130">
        <f t="shared" si="3"/>
        <v>1.0370999999999999</v>
      </c>
      <c r="K21" s="151"/>
      <c r="L21" s="148"/>
      <c r="M21" s="148"/>
    </row>
    <row r="22" spans="1:13" x14ac:dyDescent="0.2">
      <c r="A22" s="31" t="s">
        <v>38</v>
      </c>
      <c r="B22" s="31" t="s">
        <v>29</v>
      </c>
      <c r="C22" s="129" t="s">
        <v>35</v>
      </c>
      <c r="D22" s="130">
        <f>'8. RTSR Rates to Forecast 2029'!J22</f>
        <v>6.1089000000000002</v>
      </c>
      <c r="E22" s="142"/>
      <c r="F22" s="142">
        <f>'3. RRR Data 2030'!F27</f>
        <v>714881.78302287427</v>
      </c>
      <c r="G22" s="142">
        <f t="shared" si="1"/>
        <v>4367141.32</v>
      </c>
      <c r="H22" s="143">
        <f t="shared" si="0"/>
        <v>7.2566175357303989E-2</v>
      </c>
      <c r="I22" s="142">
        <f t="shared" si="2"/>
        <v>4602416.296789472</v>
      </c>
      <c r="J22" s="130">
        <f t="shared" si="3"/>
        <v>6.4379999999999997</v>
      </c>
      <c r="K22" s="151"/>
      <c r="L22" s="148"/>
      <c r="M22" s="148"/>
    </row>
    <row r="23" spans="1:13" x14ac:dyDescent="0.2">
      <c r="A23" s="31" t="s">
        <v>38</v>
      </c>
      <c r="B23" s="31" t="s">
        <v>36</v>
      </c>
      <c r="C23" s="129" t="s">
        <v>35</v>
      </c>
      <c r="D23" s="130" t="e">
        <f>'8. RTSR Rates to Forecast 2029'!J23</f>
        <v>#DIV/0!</v>
      </c>
      <c r="E23" s="142"/>
      <c r="F23" s="142"/>
      <c r="G23" s="142"/>
      <c r="H23" s="143">
        <f t="shared" si="0"/>
        <v>0</v>
      </c>
      <c r="I23" s="142">
        <f t="shared" si="2"/>
        <v>0</v>
      </c>
      <c r="J23" s="130" t="e">
        <f t="shared" si="3"/>
        <v>#DIV/0!</v>
      </c>
      <c r="K23" s="151"/>
      <c r="L23" s="148"/>
      <c r="M23" s="148"/>
    </row>
    <row r="24" spans="1:13" x14ac:dyDescent="0.2">
      <c r="A24" s="31" t="s">
        <v>41</v>
      </c>
      <c r="B24" s="31" t="s">
        <v>29</v>
      </c>
      <c r="C24" s="129" t="s">
        <v>35</v>
      </c>
      <c r="D24" s="130">
        <f>'8. RTSR Rates to Forecast 2029'!J24</f>
        <v>6.5041000000000002</v>
      </c>
      <c r="E24" s="142"/>
      <c r="F24" s="142">
        <f>'3. RRR Data 2030'!F31</f>
        <v>1044584.2129462288</v>
      </c>
      <c r="G24" s="142">
        <f t="shared" si="1"/>
        <v>6794080.1799999997</v>
      </c>
      <c r="H24" s="143">
        <f t="shared" si="0"/>
        <v>0.11289316685851224</v>
      </c>
      <c r="I24" s="142">
        <f t="shared" si="2"/>
        <v>7160103.8415963938</v>
      </c>
      <c r="J24" s="130">
        <f t="shared" si="3"/>
        <v>6.8544999999999998</v>
      </c>
      <c r="K24" s="151"/>
      <c r="L24" s="148"/>
      <c r="M24" s="148"/>
    </row>
    <row r="25" spans="1:13" x14ac:dyDescent="0.2">
      <c r="A25" s="31" t="s">
        <v>42</v>
      </c>
      <c r="B25" s="31" t="s">
        <v>29</v>
      </c>
      <c r="C25" s="129" t="s">
        <v>30</v>
      </c>
      <c r="D25" s="130">
        <f>'8. RTSR Rates to Forecast 2029'!J25</f>
        <v>1.2500000000000001E-2</v>
      </c>
      <c r="E25" s="142">
        <f>'3. RRR Data 2030'!H33</f>
        <v>6497321.0526359417</v>
      </c>
      <c r="F25" s="142">
        <f>'3. RRR Data 2030'!F33</f>
        <v>0</v>
      </c>
      <c r="G25" s="142">
        <f t="shared" si="1"/>
        <v>81216.509999999995</v>
      </c>
      <c r="H25" s="143">
        <f t="shared" si="0"/>
        <v>1.3495261716349111E-3</v>
      </c>
      <c r="I25" s="142">
        <f t="shared" si="2"/>
        <v>85591.960919727018</v>
      </c>
      <c r="J25" s="130">
        <f t="shared" si="3"/>
        <v>1.32E-2</v>
      </c>
      <c r="K25" s="151"/>
      <c r="L25" s="148"/>
      <c r="M25" s="148"/>
    </row>
    <row r="26" spans="1:13" x14ac:dyDescent="0.2">
      <c r="A26" s="31" t="s">
        <v>43</v>
      </c>
      <c r="B26" s="31" t="s">
        <v>29</v>
      </c>
      <c r="C26" s="129" t="s">
        <v>35</v>
      </c>
      <c r="D26" s="130">
        <f>'8. RTSR Rates to Forecast 2029'!J26</f>
        <v>3.7389999999999999</v>
      </c>
      <c r="E26" s="142"/>
      <c r="F26" s="142">
        <f>'3. RRR Data 2030'!F35</f>
        <v>640.55256450629076</v>
      </c>
      <c r="G26" s="142">
        <f t="shared" si="1"/>
        <v>2395.0300000000002</v>
      </c>
      <c r="H26" s="143">
        <f t="shared" si="0"/>
        <v>3.979678105905759E-5</v>
      </c>
      <c r="I26" s="142">
        <f t="shared" si="2"/>
        <v>2524.0596297670736</v>
      </c>
      <c r="J26" s="130">
        <f t="shared" si="3"/>
        <v>3.9403999999999999</v>
      </c>
      <c r="K26" s="151"/>
      <c r="L26" s="148"/>
      <c r="M26" s="148"/>
    </row>
    <row r="27" spans="1:13" x14ac:dyDescent="0.2">
      <c r="A27" s="31" t="s">
        <v>44</v>
      </c>
      <c r="B27" s="31" t="s">
        <v>29</v>
      </c>
      <c r="C27" s="129" t="s">
        <v>35</v>
      </c>
      <c r="D27" s="130">
        <f>'8. RTSR Rates to Forecast 2029'!J27</f>
        <v>3.9214000000000002</v>
      </c>
      <c r="E27" s="142"/>
      <c r="F27" s="142">
        <f>'3. RRR Data 2030'!F37</f>
        <v>45250.085781823676</v>
      </c>
      <c r="G27" s="142">
        <f t="shared" si="1"/>
        <v>177443.69</v>
      </c>
      <c r="H27" s="143">
        <f t="shared" si="0"/>
        <v>2.9484756688815117E-3</v>
      </c>
      <c r="I27" s="142">
        <f t="shared" si="2"/>
        <v>187003.27531843164</v>
      </c>
      <c r="J27" s="130">
        <f t="shared" si="3"/>
        <v>4.1326999999999998</v>
      </c>
      <c r="K27" s="151"/>
      <c r="L27" s="148"/>
      <c r="M27" s="148"/>
    </row>
    <row r="28" spans="1:13" x14ac:dyDescent="0.2">
      <c r="D28" s="130"/>
      <c r="E28" s="142"/>
      <c r="F28" s="142"/>
      <c r="G28" s="142">
        <f>SUM(G17:G27)</f>
        <v>60181500.519999988</v>
      </c>
      <c r="H28" s="143">
        <f t="shared" si="0"/>
        <v>1</v>
      </c>
      <c r="I28" s="142">
        <f>'7. Forecast Wholesale 2030'!F33+'7. Forecast Wholesale 2030'!F52</f>
        <v>63423713.240058832</v>
      </c>
      <c r="J28" s="130"/>
    </row>
    <row r="30" spans="1:13" ht="15.75" x14ac:dyDescent="0.25">
      <c r="A30" s="133" t="s">
        <v>92</v>
      </c>
    </row>
    <row r="31" spans="1:13" ht="47.25" x14ac:dyDescent="0.2">
      <c r="A31" s="134" t="s">
        <v>20</v>
      </c>
      <c r="B31" s="134" t="s">
        <v>21</v>
      </c>
      <c r="C31" s="135" t="s">
        <v>22</v>
      </c>
      <c r="D31" s="136" t="s">
        <v>93</v>
      </c>
      <c r="E31" s="137" t="s">
        <v>27</v>
      </c>
      <c r="F31" s="138" t="s">
        <v>87</v>
      </c>
      <c r="G31" s="139" t="s">
        <v>88</v>
      </c>
      <c r="H31" s="140" t="s">
        <v>89</v>
      </c>
      <c r="I31" s="138" t="s">
        <v>90</v>
      </c>
      <c r="J31" s="141" t="s">
        <v>94</v>
      </c>
    </row>
    <row r="33" spans="1:13" x14ac:dyDescent="0.2">
      <c r="A33" s="31" t="s">
        <v>28</v>
      </c>
      <c r="B33" s="31" t="s">
        <v>31</v>
      </c>
      <c r="C33" s="129" t="s">
        <v>30</v>
      </c>
      <c r="D33" s="130">
        <f>'8. RTSR Rates to Forecast 2029'!J33</f>
        <v>9.7000000000000003E-3</v>
      </c>
      <c r="E33" s="142">
        <f>'3. RRR Data 2030'!H18</f>
        <v>1750036822.3481808</v>
      </c>
      <c r="F33" s="142">
        <f>'3. RRR Data 2030'!F18</f>
        <v>0</v>
      </c>
      <c r="G33" s="142">
        <f>IF(D33*E33=0,ROUND(D33*F33,2),ROUND(D33*E33,2))</f>
        <v>16975357.18</v>
      </c>
      <c r="H33" s="143">
        <f>G33/$G$44</f>
        <v>0.40352595149987786</v>
      </c>
      <c r="I33" s="142">
        <f>H33*$I$44</f>
        <v>17917302.031324312</v>
      </c>
      <c r="J33" s="130">
        <f>IF(I33*E33=0,ROUND(I33/F33,4),ROUND(I33/E33,4))</f>
        <v>1.0200000000000001E-2</v>
      </c>
      <c r="K33" s="151"/>
      <c r="L33" s="148"/>
      <c r="M33" s="148"/>
    </row>
    <row r="34" spans="1:13" x14ac:dyDescent="0.2">
      <c r="A34" s="31" t="s">
        <v>32</v>
      </c>
      <c r="B34" s="31" t="s">
        <v>31</v>
      </c>
      <c r="C34" s="129" t="s">
        <v>30</v>
      </c>
      <c r="D34" s="130">
        <f>'8. RTSR Rates to Forecast 2029'!J34</f>
        <v>1.17E-2</v>
      </c>
      <c r="E34" s="142">
        <f>'3. RRR Data 2030'!H20</f>
        <v>15617666.62010994</v>
      </c>
      <c r="F34" s="142">
        <f>'3. RRR Data 2030'!F20</f>
        <v>0</v>
      </c>
      <c r="G34" s="142">
        <f t="shared" ref="G34:G43" si="4">IF(D34*E34=0,ROUND(D34*F34,2),ROUND(D34*E34,2))</f>
        <v>182726.7</v>
      </c>
      <c r="H34" s="143">
        <f t="shared" ref="H34:H43" si="5">G34/$G$44</f>
        <v>4.3436473648286872E-3</v>
      </c>
      <c r="I34" s="142">
        <f t="shared" ref="I34:I43" si="6">H34*$I$44</f>
        <v>192866.01385592693</v>
      </c>
      <c r="J34" s="130">
        <f t="shared" ref="J34:J43" si="7">IF(I34*E34=0,ROUND(I34/F34,4),ROUND(I34/E34,4))</f>
        <v>1.23E-2</v>
      </c>
      <c r="K34" s="151"/>
      <c r="L34" s="148"/>
      <c r="M34" s="148"/>
    </row>
    <row r="35" spans="1:13" x14ac:dyDescent="0.2">
      <c r="A35" s="31" t="s">
        <v>33</v>
      </c>
      <c r="B35" s="31" t="s">
        <v>31</v>
      </c>
      <c r="C35" s="129" t="s">
        <v>30</v>
      </c>
      <c r="D35" s="130">
        <f>'8. RTSR Rates to Forecast 2029'!J35</f>
        <v>9.1000000000000004E-3</v>
      </c>
      <c r="E35" s="142">
        <f>'3. RRR Data 2030'!H22</f>
        <v>392870913.93001288</v>
      </c>
      <c r="F35" s="142">
        <f>'3. RRR Data 2030'!F22</f>
        <v>0</v>
      </c>
      <c r="G35" s="142">
        <f t="shared" si="4"/>
        <v>3575125.32</v>
      </c>
      <c r="H35" s="143">
        <f t="shared" si="5"/>
        <v>8.4985301409976302E-2</v>
      </c>
      <c r="I35" s="142">
        <f t="shared" si="6"/>
        <v>3773505.29235079</v>
      </c>
      <c r="J35" s="130">
        <f t="shared" si="7"/>
        <v>9.5999999999999992E-3</v>
      </c>
      <c r="K35" s="151"/>
      <c r="L35" s="148"/>
      <c r="M35" s="148"/>
    </row>
    <row r="36" spans="1:13" x14ac:dyDescent="0.2">
      <c r="A36" s="31" t="s">
        <v>34</v>
      </c>
      <c r="B36" s="31" t="s">
        <v>31</v>
      </c>
      <c r="C36" s="129" t="s">
        <v>35</v>
      </c>
      <c r="D36" s="130">
        <f>'8. RTSR Rates to Forecast 2029'!J36</f>
        <v>4.0014000000000003</v>
      </c>
      <c r="E36" s="142"/>
      <c r="F36" s="142">
        <f>'3. RRR Data 2030'!F24</f>
        <v>3376924.3660485805</v>
      </c>
      <c r="G36" s="142">
        <f t="shared" si="4"/>
        <v>13512425.16</v>
      </c>
      <c r="H36" s="143">
        <f t="shared" si="5"/>
        <v>0.32120762832513722</v>
      </c>
      <c r="I36" s="142">
        <f t="shared" si="6"/>
        <v>14262215.528085032</v>
      </c>
      <c r="J36" s="130">
        <f t="shared" si="7"/>
        <v>4.2233999999999998</v>
      </c>
      <c r="K36" s="151"/>
      <c r="L36" s="148"/>
      <c r="M36" s="148"/>
    </row>
    <row r="37" spans="1:13" x14ac:dyDescent="0.2">
      <c r="A37" s="31" t="s">
        <v>34</v>
      </c>
      <c r="B37" s="31" t="s">
        <v>37</v>
      </c>
      <c r="C37" s="129" t="s">
        <v>35</v>
      </c>
      <c r="D37" s="130">
        <f>'8. RTSR Rates to Forecast 2029'!J37</f>
        <v>0.67969999999999997</v>
      </c>
      <c r="E37" s="142"/>
      <c r="F37" s="142">
        <f>'3. RRR Data 2030'!F26</f>
        <v>37461.240867341046</v>
      </c>
      <c r="G37" s="142">
        <f t="shared" si="4"/>
        <v>25462.41</v>
      </c>
      <c r="H37" s="143">
        <f t="shared" si="5"/>
        <v>6.0527405189656251E-4</v>
      </c>
      <c r="I37" s="142">
        <f t="shared" si="6"/>
        <v>26875.292553662337</v>
      </c>
      <c r="J37" s="130">
        <f t="shared" si="7"/>
        <v>0.71740000000000004</v>
      </c>
      <c r="K37" s="151"/>
      <c r="L37" s="148"/>
      <c r="M37" s="148"/>
    </row>
    <row r="38" spans="1:13" x14ac:dyDescent="0.2">
      <c r="A38" s="31" t="s">
        <v>38</v>
      </c>
      <c r="B38" s="31" t="s">
        <v>39</v>
      </c>
      <c r="C38" s="129" t="s">
        <v>35</v>
      </c>
      <c r="D38" s="130">
        <f>'8. RTSR Rates to Forecast 2029'!J38</f>
        <v>4.2618</v>
      </c>
      <c r="E38" s="142"/>
      <c r="F38" s="142">
        <f>'3. RRR Data 2030'!F28</f>
        <v>714881.78302287427</v>
      </c>
      <c r="G38" s="142">
        <f t="shared" si="4"/>
        <v>3046683.18</v>
      </c>
      <c r="H38" s="143">
        <f t="shared" si="5"/>
        <v>7.2423555869366024E-2</v>
      </c>
      <c r="I38" s="142">
        <f t="shared" si="6"/>
        <v>3215740.4495812571</v>
      </c>
      <c r="J38" s="130">
        <f t="shared" si="7"/>
        <v>4.4983000000000004</v>
      </c>
      <c r="K38" s="151"/>
      <c r="L38" s="148"/>
      <c r="M38" s="148"/>
    </row>
    <row r="39" spans="1:13" x14ac:dyDescent="0.2">
      <c r="A39" s="31" t="s">
        <v>38</v>
      </c>
      <c r="B39" s="31" t="s">
        <v>40</v>
      </c>
      <c r="C39" s="129" t="s">
        <v>35</v>
      </c>
      <c r="D39" s="130" t="e">
        <f>'8. RTSR Rates to Forecast 2029'!J39</f>
        <v>#DIV/0!</v>
      </c>
      <c r="E39" s="142"/>
      <c r="F39" s="142"/>
      <c r="G39" s="142"/>
      <c r="H39" s="143">
        <f t="shared" si="5"/>
        <v>0</v>
      </c>
      <c r="I39" s="142">
        <f t="shared" si="6"/>
        <v>0</v>
      </c>
      <c r="J39" s="130" t="e">
        <f t="shared" si="7"/>
        <v>#DIV/0!</v>
      </c>
      <c r="K39" s="151"/>
      <c r="L39" s="148"/>
      <c r="M39" s="148"/>
    </row>
    <row r="40" spans="1:13" x14ac:dyDescent="0.2">
      <c r="A40" s="31" t="s">
        <v>41</v>
      </c>
      <c r="B40" s="31" t="s">
        <v>39</v>
      </c>
      <c r="C40" s="129" t="s">
        <v>35</v>
      </c>
      <c r="D40" s="130">
        <f>'8. RTSR Rates to Forecast 2029'!J40</f>
        <v>4.3696000000000002</v>
      </c>
      <c r="E40" s="142"/>
      <c r="F40" s="142">
        <f>'3. RRR Data 2030'!F32</f>
        <v>1044584.2129462288</v>
      </c>
      <c r="G40" s="142">
        <f t="shared" si="4"/>
        <v>4564415.18</v>
      </c>
      <c r="H40" s="143">
        <f>G40/$G$44</f>
        <v>0.10850198667513317</v>
      </c>
      <c r="I40" s="142">
        <f t="shared" si="6"/>
        <v>4817689.8140779808</v>
      </c>
      <c r="J40" s="130">
        <f t="shared" si="7"/>
        <v>4.6120999999999999</v>
      </c>
      <c r="K40" s="151"/>
      <c r="L40" s="148"/>
      <c r="M40" s="148"/>
    </row>
    <row r="41" spans="1:13" x14ac:dyDescent="0.2">
      <c r="A41" s="31" t="s">
        <v>42</v>
      </c>
      <c r="B41" s="31" t="s">
        <v>31</v>
      </c>
      <c r="C41" s="129" t="s">
        <v>30</v>
      </c>
      <c r="D41" s="130">
        <f>'8. RTSR Rates to Forecast 2029'!J41</f>
        <v>9.1999999999999998E-3</v>
      </c>
      <c r="E41" s="142">
        <f>'3. RRR Data 2030'!H34</f>
        <v>6497321.0526359417</v>
      </c>
      <c r="F41" s="142">
        <f>'3. RRR Data 2030'!F34</f>
        <v>0</v>
      </c>
      <c r="G41" s="142">
        <f t="shared" si="4"/>
        <v>59775.35</v>
      </c>
      <c r="H41" s="143">
        <f t="shared" si="5"/>
        <v>1.4209365216424992E-3</v>
      </c>
      <c r="I41" s="142">
        <f t="shared" si="6"/>
        <v>63092.2217789895</v>
      </c>
      <c r="J41" s="130">
        <f t="shared" si="7"/>
        <v>9.7000000000000003E-3</v>
      </c>
      <c r="K41" s="151"/>
      <c r="L41" s="148"/>
      <c r="M41" s="148"/>
    </row>
    <row r="42" spans="1:13" x14ac:dyDescent="0.2">
      <c r="A42" s="31" t="s">
        <v>43</v>
      </c>
      <c r="B42" s="31" t="s">
        <v>31</v>
      </c>
      <c r="C42" s="129" t="s">
        <v>35</v>
      </c>
      <c r="D42" s="130">
        <f>'8. RTSR Rates to Forecast 2029'!J42</f>
        <v>2.6015999999999999</v>
      </c>
      <c r="E42" s="142"/>
      <c r="F42" s="142">
        <f>'3. RRR Data 2030'!F36</f>
        <v>640.55256450629076</v>
      </c>
      <c r="G42" s="142">
        <f t="shared" si="4"/>
        <v>1666.46</v>
      </c>
      <c r="H42" s="143">
        <f t="shared" si="5"/>
        <v>3.961388558756008E-5</v>
      </c>
      <c r="I42" s="142">
        <f t="shared" si="6"/>
        <v>1758.9301259769261</v>
      </c>
      <c r="J42" s="130">
        <f t="shared" si="7"/>
        <v>2.746</v>
      </c>
      <c r="K42" s="151"/>
      <c r="L42" s="148"/>
      <c r="M42" s="148"/>
    </row>
    <row r="43" spans="1:13" x14ac:dyDescent="0.2">
      <c r="A43" s="31" t="s">
        <v>44</v>
      </c>
      <c r="B43" s="31" t="s">
        <v>31</v>
      </c>
      <c r="C43" s="129" t="s">
        <v>35</v>
      </c>
      <c r="D43" s="130">
        <f>'8. RTSR Rates to Forecast 2029'!J43</f>
        <v>2.7389000000000001</v>
      </c>
      <c r="E43" s="142"/>
      <c r="F43" s="142">
        <f>'3. RRR Data 2030'!F38</f>
        <v>45250.085781823676</v>
      </c>
      <c r="G43" s="142">
        <f t="shared" si="4"/>
        <v>123935.46</v>
      </c>
      <c r="H43" s="143">
        <f t="shared" si="5"/>
        <v>2.9461043965541499E-3</v>
      </c>
      <c r="I43" s="142">
        <f t="shared" si="6"/>
        <v>130812.50931363986</v>
      </c>
      <c r="J43" s="130">
        <f t="shared" si="7"/>
        <v>2.8908999999999998</v>
      </c>
      <c r="K43" s="151"/>
      <c r="L43" s="148"/>
      <c r="M43" s="148"/>
    </row>
    <row r="44" spans="1:13" x14ac:dyDescent="0.2">
      <c r="D44" s="130"/>
      <c r="E44" s="142"/>
      <c r="F44" s="142"/>
      <c r="G44" s="142">
        <f>SUM(G33:G43)</f>
        <v>42067572.399999999</v>
      </c>
      <c r="H44" s="143"/>
      <c r="I44" s="142">
        <f>'7. Forecast Wholesale 2030'!P33+'7. Forecast Wholesale 2030'!P52</f>
        <v>44401858.083047569</v>
      </c>
      <c r="J44" s="130"/>
    </row>
    <row r="46" spans="1:13" x14ac:dyDescent="0.2">
      <c r="D46" s="130"/>
      <c r="E46" s="142"/>
      <c r="F46" s="142"/>
      <c r="G46" s="142"/>
      <c r="H46" s="143"/>
      <c r="I46" s="142"/>
      <c r="J46" s="144"/>
    </row>
    <row r="47" spans="1:13" x14ac:dyDescent="0.2">
      <c r="D47" s="130"/>
      <c r="E47" s="142"/>
      <c r="F47" s="142"/>
      <c r="G47" s="142"/>
      <c r="H47" s="143"/>
      <c r="I47" s="142"/>
      <c r="J47" s="144"/>
    </row>
    <row r="48" spans="1:13" x14ac:dyDescent="0.2">
      <c r="D48" s="130"/>
      <c r="E48" s="142"/>
      <c r="F48" s="142"/>
      <c r="G48" s="142"/>
      <c r="H48" s="143"/>
      <c r="I48" s="142"/>
      <c r="J48" s="144"/>
    </row>
    <row r="49" spans="4:10" x14ac:dyDescent="0.2">
      <c r="D49" s="130"/>
      <c r="E49" s="142"/>
      <c r="F49" s="142"/>
      <c r="G49" s="142"/>
      <c r="H49" s="143"/>
      <c r="I49" s="142"/>
      <c r="J49" s="144"/>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5272-ADF7-4720-B00B-7AAF5FC4DB3B}">
  <dimension ref="A13:Q113"/>
  <sheetViews>
    <sheetView topLeftCell="B1" workbookViewId="0">
      <selection activeCell="D31" sqref="D31"/>
    </sheetView>
  </sheetViews>
  <sheetFormatPr defaultColWidth="9.28515625" defaultRowHeight="12.75" x14ac:dyDescent="0.2"/>
  <cols>
    <col min="1" max="1" width="11.7109375" style="31" hidden="1" customWidth="1"/>
    <col min="2" max="2" width="30.28515625" style="31" customWidth="1"/>
    <col min="3" max="3" width="3.7109375" style="31" customWidth="1"/>
    <col min="4" max="4" width="13.7109375" style="31" customWidth="1"/>
    <col min="5" max="5" width="15.28515625" style="31" customWidth="1"/>
    <col min="6" max="6" width="13.7109375" style="31" customWidth="1"/>
    <col min="7" max="7" width="2.7109375" style="31" customWidth="1"/>
    <col min="8" max="8" width="13.7109375" style="31" customWidth="1"/>
    <col min="9" max="9" width="10.28515625" style="31" bestFit="1" customWidth="1"/>
    <col min="10" max="10" width="13.7109375" style="31" customWidth="1"/>
    <col min="11" max="11" width="3.28515625" style="31" customWidth="1"/>
    <col min="12" max="12" width="13.7109375" style="31" customWidth="1"/>
    <col min="13" max="13" width="9.42578125" style="31" bestFit="1" customWidth="1"/>
    <col min="14" max="14" width="13.7109375" style="31" customWidth="1"/>
    <col min="15" max="15" width="3.7109375" style="31" customWidth="1"/>
    <col min="16" max="16" width="18.28515625" style="31" customWidth="1"/>
    <col min="17" max="16384" width="9.28515625" style="31"/>
  </cols>
  <sheetData>
    <row r="13" spans="2:17" ht="18.75" customHeight="1" x14ac:dyDescent="0.25">
      <c r="B13" s="271" t="s">
        <v>84</v>
      </c>
      <c r="C13" s="270"/>
      <c r="D13" s="270"/>
      <c r="E13" s="270"/>
      <c r="F13" s="270"/>
      <c r="G13" s="270"/>
      <c r="H13" s="270"/>
      <c r="I13" s="270"/>
      <c r="J13" s="270"/>
      <c r="K13" s="270"/>
      <c r="L13" s="270"/>
      <c r="M13" s="270"/>
      <c r="N13" s="270"/>
      <c r="O13" s="270"/>
      <c r="P13" s="270"/>
    </row>
    <row r="16" spans="2:17" x14ac:dyDescent="0.2">
      <c r="B16" s="101" t="s">
        <v>61</v>
      </c>
      <c r="C16" s="102"/>
      <c r="D16" s="267" t="s">
        <v>2</v>
      </c>
      <c r="E16" s="267"/>
      <c r="F16" s="267"/>
      <c r="G16" s="102"/>
      <c r="H16" s="267" t="s">
        <v>3</v>
      </c>
      <c r="I16" s="267"/>
      <c r="J16" s="267"/>
      <c r="K16" s="102"/>
      <c r="L16" s="267" t="s">
        <v>4</v>
      </c>
      <c r="M16" s="267"/>
      <c r="N16" s="267"/>
      <c r="O16" s="102"/>
      <c r="P16" s="101" t="s">
        <v>62</v>
      </c>
      <c r="Q16" s="56"/>
    </row>
    <row r="17" spans="2:17" ht="15.75" x14ac:dyDescent="0.25">
      <c r="B17" s="56"/>
      <c r="C17" s="56"/>
      <c r="D17" s="268"/>
      <c r="E17" s="268"/>
      <c r="F17" s="268"/>
      <c r="G17" s="56"/>
      <c r="H17" s="268"/>
      <c r="I17" s="268"/>
      <c r="J17" s="268"/>
      <c r="K17" s="56"/>
      <c r="L17" s="268"/>
      <c r="M17" s="268"/>
      <c r="N17" s="268"/>
      <c r="O17" s="56"/>
      <c r="P17" s="120"/>
      <c r="Q17" s="103"/>
    </row>
    <row r="18" spans="2:17" x14ac:dyDescent="0.2">
      <c r="B18" s="104" t="s">
        <v>63</v>
      </c>
      <c r="C18" s="56"/>
      <c r="D18" s="120" t="s">
        <v>64</v>
      </c>
      <c r="E18" s="120" t="s">
        <v>23</v>
      </c>
      <c r="F18" s="120" t="s">
        <v>65</v>
      </c>
      <c r="G18" s="56"/>
      <c r="H18" s="120" t="s">
        <v>64</v>
      </c>
      <c r="I18" s="120" t="s">
        <v>23</v>
      </c>
      <c r="J18" s="120" t="s">
        <v>65</v>
      </c>
      <c r="K18" s="56"/>
      <c r="L18" s="120" t="s">
        <v>64</v>
      </c>
      <c r="M18" s="120" t="s">
        <v>23</v>
      </c>
      <c r="N18" s="120" t="s">
        <v>65</v>
      </c>
      <c r="O18" s="56"/>
      <c r="P18" s="120" t="s">
        <v>65</v>
      </c>
      <c r="Q18" s="56"/>
    </row>
    <row r="19" spans="2:17" x14ac:dyDescent="0.2">
      <c r="B19" s="56"/>
      <c r="C19" s="56"/>
      <c r="D19" s="56"/>
      <c r="E19" s="56"/>
      <c r="F19" s="56"/>
      <c r="G19" s="56"/>
      <c r="H19" s="56"/>
      <c r="I19" s="56"/>
      <c r="J19" s="56"/>
      <c r="K19" s="56"/>
      <c r="L19" s="56"/>
      <c r="M19" s="56"/>
      <c r="N19" s="56"/>
      <c r="O19" s="56"/>
      <c r="P19" s="56"/>
      <c r="Q19" s="56"/>
    </row>
    <row r="20" spans="2:17" x14ac:dyDescent="0.2">
      <c r="B20" s="57" t="s">
        <v>66</v>
      </c>
      <c r="C20" s="56"/>
      <c r="D20" s="127">
        <v>369850.24839032686</v>
      </c>
      <c r="E20" s="122">
        <f>'4. UTRs &amp; Sub-Transmission'!Q22</f>
        <v>8.4796190318369415</v>
      </c>
      <c r="F20" s="128">
        <f>D20*E20</f>
        <v>3136189.2051802357</v>
      </c>
      <c r="G20" s="56"/>
      <c r="H20" s="127">
        <v>191376.61414516717</v>
      </c>
      <c r="I20" s="122">
        <f>'4. UTRs &amp; Sub-Transmission'!Q24</f>
        <v>1.3495676627234783</v>
      </c>
      <c r="J20" s="128">
        <f>H20*I20</f>
        <v>258275.6898518262</v>
      </c>
      <c r="K20" s="56"/>
      <c r="L20" s="127">
        <v>394056.52648154902</v>
      </c>
      <c r="M20" s="122">
        <f>'4. UTRs &amp; Sub-Transmission'!Q26</f>
        <v>4.5658840696493748</v>
      </c>
      <c r="N20" s="128">
        <f>L20*M20</f>
        <v>1799216.4168034717</v>
      </c>
      <c r="O20" s="56"/>
      <c r="P20" s="110">
        <f t="shared" ref="P20:P31" si="0">J20+N20</f>
        <v>2057492.106655298</v>
      </c>
      <c r="Q20" s="56"/>
    </row>
    <row r="21" spans="2:17" x14ac:dyDescent="0.2">
      <c r="B21" s="57" t="s">
        <v>67</v>
      </c>
      <c r="C21" s="56"/>
      <c r="D21" s="127">
        <v>362897.50884941191</v>
      </c>
      <c r="E21" s="122">
        <f>E20</f>
        <v>8.4796190318369415</v>
      </c>
      <c r="F21" s="128">
        <f t="shared" ref="F21:F31" si="1">D21*E21</f>
        <v>3077232.6226456882</v>
      </c>
      <c r="G21" s="56"/>
      <c r="H21" s="127">
        <v>200999.88679363928</v>
      </c>
      <c r="I21" s="122">
        <f>I20</f>
        <v>1.3495676627234783</v>
      </c>
      <c r="J21" s="128">
        <f t="shared" ref="J21:J31" si="2">H21*I21</f>
        <v>271262.94742777548</v>
      </c>
      <c r="K21" s="56"/>
      <c r="L21" s="127">
        <v>385565.26247857948</v>
      </c>
      <c r="M21" s="122">
        <f>M20</f>
        <v>4.5658840696493748</v>
      </c>
      <c r="N21" s="128">
        <f t="shared" ref="N21:N31" si="3">L21*M21</f>
        <v>1760446.2897611258</v>
      </c>
      <c r="O21" s="56"/>
      <c r="P21" s="110">
        <f t="shared" si="0"/>
        <v>2031709.2371889013</v>
      </c>
      <c r="Q21" s="56"/>
    </row>
    <row r="22" spans="2:17" x14ac:dyDescent="0.2">
      <c r="B22" s="57" t="s">
        <v>68</v>
      </c>
      <c r="C22" s="56"/>
      <c r="D22" s="127">
        <v>356984.44250304234</v>
      </c>
      <c r="E22" s="122">
        <f>E21</f>
        <v>8.4796190318369415</v>
      </c>
      <c r="F22" s="128">
        <f t="shared" si="1"/>
        <v>3027092.0727184983</v>
      </c>
      <c r="G22" s="56"/>
      <c r="H22" s="127">
        <v>192205.23488038144</v>
      </c>
      <c r="I22" s="122">
        <f t="shared" ref="I22:I31" si="4">I21</f>
        <v>1.3495676627234783</v>
      </c>
      <c r="J22" s="128">
        <f t="shared" si="2"/>
        <v>259393.96960073354</v>
      </c>
      <c r="K22" s="56"/>
      <c r="L22" s="127">
        <v>367154.53288705391</v>
      </c>
      <c r="M22" s="122">
        <f t="shared" ref="M22:M31" si="5">M21</f>
        <v>4.5658840696493748</v>
      </c>
      <c r="N22" s="128">
        <f t="shared" si="3"/>
        <v>1676385.0328085569</v>
      </c>
      <c r="O22" s="56"/>
      <c r="P22" s="110">
        <f t="shared" si="0"/>
        <v>1935779.0024092905</v>
      </c>
      <c r="Q22" s="56"/>
    </row>
    <row r="23" spans="2:17" x14ac:dyDescent="0.2">
      <c r="B23" s="57" t="s">
        <v>69</v>
      </c>
      <c r="C23" s="56"/>
      <c r="D23" s="127">
        <v>347363.56817797176</v>
      </c>
      <c r="E23" s="122">
        <f t="shared" ref="E23:E31" si="6">E22</f>
        <v>8.4796190318369415</v>
      </c>
      <c r="F23" s="128">
        <f t="shared" si="1"/>
        <v>2945510.7236887184</v>
      </c>
      <c r="G23" s="56"/>
      <c r="H23" s="127">
        <v>183685.19099659391</v>
      </c>
      <c r="I23" s="122">
        <f t="shared" si="4"/>
        <v>1.3495676627234783</v>
      </c>
      <c r="J23" s="128">
        <f t="shared" si="2"/>
        <v>247895.59389018893</v>
      </c>
      <c r="K23" s="56"/>
      <c r="L23" s="127">
        <v>350091.66104716476</v>
      </c>
      <c r="M23" s="122">
        <f t="shared" si="5"/>
        <v>4.5658840696493748</v>
      </c>
      <c r="N23" s="128">
        <f t="shared" si="3"/>
        <v>1598477.9380923382</v>
      </c>
      <c r="O23" s="56"/>
      <c r="P23" s="110">
        <f t="shared" si="0"/>
        <v>1846373.5319825271</v>
      </c>
      <c r="Q23" s="56"/>
    </row>
    <row r="24" spans="2:17" x14ac:dyDescent="0.2">
      <c r="B24" s="57" t="s">
        <v>70</v>
      </c>
      <c r="C24" s="56"/>
      <c r="D24" s="127">
        <v>426581.38929083385</v>
      </c>
      <c r="E24" s="122">
        <f t="shared" si="6"/>
        <v>8.4796190318369415</v>
      </c>
      <c r="F24" s="128">
        <f t="shared" si="1"/>
        <v>3617247.6672579981</v>
      </c>
      <c r="G24" s="56"/>
      <c r="H24" s="127">
        <v>244902.39581958493</v>
      </c>
      <c r="I24" s="122">
        <f t="shared" si="4"/>
        <v>1.3495676627234783</v>
      </c>
      <c r="J24" s="128">
        <f t="shared" si="2"/>
        <v>330512.35392161738</v>
      </c>
      <c r="K24" s="56"/>
      <c r="L24" s="127">
        <v>439818.935305349</v>
      </c>
      <c r="M24" s="122">
        <f t="shared" si="5"/>
        <v>4.5658840696493748</v>
      </c>
      <c r="N24" s="128">
        <f t="shared" si="3"/>
        <v>2008162.2702408419</v>
      </c>
      <c r="O24" s="56"/>
      <c r="P24" s="110">
        <f t="shared" si="0"/>
        <v>2338674.6241624593</v>
      </c>
      <c r="Q24" s="56"/>
    </row>
    <row r="25" spans="2:17" x14ac:dyDescent="0.2">
      <c r="B25" s="57" t="s">
        <v>71</v>
      </c>
      <c r="C25" s="56"/>
      <c r="D25" s="127">
        <v>485558.56005683466</v>
      </c>
      <c r="E25" s="122">
        <f t="shared" si="6"/>
        <v>8.4796190318369415</v>
      </c>
      <c r="F25" s="128">
        <f t="shared" si="1"/>
        <v>4117351.6069292757</v>
      </c>
      <c r="G25" s="56"/>
      <c r="H25" s="127">
        <v>305490.04074968531</v>
      </c>
      <c r="I25" s="122">
        <f t="shared" si="4"/>
        <v>1.3495676627234783</v>
      </c>
      <c r="J25" s="128">
        <f t="shared" si="2"/>
        <v>412279.48027985293</v>
      </c>
      <c r="K25" s="56"/>
      <c r="L25" s="127">
        <v>525079.33222826105</v>
      </c>
      <c r="M25" s="122">
        <f t="shared" si="5"/>
        <v>4.5658840696493748</v>
      </c>
      <c r="N25" s="128">
        <f t="shared" si="3"/>
        <v>2397451.3583231485</v>
      </c>
      <c r="O25" s="56"/>
      <c r="P25" s="110">
        <f t="shared" si="0"/>
        <v>2809730.8386030016</v>
      </c>
      <c r="Q25" s="56"/>
    </row>
    <row r="26" spans="2:17" x14ac:dyDescent="0.2">
      <c r="B26" s="57" t="s">
        <v>72</v>
      </c>
      <c r="C26" s="56"/>
      <c r="D26" s="127">
        <v>531213.04432756756</v>
      </c>
      <c r="E26" s="122">
        <f t="shared" si="6"/>
        <v>8.4796190318369415</v>
      </c>
      <c r="F26" s="128">
        <f t="shared" si="1"/>
        <v>4504484.2406400824</v>
      </c>
      <c r="G26" s="56"/>
      <c r="H26" s="127">
        <v>319943.53672875511</v>
      </c>
      <c r="I26" s="122">
        <f t="shared" si="4"/>
        <v>1.3495676627234783</v>
      </c>
      <c r="J26" s="128">
        <f t="shared" si="2"/>
        <v>431785.45106650935</v>
      </c>
      <c r="K26" s="56"/>
      <c r="L26" s="127">
        <v>544773.16483958298</v>
      </c>
      <c r="M26" s="122">
        <f t="shared" si="5"/>
        <v>4.5658840696493748</v>
      </c>
      <c r="N26" s="128">
        <f t="shared" si="3"/>
        <v>2487371.1149135251</v>
      </c>
      <c r="O26" s="56"/>
      <c r="P26" s="110">
        <f t="shared" si="0"/>
        <v>2919156.5659800344</v>
      </c>
      <c r="Q26" s="56"/>
    </row>
    <row r="27" spans="2:17" x14ac:dyDescent="0.2">
      <c r="B27" s="57" t="s">
        <v>73</v>
      </c>
      <c r="C27" s="56"/>
      <c r="D27" s="127">
        <v>516535.30511045875</v>
      </c>
      <c r="E27" s="122">
        <f t="shared" si="6"/>
        <v>8.4796190318369415</v>
      </c>
      <c r="F27" s="128">
        <f t="shared" si="1"/>
        <v>4380022.6038303478</v>
      </c>
      <c r="G27" s="56"/>
      <c r="H27" s="127">
        <v>310250.71270163968</v>
      </c>
      <c r="I27" s="122">
        <f t="shared" si="4"/>
        <v>1.3495676627234783</v>
      </c>
      <c r="J27" s="128">
        <f t="shared" si="2"/>
        <v>418704.3291990452</v>
      </c>
      <c r="K27" s="56"/>
      <c r="L27" s="127">
        <v>536179.97209205001</v>
      </c>
      <c r="M27" s="122">
        <f t="shared" si="5"/>
        <v>4.5658840696493748</v>
      </c>
      <c r="N27" s="128">
        <f t="shared" si="3"/>
        <v>2448135.5930401376</v>
      </c>
      <c r="O27" s="56"/>
      <c r="P27" s="110">
        <f t="shared" si="0"/>
        <v>2866839.9222391825</v>
      </c>
      <c r="Q27" s="56"/>
    </row>
    <row r="28" spans="2:17" x14ac:dyDescent="0.2">
      <c r="B28" s="57" t="s">
        <v>74</v>
      </c>
      <c r="C28" s="56"/>
      <c r="D28" s="127">
        <v>449046.48459257552</v>
      </c>
      <c r="E28" s="122">
        <f t="shared" si="6"/>
        <v>8.4796190318369415</v>
      </c>
      <c r="F28" s="128">
        <f t="shared" si="1"/>
        <v>3807743.1169306776</v>
      </c>
      <c r="G28" s="56"/>
      <c r="H28" s="127">
        <v>252915.19430395763</v>
      </c>
      <c r="I28" s="122">
        <f t="shared" si="4"/>
        <v>1.3495676627234783</v>
      </c>
      <c r="J28" s="128">
        <f t="shared" si="2"/>
        <v>341326.16764404648</v>
      </c>
      <c r="K28" s="56"/>
      <c r="L28" s="127">
        <v>450243.24796991819</v>
      </c>
      <c r="M28" s="122">
        <f t="shared" si="5"/>
        <v>4.5658840696493748</v>
      </c>
      <c r="N28" s="128">
        <f t="shared" si="3"/>
        <v>2055758.4733730427</v>
      </c>
      <c r="O28" s="56"/>
      <c r="P28" s="110">
        <f t="shared" si="0"/>
        <v>2397084.6410170891</v>
      </c>
      <c r="Q28" s="56"/>
    </row>
    <row r="29" spans="2:17" x14ac:dyDescent="0.2">
      <c r="B29" s="57" t="s">
        <v>75</v>
      </c>
      <c r="C29" s="56"/>
      <c r="D29" s="127">
        <v>367778.09697144089</v>
      </c>
      <c r="E29" s="122">
        <f t="shared" si="6"/>
        <v>8.4796190318369415</v>
      </c>
      <c r="F29" s="128">
        <f t="shared" si="1"/>
        <v>3118618.1505718022</v>
      </c>
      <c r="G29" s="56"/>
      <c r="H29" s="127">
        <v>264597.42759260756</v>
      </c>
      <c r="I29" s="122">
        <f t="shared" si="4"/>
        <v>1.3495676627234783</v>
      </c>
      <c r="J29" s="128">
        <f t="shared" si="2"/>
        <v>357092.13191880018</v>
      </c>
      <c r="K29" s="56"/>
      <c r="L29" s="127">
        <v>385374.59576816118</v>
      </c>
      <c r="M29" s="122">
        <f t="shared" si="5"/>
        <v>4.5658840696493748</v>
      </c>
      <c r="N29" s="128">
        <f t="shared" si="3"/>
        <v>1759575.7276654146</v>
      </c>
      <c r="O29" s="56"/>
      <c r="P29" s="110">
        <f t="shared" si="0"/>
        <v>2116667.8595842146</v>
      </c>
      <c r="Q29" s="56"/>
    </row>
    <row r="30" spans="2:17" x14ac:dyDescent="0.2">
      <c r="B30" s="57" t="s">
        <v>76</v>
      </c>
      <c r="C30" s="56"/>
      <c r="D30" s="127">
        <v>354005.72483839386</v>
      </c>
      <c r="E30" s="122">
        <f t="shared" si="6"/>
        <v>8.4796190318369415</v>
      </c>
      <c r="F30" s="128">
        <f t="shared" si="1"/>
        <v>3001833.6817188761</v>
      </c>
      <c r="G30" s="56"/>
      <c r="H30" s="127">
        <v>201134.1929041227</v>
      </c>
      <c r="I30" s="122">
        <f t="shared" si="4"/>
        <v>1.3495676627234783</v>
      </c>
      <c r="J30" s="128">
        <f t="shared" si="2"/>
        <v>271444.20261139009</v>
      </c>
      <c r="K30" s="56"/>
      <c r="L30" s="127">
        <v>332095.84140409657</v>
      </c>
      <c r="M30" s="122">
        <f t="shared" si="5"/>
        <v>4.5658840696493748</v>
      </c>
      <c r="N30" s="128">
        <f t="shared" si="3"/>
        <v>1516311.1118637698</v>
      </c>
      <c r="O30" s="56"/>
      <c r="P30" s="110">
        <f t="shared" si="0"/>
        <v>1787755.3144751599</v>
      </c>
      <c r="Q30" s="56"/>
    </row>
    <row r="31" spans="2:17" x14ac:dyDescent="0.2">
      <c r="B31" s="57" t="s">
        <v>77</v>
      </c>
      <c r="C31" s="56"/>
      <c r="D31" s="127">
        <v>385537.68175946228</v>
      </c>
      <c r="E31" s="122">
        <f t="shared" si="6"/>
        <v>8.4796190318369415</v>
      </c>
      <c r="F31" s="128">
        <f t="shared" si="1"/>
        <v>3269212.6637378302</v>
      </c>
      <c r="G31" s="56"/>
      <c r="H31" s="127">
        <v>247966.25396498639</v>
      </c>
      <c r="I31" s="122">
        <f t="shared" si="4"/>
        <v>1.3495676627234783</v>
      </c>
      <c r="J31" s="128">
        <f t="shared" si="2"/>
        <v>334647.23779782309</v>
      </c>
      <c r="K31" s="56"/>
      <c r="L31" s="127">
        <v>384271.36700347648</v>
      </c>
      <c r="M31" s="122">
        <f t="shared" si="5"/>
        <v>4.5658840696493748</v>
      </c>
      <c r="N31" s="128">
        <f t="shared" si="3"/>
        <v>1754538.5130235616</v>
      </c>
      <c r="O31" s="56"/>
      <c r="P31" s="110">
        <f t="shared" si="0"/>
        <v>2089185.7508213846</v>
      </c>
      <c r="Q31" s="56"/>
    </row>
    <row r="32" spans="2:17" x14ac:dyDescent="0.2">
      <c r="B32" s="56"/>
      <c r="C32" s="56"/>
      <c r="D32" s="56"/>
      <c r="E32" s="56"/>
      <c r="F32" s="56"/>
      <c r="G32" s="56"/>
      <c r="H32" s="56"/>
      <c r="I32" s="56"/>
      <c r="J32" s="56"/>
      <c r="K32" s="56"/>
      <c r="L32" s="56"/>
      <c r="M32" s="56"/>
      <c r="N32" s="56"/>
      <c r="O32" s="56"/>
      <c r="P32" s="56"/>
      <c r="Q32" s="56"/>
    </row>
    <row r="33" spans="2:17" ht="13.5" thickBot="1" x14ac:dyDescent="0.25">
      <c r="B33" s="104" t="s">
        <v>5</v>
      </c>
      <c r="C33" s="56"/>
      <c r="D33" s="111">
        <f>SUM(D20:D31)</f>
        <v>4953352.05486832</v>
      </c>
      <c r="E33" s="112">
        <f>IF(D33&lt;&gt;0,F33/D33,0)</f>
        <v>8.4796190318369433</v>
      </c>
      <c r="F33" s="113">
        <f>SUM(F20:F31)</f>
        <v>42002538.355850041</v>
      </c>
      <c r="G33" s="56"/>
      <c r="H33" s="111">
        <f>SUM(H20:H31)</f>
        <v>2915466.6815811209</v>
      </c>
      <c r="I33" s="112">
        <f>IF(H33&lt;&gt;0,J33/H33,0)</f>
        <v>1.3495676627234783</v>
      </c>
      <c r="J33" s="113">
        <f>SUM(J20:J31)</f>
        <v>3934619.5552096087</v>
      </c>
      <c r="K33" s="56"/>
      <c r="L33" s="111">
        <f>SUM(L20:L31)</f>
        <v>5094704.4395052427</v>
      </c>
      <c r="M33" s="112">
        <f>IF(L33&lt;&gt;0,N33/L33,0)</f>
        <v>4.5658840696493748</v>
      </c>
      <c r="N33" s="113">
        <f>SUM(N20:N31)</f>
        <v>23261829.839908935</v>
      </c>
      <c r="O33" s="56"/>
      <c r="P33" s="113">
        <f>SUM(P20:P31)</f>
        <v>27196449.395118546</v>
      </c>
      <c r="Q33" s="56"/>
    </row>
    <row r="34" spans="2:17" x14ac:dyDescent="0.2">
      <c r="B34" s="56"/>
      <c r="C34" s="56"/>
      <c r="D34" s="56"/>
      <c r="E34" s="56"/>
      <c r="F34" s="56"/>
      <c r="G34" s="56"/>
      <c r="H34" s="56"/>
      <c r="I34" s="56"/>
      <c r="J34" s="56"/>
      <c r="K34" s="56"/>
      <c r="L34" s="56"/>
      <c r="M34" s="56"/>
      <c r="N34" s="56"/>
      <c r="O34" s="56"/>
      <c r="P34" s="56"/>
      <c r="Q34" s="56"/>
    </row>
    <row r="35" spans="2:17" x14ac:dyDescent="0.2">
      <c r="B35" s="101" t="s">
        <v>78</v>
      </c>
      <c r="C35" s="102"/>
      <c r="D35" s="267" t="s">
        <v>2</v>
      </c>
      <c r="E35" s="267"/>
      <c r="F35" s="267"/>
      <c r="G35" s="102"/>
      <c r="H35" s="267" t="s">
        <v>3</v>
      </c>
      <c r="I35" s="267"/>
      <c r="J35" s="267"/>
      <c r="K35" s="102"/>
      <c r="L35" s="267" t="s">
        <v>4</v>
      </c>
      <c r="M35" s="267"/>
      <c r="N35" s="267"/>
      <c r="O35" s="102"/>
      <c r="P35" s="101" t="s">
        <v>62</v>
      </c>
      <c r="Q35" s="56"/>
    </row>
    <row r="36" spans="2:17" x14ac:dyDescent="0.2">
      <c r="B36" s="104"/>
      <c r="C36" s="56"/>
      <c r="D36" s="120"/>
      <c r="E36" s="120"/>
      <c r="F36" s="120"/>
      <c r="G36" s="56"/>
      <c r="H36" s="120"/>
      <c r="I36" s="120"/>
      <c r="J36" s="120"/>
      <c r="K36" s="56"/>
      <c r="L36" s="120"/>
      <c r="M36" s="120"/>
      <c r="N36" s="120"/>
      <c r="O36" s="56"/>
      <c r="P36" s="120"/>
      <c r="Q36" s="56"/>
    </row>
    <row r="37" spans="2:17" x14ac:dyDescent="0.2">
      <c r="B37" s="104" t="s">
        <v>63</v>
      </c>
      <c r="C37" s="56"/>
      <c r="D37" s="120" t="s">
        <v>64</v>
      </c>
      <c r="E37" s="120" t="s">
        <v>23</v>
      </c>
      <c r="F37" s="120" t="s">
        <v>65</v>
      </c>
      <c r="G37" s="56"/>
      <c r="H37" s="120" t="s">
        <v>64</v>
      </c>
      <c r="I37" s="120" t="s">
        <v>23</v>
      </c>
      <c r="J37" s="120" t="s">
        <v>65</v>
      </c>
      <c r="K37" s="56"/>
      <c r="L37" s="120" t="s">
        <v>64</v>
      </c>
      <c r="M37" s="120" t="s">
        <v>23</v>
      </c>
      <c r="N37" s="120" t="s">
        <v>65</v>
      </c>
      <c r="O37" s="56"/>
      <c r="P37" s="120" t="s">
        <v>65</v>
      </c>
      <c r="Q37" s="56"/>
    </row>
    <row r="38" spans="2:17" x14ac:dyDescent="0.2">
      <c r="B38" s="56"/>
      <c r="C38" s="56"/>
      <c r="D38" s="56"/>
      <c r="E38" s="56"/>
      <c r="F38" s="56"/>
      <c r="G38" s="56"/>
      <c r="H38" s="56"/>
      <c r="I38" s="56"/>
      <c r="J38" s="56"/>
      <c r="K38" s="56"/>
      <c r="L38" s="56"/>
      <c r="M38" s="56"/>
      <c r="N38" s="56"/>
      <c r="O38" s="56"/>
      <c r="P38" s="56"/>
      <c r="Q38" s="56"/>
    </row>
    <row r="39" spans="2:17" x14ac:dyDescent="0.2">
      <c r="B39" s="57" t="s">
        <v>66</v>
      </c>
      <c r="C39" s="56"/>
      <c r="D39" s="127">
        <v>323772.69987157139</v>
      </c>
      <c r="E39" s="122">
        <f>'4. UTRs &amp; Sub-Transmission'!Q35</f>
        <v>7.0925290740388105</v>
      </c>
      <c r="F39" s="128">
        <f>D39*E39</f>
        <v>2296367.2872191621</v>
      </c>
      <c r="G39" s="56"/>
      <c r="H39" s="127">
        <v>294369.06310345157</v>
      </c>
      <c r="I39" s="122">
        <f>'4. UTRs &amp; Sub-Transmission'!Q37</f>
        <v>0.92877246548629777</v>
      </c>
      <c r="J39" s="128">
        <f>H39*I39</f>
        <v>273401.88050148427</v>
      </c>
      <c r="K39" s="56"/>
      <c r="L39" s="127">
        <v>341300.96636751923</v>
      </c>
      <c r="M39" s="122">
        <f>'4. UTRs &amp; Sub-Transmission'!Q39</f>
        <v>4.699762794287472</v>
      </c>
      <c r="N39" s="128">
        <f>L39*M39</f>
        <v>1604033.5833884266</v>
      </c>
      <c r="O39" s="56"/>
      <c r="P39" s="110">
        <f t="shared" ref="P39:P50" si="7">J39+N39</f>
        <v>1877435.4638899108</v>
      </c>
      <c r="Q39" s="56"/>
    </row>
    <row r="40" spans="2:17" x14ac:dyDescent="0.2">
      <c r="B40" s="57" t="s">
        <v>67</v>
      </c>
      <c r="C40" s="56"/>
      <c r="D40" s="127">
        <v>323903.50442988862</v>
      </c>
      <c r="E40" s="122">
        <f t="shared" ref="E40:E50" si="8">E39</f>
        <v>7.0925290740388105</v>
      </c>
      <c r="F40" s="128">
        <f t="shared" ref="F40:F50" si="9">D40*E40</f>
        <v>2297295.0223520435</v>
      </c>
      <c r="G40" s="56"/>
      <c r="H40" s="127">
        <v>269941.17992993188</v>
      </c>
      <c r="I40" s="122">
        <f t="shared" ref="I40:I50" si="10">I39</f>
        <v>0.92877246548629777</v>
      </c>
      <c r="J40" s="128">
        <f t="shared" ref="J40:J50" si="11">H40*I40</f>
        <v>250713.93521980316</v>
      </c>
      <c r="K40" s="56"/>
      <c r="L40" s="127">
        <v>325671.58441631682</v>
      </c>
      <c r="M40" s="122">
        <f t="shared" ref="M40:M50" si="12">M39</f>
        <v>4.699762794287472</v>
      </c>
      <c r="N40" s="128">
        <f t="shared" ref="N40:N50" si="13">L40*M40</f>
        <v>1530579.1955964575</v>
      </c>
      <c r="O40" s="56"/>
      <c r="P40" s="110">
        <f t="shared" si="7"/>
        <v>1781293.1308162606</v>
      </c>
      <c r="Q40" s="56"/>
    </row>
    <row r="41" spans="2:17" x14ac:dyDescent="0.2">
      <c r="B41" s="57" t="s">
        <v>68</v>
      </c>
      <c r="C41" s="56"/>
      <c r="D41" s="127">
        <v>272550.73566500633</v>
      </c>
      <c r="E41" s="122">
        <f t="shared" si="8"/>
        <v>7.0925290740388105</v>
      </c>
      <c r="F41" s="128">
        <f t="shared" si="9"/>
        <v>1933074.0168547239</v>
      </c>
      <c r="G41" s="56"/>
      <c r="H41" s="127">
        <v>232456.89610841134</v>
      </c>
      <c r="I41" s="122">
        <f t="shared" si="10"/>
        <v>0.92877246548629777</v>
      </c>
      <c r="J41" s="128">
        <f t="shared" si="11"/>
        <v>215899.56451790137</v>
      </c>
      <c r="K41" s="56"/>
      <c r="L41" s="127">
        <v>277543.16959886358</v>
      </c>
      <c r="M41" s="122">
        <f t="shared" si="12"/>
        <v>4.699762794287472</v>
      </c>
      <c r="N41" s="128">
        <f t="shared" si="13"/>
        <v>1304387.0622893567</v>
      </c>
      <c r="O41" s="56"/>
      <c r="P41" s="110">
        <f t="shared" si="7"/>
        <v>1520286.626807258</v>
      </c>
      <c r="Q41" s="56"/>
    </row>
    <row r="42" spans="2:17" x14ac:dyDescent="0.2">
      <c r="B42" s="57" t="s">
        <v>69</v>
      </c>
      <c r="C42" s="56"/>
      <c r="D42" s="127">
        <v>239841.13000410495</v>
      </c>
      <c r="E42" s="122">
        <f t="shared" si="8"/>
        <v>7.0925290740388105</v>
      </c>
      <c r="F42" s="128">
        <f t="shared" si="9"/>
        <v>1701080.1877044365</v>
      </c>
      <c r="G42" s="56"/>
      <c r="H42" s="127">
        <v>212145.54318767419</v>
      </c>
      <c r="I42" s="122">
        <f t="shared" si="10"/>
        <v>0.92877246548629777</v>
      </c>
      <c r="J42" s="128">
        <f t="shared" si="11"/>
        <v>197034.93918834603</v>
      </c>
      <c r="K42" s="56"/>
      <c r="L42" s="127">
        <v>244769.46874505744</v>
      </c>
      <c r="M42" s="122">
        <f t="shared" si="12"/>
        <v>4.699762794287472</v>
      </c>
      <c r="N42" s="128">
        <f t="shared" si="13"/>
        <v>1150358.4423855313</v>
      </c>
      <c r="O42" s="56"/>
      <c r="P42" s="110">
        <f t="shared" si="7"/>
        <v>1347393.3815738773</v>
      </c>
      <c r="Q42" s="56"/>
    </row>
    <row r="43" spans="2:17" x14ac:dyDescent="0.2">
      <c r="B43" s="57" t="s">
        <v>70</v>
      </c>
      <c r="C43" s="56"/>
      <c r="D43" s="127">
        <v>280212.43159501808</v>
      </c>
      <c r="E43" s="122">
        <f t="shared" si="8"/>
        <v>7.0925290740388105</v>
      </c>
      <c r="F43" s="128">
        <f t="shared" si="9"/>
        <v>1987414.8179947771</v>
      </c>
      <c r="G43" s="56"/>
      <c r="H43" s="127">
        <v>232824.8468846677</v>
      </c>
      <c r="I43" s="122">
        <f t="shared" si="10"/>
        <v>0.92877246548629777</v>
      </c>
      <c r="J43" s="128">
        <f t="shared" si="11"/>
        <v>216241.3070675426</v>
      </c>
      <c r="K43" s="56"/>
      <c r="L43" s="127">
        <v>282627.97495852923</v>
      </c>
      <c r="M43" s="122">
        <f t="shared" si="12"/>
        <v>4.699762794287472</v>
      </c>
      <c r="N43" s="128">
        <f t="shared" si="13"/>
        <v>1328284.441334907</v>
      </c>
      <c r="O43" s="56"/>
      <c r="P43" s="110">
        <f t="shared" si="7"/>
        <v>1544525.7484024495</v>
      </c>
      <c r="Q43" s="56"/>
    </row>
    <row r="44" spans="2:17" x14ac:dyDescent="0.2">
      <c r="B44" s="57" t="s">
        <v>71</v>
      </c>
      <c r="C44" s="56"/>
      <c r="D44" s="127">
        <v>362744.14805950382</v>
      </c>
      <c r="E44" s="122">
        <f t="shared" si="8"/>
        <v>7.0925290740388105</v>
      </c>
      <c r="F44" s="128">
        <f t="shared" si="9"/>
        <v>2572773.4165494698</v>
      </c>
      <c r="G44" s="56"/>
      <c r="H44" s="127">
        <v>316292.72490569035</v>
      </c>
      <c r="I44" s="122">
        <f t="shared" si="10"/>
        <v>0.92877246548629777</v>
      </c>
      <c r="J44" s="128">
        <f t="shared" si="11"/>
        <v>293763.97392603738</v>
      </c>
      <c r="K44" s="56"/>
      <c r="L44" s="127">
        <v>366201.84688228072</v>
      </c>
      <c r="M44" s="122">
        <f t="shared" si="12"/>
        <v>4.699762794287472</v>
      </c>
      <c r="N44" s="128">
        <f t="shared" si="13"/>
        <v>1721061.8151767007</v>
      </c>
      <c r="O44" s="56"/>
      <c r="P44" s="110">
        <f t="shared" si="7"/>
        <v>2014825.789102738</v>
      </c>
      <c r="Q44" s="56"/>
    </row>
    <row r="45" spans="2:17" x14ac:dyDescent="0.2">
      <c r="B45" s="57" t="s">
        <v>72</v>
      </c>
      <c r="C45" s="56"/>
      <c r="D45" s="127">
        <v>344447.47073733603</v>
      </c>
      <c r="E45" s="122">
        <f t="shared" si="8"/>
        <v>7.0925290740388105</v>
      </c>
      <c r="F45" s="128">
        <f t="shared" si="9"/>
        <v>2443003.7006836883</v>
      </c>
      <c r="G45" s="56"/>
      <c r="H45" s="127">
        <v>292586.91695027373</v>
      </c>
      <c r="I45" s="122">
        <f t="shared" si="10"/>
        <v>0.92877246548629777</v>
      </c>
      <c r="J45" s="128">
        <f t="shared" si="11"/>
        <v>271746.67222494038</v>
      </c>
      <c r="K45" s="56"/>
      <c r="L45" s="127">
        <v>345451.6847203903</v>
      </c>
      <c r="M45" s="122">
        <f t="shared" si="12"/>
        <v>4.699762794287472</v>
      </c>
      <c r="N45" s="128">
        <f t="shared" si="13"/>
        <v>1623540.9750728162</v>
      </c>
      <c r="O45" s="56"/>
      <c r="P45" s="110">
        <f t="shared" si="7"/>
        <v>1895287.6472977567</v>
      </c>
      <c r="Q45" s="56"/>
    </row>
    <row r="46" spans="2:17" x14ac:dyDescent="0.2">
      <c r="B46" s="57" t="s">
        <v>73</v>
      </c>
      <c r="C46" s="56"/>
      <c r="D46" s="127">
        <v>377093.53281971498</v>
      </c>
      <c r="E46" s="122">
        <f t="shared" si="8"/>
        <v>7.0925290740388105</v>
      </c>
      <c r="F46" s="128">
        <f t="shared" si="9"/>
        <v>2674546.845155837</v>
      </c>
      <c r="G46" s="56"/>
      <c r="H46" s="127">
        <v>284918.30185724853</v>
      </c>
      <c r="I46" s="122">
        <f t="shared" si="10"/>
        <v>0.92877246548629777</v>
      </c>
      <c r="J46" s="128">
        <f t="shared" si="11"/>
        <v>264624.27367812593</v>
      </c>
      <c r="K46" s="56"/>
      <c r="L46" s="127">
        <v>381256.68647942261</v>
      </c>
      <c r="M46" s="122">
        <f t="shared" si="12"/>
        <v>4.699762794287472</v>
      </c>
      <c r="N46" s="128">
        <f t="shared" si="13"/>
        <v>1791815.9901893139</v>
      </c>
      <c r="O46" s="56"/>
      <c r="P46" s="110">
        <f t="shared" si="7"/>
        <v>2056440.2638674397</v>
      </c>
      <c r="Q46" s="56"/>
    </row>
    <row r="47" spans="2:17" x14ac:dyDescent="0.2">
      <c r="B47" s="57" t="s">
        <v>74</v>
      </c>
      <c r="C47" s="56"/>
      <c r="D47" s="127">
        <v>314468.57211813529</v>
      </c>
      <c r="E47" s="122">
        <f t="shared" si="8"/>
        <v>7.0925290740388105</v>
      </c>
      <c r="F47" s="128">
        <f t="shared" si="9"/>
        <v>2230377.4906193451</v>
      </c>
      <c r="G47" s="56"/>
      <c r="H47" s="127">
        <v>245184.82238334417</v>
      </c>
      <c r="I47" s="122">
        <f t="shared" si="10"/>
        <v>0.92877246548629777</v>
      </c>
      <c r="J47" s="128">
        <f t="shared" si="11"/>
        <v>227720.91198479859</v>
      </c>
      <c r="K47" s="56"/>
      <c r="L47" s="127">
        <v>316137.21761633776</v>
      </c>
      <c r="M47" s="122">
        <f t="shared" si="12"/>
        <v>4.699762794287472</v>
      </c>
      <c r="N47" s="128">
        <f t="shared" si="13"/>
        <v>1485769.9332428263</v>
      </c>
      <c r="O47" s="56"/>
      <c r="P47" s="110">
        <f t="shared" si="7"/>
        <v>1713490.8452276248</v>
      </c>
      <c r="Q47" s="56"/>
    </row>
    <row r="48" spans="2:17" x14ac:dyDescent="0.2">
      <c r="B48" s="57" t="s">
        <v>75</v>
      </c>
      <c r="C48" s="56"/>
      <c r="D48" s="127">
        <v>264793.11879055202</v>
      </c>
      <c r="E48" s="122">
        <f t="shared" si="8"/>
        <v>7.0925290740388105</v>
      </c>
      <c r="F48" s="128">
        <f t="shared" si="9"/>
        <v>1878052.8936274026</v>
      </c>
      <c r="G48" s="56"/>
      <c r="H48" s="127">
        <v>210227.1003155896</v>
      </c>
      <c r="I48" s="122">
        <f t="shared" si="10"/>
        <v>0.92877246548629777</v>
      </c>
      <c r="J48" s="128">
        <f t="shared" si="11"/>
        <v>195253.1422721454</v>
      </c>
      <c r="K48" s="56"/>
      <c r="L48" s="127">
        <v>267895.00235348404</v>
      </c>
      <c r="M48" s="122">
        <f t="shared" si="12"/>
        <v>4.699762794287472</v>
      </c>
      <c r="N48" s="128">
        <f t="shared" si="13"/>
        <v>1259042.9648364591</v>
      </c>
      <c r="O48" s="56"/>
      <c r="P48" s="110">
        <f t="shared" si="7"/>
        <v>1454296.1071086046</v>
      </c>
      <c r="Q48" s="56"/>
    </row>
    <row r="49" spans="2:17" x14ac:dyDescent="0.2">
      <c r="B49" s="57" t="s">
        <v>76</v>
      </c>
      <c r="C49" s="56"/>
      <c r="D49" s="127">
        <v>287870.93775490596</v>
      </c>
      <c r="E49" s="122">
        <f t="shared" si="8"/>
        <v>7.0925290740388105</v>
      </c>
      <c r="F49" s="128">
        <f t="shared" si="9"/>
        <v>2041732.9955974873</v>
      </c>
      <c r="G49" s="56"/>
      <c r="H49" s="127">
        <v>233339.03543032982</v>
      </c>
      <c r="I49" s="122">
        <f t="shared" si="10"/>
        <v>0.92877246548629777</v>
      </c>
      <c r="J49" s="128">
        <f t="shared" si="11"/>
        <v>216718.87123082203</v>
      </c>
      <c r="K49" s="56"/>
      <c r="L49" s="127">
        <v>292151.42938703141</v>
      </c>
      <c r="M49" s="122">
        <f t="shared" si="12"/>
        <v>4.699762794287472</v>
      </c>
      <c r="N49" s="128">
        <f t="shared" si="13"/>
        <v>1373042.4181310739</v>
      </c>
      <c r="O49" s="56"/>
      <c r="P49" s="110">
        <f t="shared" si="7"/>
        <v>1589761.289361896</v>
      </c>
      <c r="Q49" s="56"/>
    </row>
    <row r="50" spans="2:17" x14ac:dyDescent="0.2">
      <c r="B50" s="57" t="s">
        <v>77</v>
      </c>
      <c r="C50" s="56"/>
      <c r="D50" s="127">
        <v>296351.69710137713</v>
      </c>
      <c r="E50" s="122">
        <f t="shared" si="8"/>
        <v>7.0925290740388105</v>
      </c>
      <c r="F50" s="128">
        <f t="shared" si="9"/>
        <v>2101883.0278322604</v>
      </c>
      <c r="G50" s="56"/>
      <c r="H50" s="127">
        <v>253287.51002880477</v>
      </c>
      <c r="I50" s="122">
        <f t="shared" si="10"/>
        <v>0.92877246548629777</v>
      </c>
      <c r="J50" s="128">
        <f t="shared" si="11"/>
        <v>235246.46516633837</v>
      </c>
      <c r="K50" s="56"/>
      <c r="L50" s="127">
        <v>303598.02740148513</v>
      </c>
      <c r="M50" s="122">
        <f t="shared" si="12"/>
        <v>4.699762794287472</v>
      </c>
      <c r="N50" s="128">
        <f t="shared" si="13"/>
        <v>1426838.7136005682</v>
      </c>
      <c r="O50" s="56"/>
      <c r="P50" s="110">
        <f t="shared" si="7"/>
        <v>1662085.1787669067</v>
      </c>
      <c r="Q50" s="56"/>
    </row>
    <row r="51" spans="2:17" x14ac:dyDescent="0.2">
      <c r="B51" s="56"/>
      <c r="C51" s="56"/>
      <c r="D51" s="56"/>
      <c r="E51" s="56"/>
      <c r="F51" s="56"/>
      <c r="G51" s="56"/>
      <c r="H51" s="56"/>
      <c r="I51" s="56"/>
      <c r="J51" s="56"/>
      <c r="K51" s="56"/>
      <c r="L51" s="56"/>
      <c r="M51" s="56"/>
      <c r="N51" s="56"/>
      <c r="O51" s="56"/>
      <c r="P51" s="56"/>
      <c r="Q51" s="56"/>
    </row>
    <row r="52" spans="2:17" ht="13.5" thickBot="1" x14ac:dyDescent="0.25">
      <c r="B52" s="104" t="s">
        <v>5</v>
      </c>
      <c r="C52" s="56"/>
      <c r="D52" s="111">
        <f>SUM(D39:D50)</f>
        <v>3688049.9789471142</v>
      </c>
      <c r="E52" s="112">
        <f>IF(D52&lt;&gt;0,F52/D52,0)</f>
        <v>7.0925290740388123</v>
      </c>
      <c r="F52" s="113">
        <f>SUM(F39:F50)</f>
        <v>26157601.702190638</v>
      </c>
      <c r="G52" s="56"/>
      <c r="H52" s="111">
        <f>SUM(H39:H50)</f>
        <v>3077573.9410854178</v>
      </c>
      <c r="I52" s="112">
        <f>IF(H52&lt;&gt;0,J52/H52,0)</f>
        <v>0.92877246548629766</v>
      </c>
      <c r="J52" s="113">
        <f>SUM(J39:J50)</f>
        <v>2858365.9369782852</v>
      </c>
      <c r="K52" s="56"/>
      <c r="L52" s="111">
        <f>SUM(L39:L50)</f>
        <v>3744605.0589267183</v>
      </c>
      <c r="M52" s="112">
        <f>IF(L52&lt;&gt;0,N52/L52,0)</f>
        <v>4.6997627942874711</v>
      </c>
      <c r="N52" s="113">
        <f>SUM(N39:N50)</f>
        <v>17598755.535244435</v>
      </c>
      <c r="O52" s="56"/>
      <c r="P52" s="113">
        <f>SUM(P39:P50)</f>
        <v>20457121.472222723</v>
      </c>
      <c r="Q52" s="56"/>
    </row>
    <row r="53" spans="2:17" x14ac:dyDescent="0.2">
      <c r="B53" s="56"/>
      <c r="C53" s="56"/>
      <c r="D53" s="56"/>
      <c r="E53" s="56"/>
      <c r="F53" s="56"/>
      <c r="G53" s="56"/>
      <c r="H53" s="56"/>
      <c r="I53" s="56"/>
      <c r="J53" s="56"/>
      <c r="K53" s="56"/>
      <c r="L53" s="56"/>
      <c r="M53" s="56"/>
      <c r="N53" s="56"/>
      <c r="O53" s="56"/>
      <c r="P53" s="56"/>
      <c r="Q53" s="56"/>
    </row>
    <row r="54" spans="2:17" x14ac:dyDescent="0.2">
      <c r="B54" s="101" t="e">
        <f>#REF!</f>
        <v>#REF!</v>
      </c>
      <c r="C54" s="102"/>
      <c r="D54" s="267" t="s">
        <v>2</v>
      </c>
      <c r="E54" s="267"/>
      <c r="F54" s="267"/>
      <c r="G54" s="102"/>
      <c r="H54" s="267" t="s">
        <v>3</v>
      </c>
      <c r="I54" s="267"/>
      <c r="J54" s="267"/>
      <c r="K54" s="102"/>
      <c r="L54" s="267" t="s">
        <v>4</v>
      </c>
      <c r="M54" s="267"/>
      <c r="N54" s="267"/>
      <c r="O54" s="102"/>
      <c r="P54" s="101" t="s">
        <v>62</v>
      </c>
      <c r="Q54" s="56"/>
    </row>
    <row r="55" spans="2:17" x14ac:dyDescent="0.2">
      <c r="B55" s="104"/>
      <c r="C55" s="56"/>
      <c r="D55" s="120"/>
      <c r="E55" s="120"/>
      <c r="F55" s="120"/>
      <c r="G55" s="56"/>
      <c r="H55" s="120"/>
      <c r="I55" s="120"/>
      <c r="J55" s="120"/>
      <c r="K55" s="56"/>
      <c r="L55" s="120"/>
      <c r="M55" s="120"/>
      <c r="N55" s="120"/>
      <c r="O55" s="56"/>
      <c r="P55" s="120"/>
      <c r="Q55" s="56"/>
    </row>
    <row r="56" spans="2:17" x14ac:dyDescent="0.2">
      <c r="B56" s="104" t="s">
        <v>63</v>
      </c>
      <c r="C56" s="56"/>
      <c r="D56" s="120" t="s">
        <v>64</v>
      </c>
      <c r="E56" s="120" t="s">
        <v>23</v>
      </c>
      <c r="F56" s="120" t="s">
        <v>65</v>
      </c>
      <c r="G56" s="56"/>
      <c r="H56" s="120" t="s">
        <v>64</v>
      </c>
      <c r="I56" s="120" t="s">
        <v>23</v>
      </c>
      <c r="J56" s="120" t="s">
        <v>65</v>
      </c>
      <c r="K56" s="56"/>
      <c r="L56" s="120" t="s">
        <v>64</v>
      </c>
      <c r="M56" s="120" t="s">
        <v>23</v>
      </c>
      <c r="N56" s="120" t="s">
        <v>65</v>
      </c>
      <c r="O56" s="56"/>
      <c r="P56" s="120" t="s">
        <v>65</v>
      </c>
      <c r="Q56" s="56"/>
    </row>
    <row r="57" spans="2:17" x14ac:dyDescent="0.2">
      <c r="B57" s="56"/>
      <c r="C57" s="56"/>
      <c r="D57" s="56"/>
      <c r="E57" s="56"/>
      <c r="F57" s="56"/>
      <c r="G57" s="56"/>
      <c r="H57" s="56"/>
      <c r="I57" s="56"/>
      <c r="J57" s="56"/>
      <c r="K57" s="56"/>
      <c r="L57" s="56"/>
      <c r="M57" s="56"/>
      <c r="N57" s="56"/>
      <c r="O57" s="56"/>
      <c r="P57" s="56"/>
      <c r="Q57" s="56"/>
    </row>
    <row r="58" spans="2:17" x14ac:dyDescent="0.2">
      <c r="B58" s="57" t="s">
        <v>66</v>
      </c>
      <c r="C58" s="56"/>
      <c r="D58" s="127"/>
      <c r="E58" s="122"/>
      <c r="F58" s="128"/>
      <c r="G58" s="56"/>
      <c r="H58" s="127"/>
      <c r="I58" s="122"/>
      <c r="J58" s="128"/>
      <c r="K58" s="56"/>
      <c r="L58" s="127"/>
      <c r="M58" s="122"/>
      <c r="N58" s="128"/>
      <c r="O58" s="56"/>
      <c r="P58" s="110"/>
      <c r="Q58" s="56"/>
    </row>
    <row r="59" spans="2:17" x14ac:dyDescent="0.2">
      <c r="B59" s="57" t="s">
        <v>67</v>
      </c>
      <c r="C59" s="56"/>
      <c r="D59" s="127"/>
      <c r="E59" s="122"/>
      <c r="F59" s="128"/>
      <c r="G59" s="56"/>
      <c r="H59" s="127"/>
      <c r="I59" s="122"/>
      <c r="J59" s="128"/>
      <c r="K59" s="56"/>
      <c r="L59" s="127"/>
      <c r="M59" s="122"/>
      <c r="N59" s="128"/>
      <c r="O59" s="56"/>
      <c r="P59" s="110"/>
      <c r="Q59" s="56"/>
    </row>
    <row r="60" spans="2:17" x14ac:dyDescent="0.2">
      <c r="B60" s="57" t="s">
        <v>68</v>
      </c>
      <c r="C60" s="56"/>
      <c r="D60" s="127"/>
      <c r="E60" s="122"/>
      <c r="F60" s="128"/>
      <c r="G60" s="56"/>
      <c r="H60" s="127"/>
      <c r="I60" s="122"/>
      <c r="J60" s="128"/>
      <c r="K60" s="56"/>
      <c r="L60" s="127"/>
      <c r="M60" s="122"/>
      <c r="N60" s="128"/>
      <c r="O60" s="56"/>
      <c r="P60" s="110"/>
      <c r="Q60" s="56"/>
    </row>
    <row r="61" spans="2:17" x14ac:dyDescent="0.2">
      <c r="B61" s="57" t="s">
        <v>69</v>
      </c>
      <c r="C61" s="56"/>
      <c r="D61" s="127"/>
      <c r="E61" s="122"/>
      <c r="F61" s="128"/>
      <c r="G61" s="56"/>
      <c r="H61" s="127"/>
      <c r="I61" s="122"/>
      <c r="J61" s="128"/>
      <c r="K61" s="56"/>
      <c r="L61" s="127"/>
      <c r="M61" s="122"/>
      <c r="N61" s="128"/>
      <c r="O61" s="56"/>
      <c r="P61" s="110"/>
      <c r="Q61" s="56"/>
    </row>
    <row r="62" spans="2:17" x14ac:dyDescent="0.2">
      <c r="B62" s="57" t="s">
        <v>70</v>
      </c>
      <c r="C62" s="56"/>
      <c r="D62" s="127"/>
      <c r="E62" s="122"/>
      <c r="F62" s="128"/>
      <c r="G62" s="56"/>
      <c r="H62" s="127"/>
      <c r="I62" s="122"/>
      <c r="J62" s="128"/>
      <c r="K62" s="56"/>
      <c r="L62" s="127"/>
      <c r="M62" s="122"/>
      <c r="N62" s="128"/>
      <c r="O62" s="56"/>
      <c r="P62" s="110"/>
      <c r="Q62" s="56"/>
    </row>
    <row r="63" spans="2:17" x14ac:dyDescent="0.2">
      <c r="B63" s="57" t="s">
        <v>71</v>
      </c>
      <c r="C63" s="56"/>
      <c r="D63" s="127"/>
      <c r="E63" s="122"/>
      <c r="F63" s="128"/>
      <c r="G63" s="56"/>
      <c r="H63" s="127"/>
      <c r="I63" s="122"/>
      <c r="J63" s="128"/>
      <c r="K63" s="56"/>
      <c r="L63" s="127"/>
      <c r="M63" s="122"/>
      <c r="N63" s="128"/>
      <c r="O63" s="56"/>
      <c r="P63" s="110"/>
      <c r="Q63" s="56"/>
    </row>
    <row r="64" spans="2:17" x14ac:dyDescent="0.2">
      <c r="B64" s="57" t="s">
        <v>72</v>
      </c>
      <c r="C64" s="56"/>
      <c r="D64" s="127"/>
      <c r="E64" s="122"/>
      <c r="F64" s="128"/>
      <c r="G64" s="56"/>
      <c r="H64" s="127"/>
      <c r="I64" s="122"/>
      <c r="J64" s="128"/>
      <c r="K64" s="56"/>
      <c r="L64" s="127"/>
      <c r="M64" s="122"/>
      <c r="N64" s="128"/>
      <c r="O64" s="56"/>
      <c r="P64" s="110"/>
      <c r="Q64" s="56"/>
    </row>
    <row r="65" spans="2:17" x14ac:dyDescent="0.2">
      <c r="B65" s="57" t="s">
        <v>73</v>
      </c>
      <c r="C65" s="56"/>
      <c r="D65" s="127"/>
      <c r="E65" s="122"/>
      <c r="F65" s="128"/>
      <c r="G65" s="56"/>
      <c r="H65" s="127"/>
      <c r="I65" s="122"/>
      <c r="J65" s="128"/>
      <c r="K65" s="56"/>
      <c r="L65" s="127"/>
      <c r="M65" s="122"/>
      <c r="N65" s="128"/>
      <c r="O65" s="56"/>
      <c r="P65" s="110"/>
      <c r="Q65" s="56"/>
    </row>
    <row r="66" spans="2:17" x14ac:dyDescent="0.2">
      <c r="B66" s="57" t="s">
        <v>74</v>
      </c>
      <c r="C66" s="56"/>
      <c r="D66" s="127"/>
      <c r="E66" s="122"/>
      <c r="F66" s="128"/>
      <c r="G66" s="56"/>
      <c r="H66" s="127"/>
      <c r="I66" s="122"/>
      <c r="J66" s="128"/>
      <c r="K66" s="56"/>
      <c r="L66" s="127"/>
      <c r="M66" s="122"/>
      <c r="N66" s="128"/>
      <c r="O66" s="56"/>
      <c r="P66" s="110"/>
      <c r="Q66" s="56"/>
    </row>
    <row r="67" spans="2:17" x14ac:dyDescent="0.2">
      <c r="B67" s="57" t="s">
        <v>75</v>
      </c>
      <c r="C67" s="56"/>
      <c r="D67" s="127"/>
      <c r="E67" s="122"/>
      <c r="F67" s="128"/>
      <c r="G67" s="56"/>
      <c r="H67" s="127"/>
      <c r="I67" s="122"/>
      <c r="J67" s="128"/>
      <c r="K67" s="56"/>
      <c r="L67" s="127"/>
      <c r="M67" s="122"/>
      <c r="N67" s="128"/>
      <c r="O67" s="56"/>
      <c r="P67" s="110"/>
      <c r="Q67" s="56"/>
    </row>
    <row r="68" spans="2:17" x14ac:dyDescent="0.2">
      <c r="B68" s="57" t="s">
        <v>76</v>
      </c>
      <c r="C68" s="56"/>
      <c r="D68" s="127"/>
      <c r="E68" s="122"/>
      <c r="F68" s="128"/>
      <c r="G68" s="56"/>
      <c r="H68" s="127"/>
      <c r="I68" s="122"/>
      <c r="J68" s="128"/>
      <c r="K68" s="56"/>
      <c r="L68" s="127"/>
      <c r="M68" s="122"/>
      <c r="N68" s="128"/>
      <c r="O68" s="56"/>
      <c r="P68" s="110"/>
      <c r="Q68" s="56"/>
    </row>
    <row r="69" spans="2:17" x14ac:dyDescent="0.2">
      <c r="B69" s="57" t="s">
        <v>77</v>
      </c>
      <c r="C69" s="56"/>
      <c r="D69" s="127"/>
      <c r="E69" s="122"/>
      <c r="F69" s="128"/>
      <c r="G69" s="56"/>
      <c r="H69" s="127"/>
      <c r="I69" s="122"/>
      <c r="J69" s="128"/>
      <c r="K69" s="56"/>
      <c r="L69" s="127"/>
      <c r="M69" s="122"/>
      <c r="N69" s="128"/>
      <c r="O69" s="56"/>
      <c r="P69" s="110"/>
      <c r="Q69" s="56"/>
    </row>
    <row r="70" spans="2:17" x14ac:dyDescent="0.2">
      <c r="B70" s="56"/>
      <c r="C70" s="56"/>
      <c r="D70" s="56"/>
      <c r="E70" s="56"/>
      <c r="F70" s="56"/>
      <c r="G70" s="56"/>
      <c r="H70" s="56"/>
      <c r="I70" s="56"/>
      <c r="J70" s="56"/>
      <c r="K70" s="56"/>
      <c r="L70" s="56"/>
      <c r="M70" s="56"/>
      <c r="N70" s="56"/>
      <c r="O70" s="56"/>
      <c r="P70" s="56"/>
      <c r="Q70" s="56"/>
    </row>
    <row r="71" spans="2:17" ht="13.5" thickBot="1" x14ac:dyDescent="0.25">
      <c r="B71" s="104" t="s">
        <v>5</v>
      </c>
      <c r="C71" s="56"/>
      <c r="D71" s="111">
        <f>SUM(D58:D69)</f>
        <v>0</v>
      </c>
      <c r="E71" s="112">
        <f>IF(D71&lt;&gt;0,F71/D71,0)</f>
        <v>0</v>
      </c>
      <c r="F71" s="113">
        <f>SUM(F58:F69)</f>
        <v>0</v>
      </c>
      <c r="G71" s="56"/>
      <c r="H71" s="111">
        <f>SUM(H58:H69)</f>
        <v>0</v>
      </c>
      <c r="I71" s="112">
        <f>IF(H71&lt;&gt;0,J71/H71,0)</f>
        <v>0</v>
      </c>
      <c r="J71" s="113">
        <f>SUM(J58:J69)</f>
        <v>0</v>
      </c>
      <c r="K71" s="56"/>
      <c r="L71" s="111">
        <f>SUM(L58:L69)</f>
        <v>0</v>
      </c>
      <c r="M71" s="112">
        <f>IF(L71&lt;&gt;0,N71/L71,0)</f>
        <v>0</v>
      </c>
      <c r="N71" s="113">
        <f>SUM(N58:N69)</f>
        <v>0</v>
      </c>
      <c r="O71" s="56"/>
      <c r="P71" s="113">
        <f>SUM(P58:P69)</f>
        <v>0</v>
      </c>
      <c r="Q71" s="56"/>
    </row>
    <row r="72" spans="2:17" x14ac:dyDescent="0.2">
      <c r="B72" s="56"/>
      <c r="C72" s="56"/>
      <c r="D72" s="56"/>
      <c r="E72" s="56"/>
      <c r="F72" s="56"/>
      <c r="G72" s="56"/>
      <c r="H72" s="56"/>
      <c r="I72" s="56"/>
      <c r="J72" s="56"/>
      <c r="K72" s="56"/>
      <c r="L72" s="56"/>
      <c r="M72" s="56"/>
      <c r="N72" s="56"/>
      <c r="O72" s="56"/>
      <c r="P72" s="56"/>
      <c r="Q72" s="56"/>
    </row>
    <row r="73" spans="2:17" x14ac:dyDescent="0.2">
      <c r="B73" s="101" t="e">
        <f>#REF!</f>
        <v>#REF!</v>
      </c>
      <c r="C73" s="102"/>
      <c r="D73" s="267" t="s">
        <v>2</v>
      </c>
      <c r="E73" s="267"/>
      <c r="F73" s="267"/>
      <c r="G73" s="102"/>
      <c r="H73" s="267" t="s">
        <v>3</v>
      </c>
      <c r="I73" s="267"/>
      <c r="J73" s="267"/>
      <c r="K73" s="102"/>
      <c r="L73" s="267" t="s">
        <v>4</v>
      </c>
      <c r="M73" s="267"/>
      <c r="N73" s="267"/>
      <c r="O73" s="102"/>
      <c r="P73" s="101" t="s">
        <v>62</v>
      </c>
      <c r="Q73" s="56"/>
    </row>
    <row r="74" spans="2:17" x14ac:dyDescent="0.2">
      <c r="B74" s="104"/>
      <c r="C74" s="56"/>
      <c r="D74" s="120"/>
      <c r="E74" s="120"/>
      <c r="F74" s="120"/>
      <c r="G74" s="56"/>
      <c r="H74" s="120"/>
      <c r="I74" s="120"/>
      <c r="J74" s="120"/>
      <c r="K74" s="56"/>
      <c r="L74" s="120"/>
      <c r="M74" s="120"/>
      <c r="N74" s="120"/>
      <c r="O74" s="56"/>
      <c r="P74" s="120"/>
      <c r="Q74" s="56"/>
    </row>
    <row r="75" spans="2:17" x14ac:dyDescent="0.2">
      <c r="B75" s="104" t="s">
        <v>63</v>
      </c>
      <c r="C75" s="56"/>
      <c r="D75" s="120" t="s">
        <v>64</v>
      </c>
      <c r="E75" s="120" t="s">
        <v>23</v>
      </c>
      <c r="F75" s="120" t="s">
        <v>65</v>
      </c>
      <c r="G75" s="56"/>
      <c r="H75" s="120" t="s">
        <v>64</v>
      </c>
      <c r="I75" s="120" t="s">
        <v>23</v>
      </c>
      <c r="J75" s="120" t="s">
        <v>65</v>
      </c>
      <c r="K75" s="56"/>
      <c r="L75" s="120" t="s">
        <v>64</v>
      </c>
      <c r="M75" s="120" t="s">
        <v>23</v>
      </c>
      <c r="N75" s="120" t="s">
        <v>65</v>
      </c>
      <c r="O75" s="56"/>
      <c r="P75" s="120" t="s">
        <v>65</v>
      </c>
      <c r="Q75" s="56"/>
    </row>
    <row r="76" spans="2:17" x14ac:dyDescent="0.2">
      <c r="B76" s="56"/>
      <c r="C76" s="56"/>
      <c r="D76" s="56"/>
      <c r="E76" s="56"/>
      <c r="F76" s="56"/>
      <c r="G76" s="56"/>
      <c r="H76" s="56"/>
      <c r="I76" s="56"/>
      <c r="J76" s="56"/>
      <c r="K76" s="56"/>
      <c r="L76" s="56"/>
      <c r="M76" s="56"/>
      <c r="N76" s="56"/>
      <c r="O76" s="56"/>
      <c r="P76" s="56"/>
      <c r="Q76" s="56"/>
    </row>
    <row r="77" spans="2:17" x14ac:dyDescent="0.2">
      <c r="B77" s="57" t="s">
        <v>66</v>
      </c>
      <c r="C77" s="56"/>
      <c r="D77" s="127"/>
      <c r="E77" s="122"/>
      <c r="F77" s="128"/>
      <c r="G77" s="56"/>
      <c r="H77" s="127"/>
      <c r="I77" s="122"/>
      <c r="J77" s="128"/>
      <c r="K77" s="56"/>
      <c r="L77" s="127"/>
      <c r="M77" s="122"/>
      <c r="N77" s="128"/>
      <c r="O77" s="56"/>
      <c r="P77" s="110"/>
      <c r="Q77" s="56"/>
    </row>
    <row r="78" spans="2:17" x14ac:dyDescent="0.2">
      <c r="B78" s="57" t="s">
        <v>67</v>
      </c>
      <c r="C78" s="56"/>
      <c r="D78" s="127"/>
      <c r="E78" s="122"/>
      <c r="F78" s="128"/>
      <c r="G78" s="56"/>
      <c r="H78" s="127"/>
      <c r="I78" s="122"/>
      <c r="J78" s="128"/>
      <c r="K78" s="56"/>
      <c r="L78" s="127"/>
      <c r="M78" s="122"/>
      <c r="N78" s="128"/>
      <c r="O78" s="56"/>
      <c r="P78" s="110"/>
      <c r="Q78" s="56"/>
    </row>
    <row r="79" spans="2:17" x14ac:dyDescent="0.2">
      <c r="B79" s="57" t="s">
        <v>68</v>
      </c>
      <c r="C79" s="56"/>
      <c r="D79" s="127"/>
      <c r="E79" s="122"/>
      <c r="F79" s="128"/>
      <c r="G79" s="56"/>
      <c r="H79" s="127"/>
      <c r="I79" s="122"/>
      <c r="J79" s="128"/>
      <c r="K79" s="56"/>
      <c r="L79" s="127"/>
      <c r="M79" s="122"/>
      <c r="N79" s="128"/>
      <c r="O79" s="56"/>
      <c r="P79" s="110"/>
      <c r="Q79" s="56"/>
    </row>
    <row r="80" spans="2:17" x14ac:dyDescent="0.2">
      <c r="B80" s="57" t="s">
        <v>69</v>
      </c>
      <c r="C80" s="56"/>
      <c r="D80" s="127"/>
      <c r="E80" s="122"/>
      <c r="F80" s="128"/>
      <c r="G80" s="56"/>
      <c r="H80" s="127"/>
      <c r="I80" s="122"/>
      <c r="J80" s="128"/>
      <c r="K80" s="56"/>
      <c r="L80" s="127"/>
      <c r="M80" s="122"/>
      <c r="N80" s="128"/>
      <c r="O80" s="56"/>
      <c r="P80" s="110"/>
      <c r="Q80" s="56"/>
    </row>
    <row r="81" spans="2:17" x14ac:dyDescent="0.2">
      <c r="B81" s="57" t="s">
        <v>70</v>
      </c>
      <c r="C81" s="56"/>
      <c r="D81" s="127"/>
      <c r="E81" s="122"/>
      <c r="F81" s="128"/>
      <c r="G81" s="56"/>
      <c r="H81" s="127"/>
      <c r="I81" s="122"/>
      <c r="J81" s="128"/>
      <c r="K81" s="56"/>
      <c r="L81" s="127"/>
      <c r="M81" s="122"/>
      <c r="N81" s="128"/>
      <c r="O81" s="56"/>
      <c r="P81" s="110"/>
      <c r="Q81" s="56"/>
    </row>
    <row r="82" spans="2:17" x14ac:dyDescent="0.2">
      <c r="B82" s="57" t="s">
        <v>71</v>
      </c>
      <c r="C82" s="56"/>
      <c r="D82" s="127"/>
      <c r="E82" s="122"/>
      <c r="F82" s="128"/>
      <c r="G82" s="56"/>
      <c r="H82" s="127"/>
      <c r="I82" s="122"/>
      <c r="J82" s="128"/>
      <c r="K82" s="56"/>
      <c r="L82" s="127"/>
      <c r="M82" s="122"/>
      <c r="N82" s="128"/>
      <c r="O82" s="56"/>
      <c r="P82" s="110"/>
      <c r="Q82" s="56"/>
    </row>
    <row r="83" spans="2:17" x14ac:dyDescent="0.2">
      <c r="B83" s="57" t="s">
        <v>72</v>
      </c>
      <c r="C83" s="56"/>
      <c r="D83" s="127"/>
      <c r="E83" s="122"/>
      <c r="F83" s="128"/>
      <c r="G83" s="56"/>
      <c r="H83" s="127"/>
      <c r="I83" s="122"/>
      <c r="J83" s="128"/>
      <c r="K83" s="56"/>
      <c r="L83" s="127"/>
      <c r="M83" s="122"/>
      <c r="N83" s="128"/>
      <c r="O83" s="56"/>
      <c r="P83" s="110"/>
      <c r="Q83" s="56"/>
    </row>
    <row r="84" spans="2:17" x14ac:dyDescent="0.2">
      <c r="B84" s="57" t="s">
        <v>73</v>
      </c>
      <c r="C84" s="56"/>
      <c r="D84" s="127"/>
      <c r="E84" s="122"/>
      <c r="F84" s="128"/>
      <c r="G84" s="56"/>
      <c r="H84" s="127"/>
      <c r="I84" s="122"/>
      <c r="J84" s="128"/>
      <c r="K84" s="56"/>
      <c r="L84" s="127"/>
      <c r="M84" s="122"/>
      <c r="N84" s="128"/>
      <c r="O84" s="56"/>
      <c r="P84" s="110"/>
      <c r="Q84" s="56"/>
    </row>
    <row r="85" spans="2:17" x14ac:dyDescent="0.2">
      <c r="B85" s="57" t="s">
        <v>74</v>
      </c>
      <c r="C85" s="56"/>
      <c r="D85" s="127"/>
      <c r="E85" s="122"/>
      <c r="F85" s="128"/>
      <c r="G85" s="56"/>
      <c r="H85" s="127"/>
      <c r="I85" s="122"/>
      <c r="J85" s="128"/>
      <c r="K85" s="56"/>
      <c r="L85" s="127"/>
      <c r="M85" s="122"/>
      <c r="N85" s="128"/>
      <c r="O85" s="56"/>
      <c r="P85" s="110"/>
      <c r="Q85" s="56"/>
    </row>
    <row r="86" spans="2:17" x14ac:dyDescent="0.2">
      <c r="B86" s="57" t="s">
        <v>75</v>
      </c>
      <c r="C86" s="56"/>
      <c r="D86" s="127"/>
      <c r="E86" s="122"/>
      <c r="F86" s="128"/>
      <c r="G86" s="56"/>
      <c r="H86" s="127"/>
      <c r="I86" s="122"/>
      <c r="J86" s="128"/>
      <c r="K86" s="56"/>
      <c r="L86" s="127"/>
      <c r="M86" s="122"/>
      <c r="N86" s="128"/>
      <c r="O86" s="56"/>
      <c r="P86" s="110"/>
      <c r="Q86" s="56"/>
    </row>
    <row r="87" spans="2:17" x14ac:dyDescent="0.2">
      <c r="B87" s="57" t="s">
        <v>76</v>
      </c>
      <c r="C87" s="56"/>
      <c r="D87" s="127"/>
      <c r="E87" s="122"/>
      <c r="F87" s="128"/>
      <c r="G87" s="56"/>
      <c r="H87" s="127"/>
      <c r="I87" s="122"/>
      <c r="J87" s="128"/>
      <c r="K87" s="56"/>
      <c r="L87" s="127"/>
      <c r="M87" s="122"/>
      <c r="N87" s="128"/>
      <c r="O87" s="56"/>
      <c r="P87" s="110"/>
      <c r="Q87" s="56"/>
    </row>
    <row r="88" spans="2:17" x14ac:dyDescent="0.2">
      <c r="B88" s="57" t="s">
        <v>77</v>
      </c>
      <c r="C88" s="56"/>
      <c r="D88" s="127"/>
      <c r="E88" s="122"/>
      <c r="F88" s="128"/>
      <c r="G88" s="56"/>
      <c r="H88" s="127"/>
      <c r="I88" s="122"/>
      <c r="J88" s="128"/>
      <c r="K88" s="56"/>
      <c r="L88" s="127"/>
      <c r="M88" s="122"/>
      <c r="N88" s="128"/>
      <c r="O88" s="56"/>
      <c r="P88" s="110"/>
      <c r="Q88" s="56"/>
    </row>
    <row r="89" spans="2:17" x14ac:dyDescent="0.2">
      <c r="B89" s="56"/>
      <c r="C89" s="56"/>
      <c r="D89" s="56"/>
      <c r="E89" s="56"/>
      <c r="F89" s="56"/>
      <c r="G89" s="56"/>
      <c r="H89" s="56"/>
      <c r="I89" s="56"/>
      <c r="J89" s="56"/>
      <c r="K89" s="56"/>
      <c r="L89" s="56"/>
      <c r="M89" s="56"/>
      <c r="N89" s="56"/>
      <c r="O89" s="56"/>
      <c r="P89" s="56"/>
      <c r="Q89" s="56"/>
    </row>
    <row r="90" spans="2:17" ht="13.5" thickBot="1" x14ac:dyDescent="0.25">
      <c r="B90" s="104" t="s">
        <v>5</v>
      </c>
      <c r="C90" s="56"/>
      <c r="D90" s="111">
        <f>SUM(D77:D88)</f>
        <v>0</v>
      </c>
      <c r="E90" s="112">
        <f>IF(D90&lt;&gt;0,F90/D90,0)</f>
        <v>0</v>
      </c>
      <c r="F90" s="113">
        <f>SUM(F77:F88)</f>
        <v>0</v>
      </c>
      <c r="G90" s="56"/>
      <c r="H90" s="111">
        <f>SUM(H77:H88)</f>
        <v>0</v>
      </c>
      <c r="I90" s="112">
        <f>IF(H90&lt;&gt;0,J90/H90,0)</f>
        <v>0</v>
      </c>
      <c r="J90" s="113">
        <f>SUM(J77:J88)</f>
        <v>0</v>
      </c>
      <c r="K90" s="56"/>
      <c r="L90" s="111">
        <f>SUM(L77:L88)</f>
        <v>0</v>
      </c>
      <c r="M90" s="112">
        <f>IF(L90&lt;&gt;0,N90/L90,0)</f>
        <v>0</v>
      </c>
      <c r="N90" s="113">
        <f>SUM(N77:N88)</f>
        <v>0</v>
      </c>
      <c r="O90" s="56"/>
      <c r="P90" s="113">
        <f>SUM(P77:P88)</f>
        <v>0</v>
      </c>
      <c r="Q90" s="56"/>
    </row>
    <row r="91" spans="2:17" x14ac:dyDescent="0.2">
      <c r="B91" s="56"/>
      <c r="C91" s="56"/>
      <c r="D91" s="56"/>
      <c r="E91" s="56"/>
      <c r="F91" s="56"/>
      <c r="G91" s="56"/>
      <c r="H91" s="56"/>
      <c r="I91" s="56"/>
      <c r="J91" s="56"/>
      <c r="K91" s="56"/>
      <c r="L91" s="56"/>
      <c r="M91" s="56"/>
      <c r="N91" s="56"/>
      <c r="O91" s="56"/>
      <c r="P91" s="56"/>
      <c r="Q91" s="56"/>
    </row>
    <row r="92" spans="2:17" x14ac:dyDescent="0.2">
      <c r="B92" s="101" t="s">
        <v>5</v>
      </c>
      <c r="C92" s="102"/>
      <c r="D92" s="267" t="s">
        <v>2</v>
      </c>
      <c r="E92" s="267"/>
      <c r="F92" s="267"/>
      <c r="G92" s="102"/>
      <c r="H92" s="267" t="s">
        <v>3</v>
      </c>
      <c r="I92" s="267"/>
      <c r="J92" s="267"/>
      <c r="K92" s="102"/>
      <c r="L92" s="267" t="s">
        <v>4</v>
      </c>
      <c r="M92" s="267"/>
      <c r="N92" s="267"/>
      <c r="O92" s="102"/>
      <c r="P92" s="101" t="s">
        <v>62</v>
      </c>
      <c r="Q92" s="56"/>
    </row>
    <row r="93" spans="2:17" x14ac:dyDescent="0.2">
      <c r="B93" s="56"/>
      <c r="C93" s="56"/>
      <c r="D93" s="268"/>
      <c r="E93" s="268"/>
      <c r="F93" s="268"/>
      <c r="G93" s="56"/>
      <c r="H93" s="268"/>
      <c r="I93" s="268"/>
      <c r="J93" s="268"/>
      <c r="K93" s="56"/>
      <c r="L93" s="268"/>
      <c r="M93" s="268"/>
      <c r="N93" s="268"/>
      <c r="O93" s="56"/>
      <c r="P93" s="120"/>
      <c r="Q93" s="56"/>
    </row>
    <row r="94" spans="2:17" x14ac:dyDescent="0.2">
      <c r="B94" s="104" t="s">
        <v>63</v>
      </c>
      <c r="C94" s="56"/>
      <c r="D94" s="120" t="s">
        <v>64</v>
      </c>
      <c r="E94" s="120" t="s">
        <v>23</v>
      </c>
      <c r="F94" s="120" t="s">
        <v>65</v>
      </c>
      <c r="G94" s="56"/>
      <c r="H94" s="120" t="s">
        <v>64</v>
      </c>
      <c r="I94" s="120" t="s">
        <v>23</v>
      </c>
      <c r="J94" s="120" t="s">
        <v>65</v>
      </c>
      <c r="K94" s="56"/>
      <c r="L94" s="120" t="s">
        <v>64</v>
      </c>
      <c r="M94" s="120" t="s">
        <v>23</v>
      </c>
      <c r="N94" s="120" t="s">
        <v>65</v>
      </c>
      <c r="O94" s="56"/>
      <c r="P94" s="120" t="s">
        <v>65</v>
      </c>
      <c r="Q94" s="56"/>
    </row>
    <row r="95" spans="2:17" x14ac:dyDescent="0.2">
      <c r="B95" s="56"/>
      <c r="C95" s="56"/>
      <c r="D95" s="56"/>
      <c r="E95" s="56"/>
      <c r="F95" s="56"/>
      <c r="G95" s="56"/>
      <c r="H95" s="56"/>
      <c r="I95" s="56"/>
      <c r="J95" s="56"/>
      <c r="K95" s="56"/>
      <c r="L95" s="56"/>
      <c r="M95" s="56"/>
      <c r="N95" s="56"/>
      <c r="O95" s="56"/>
      <c r="P95" s="56"/>
      <c r="Q95" s="56"/>
    </row>
    <row r="96" spans="2:17" x14ac:dyDescent="0.2">
      <c r="B96" s="57" t="s">
        <v>66</v>
      </c>
      <c r="C96" s="56"/>
      <c r="D96" s="121">
        <f>D20+D39+D58+D77</f>
        <v>693622.94826189824</v>
      </c>
      <c r="E96" s="122">
        <f t="shared" ref="E96:E107" si="14">IF(D96&lt;&gt;0,F96/D96,0)</f>
        <v>7.8321464219320678</v>
      </c>
      <c r="F96" s="110">
        <f>F20+F39+F58+F77</f>
        <v>5432556.4923993982</v>
      </c>
      <c r="G96" s="56"/>
      <c r="H96" s="121">
        <f>H20+H39+H58+H77</f>
        <v>485745.67724861874</v>
      </c>
      <c r="I96" s="122">
        <f t="shared" ref="I96:I107" si="15">IF(H96&lt;&gt;0,J96/H96,0)</f>
        <v>1.0945595509256223</v>
      </c>
      <c r="J96" s="110">
        <f>J20+J39+J58+J77</f>
        <v>531677.57035331044</v>
      </c>
      <c r="K96" s="56"/>
      <c r="L96" s="121">
        <f>L20+L39+L58+L77</f>
        <v>735357.49284906825</v>
      </c>
      <c r="M96" s="122">
        <f t="shared" ref="M96:M107" si="16">IF(L96&lt;&gt;0,N96/L96,0)</f>
        <v>4.6280211098500539</v>
      </c>
      <c r="N96" s="110">
        <f>N20+N39+N58+N77</f>
        <v>3403250.0001918981</v>
      </c>
      <c r="O96" s="56"/>
      <c r="P96" s="110">
        <f t="shared" ref="P96:P107" si="17">J96+N96</f>
        <v>3934927.5705452086</v>
      </c>
      <c r="Q96" s="56"/>
    </row>
    <row r="97" spans="2:17" x14ac:dyDescent="0.2">
      <c r="B97" s="57" t="s">
        <v>67</v>
      </c>
      <c r="C97" s="56"/>
      <c r="D97" s="121">
        <f t="shared" ref="D97:D107" si="18">D21+D40+D59+D78</f>
        <v>686801.01327930053</v>
      </c>
      <c r="E97" s="122">
        <f t="shared" si="14"/>
        <v>7.8254509546159907</v>
      </c>
      <c r="F97" s="110">
        <f t="shared" ref="F97:F107" si="19">F21+F40+F59+F78</f>
        <v>5374527.6449977318</v>
      </c>
      <c r="G97" s="56"/>
      <c r="H97" s="121">
        <f t="shared" ref="H97:H107" si="20">H21+H40+H59+H78</f>
        <v>470941.06672357116</v>
      </c>
      <c r="I97" s="122">
        <f t="shared" si="15"/>
        <v>1.108369856719172</v>
      </c>
      <c r="J97" s="110">
        <f t="shared" ref="J97:J107" si="21">J21+J40+J59+J78</f>
        <v>521976.8826475786</v>
      </c>
      <c r="K97" s="56"/>
      <c r="L97" s="121">
        <f t="shared" ref="L97:L107" si="22">L21+L40+L59+L78</f>
        <v>711236.84689489636</v>
      </c>
      <c r="M97" s="122">
        <f t="shared" si="16"/>
        <v>4.6271864284386792</v>
      </c>
      <c r="N97" s="110">
        <f t="shared" ref="N97:N107" si="23">N21+N40+N59+N78</f>
        <v>3291025.4853575835</v>
      </c>
      <c r="O97" s="56"/>
      <c r="P97" s="110">
        <f t="shared" si="17"/>
        <v>3813002.3680051621</v>
      </c>
      <c r="Q97" s="56"/>
    </row>
    <row r="98" spans="2:17" x14ac:dyDescent="0.2">
      <c r="B98" s="57" t="s">
        <v>68</v>
      </c>
      <c r="C98" s="56"/>
      <c r="D98" s="121">
        <f t="shared" si="18"/>
        <v>629535.17816804862</v>
      </c>
      <c r="E98" s="122">
        <f t="shared" si="14"/>
        <v>7.879092799877105</v>
      </c>
      <c r="F98" s="110">
        <f t="shared" si="19"/>
        <v>4960166.0895732222</v>
      </c>
      <c r="G98" s="56"/>
      <c r="H98" s="121">
        <f t="shared" si="20"/>
        <v>424662.13098879275</v>
      </c>
      <c r="I98" s="122">
        <f t="shared" si="15"/>
        <v>1.1192274974270742</v>
      </c>
      <c r="J98" s="110">
        <f t="shared" si="21"/>
        <v>475293.53411863488</v>
      </c>
      <c r="K98" s="56"/>
      <c r="L98" s="121">
        <f t="shared" si="22"/>
        <v>644697.70248591749</v>
      </c>
      <c r="M98" s="122">
        <f t="shared" si="16"/>
        <v>4.6235190285372925</v>
      </c>
      <c r="N98" s="110">
        <f t="shared" si="23"/>
        <v>2980772.0950979134</v>
      </c>
      <c r="O98" s="56"/>
      <c r="P98" s="110">
        <f t="shared" si="17"/>
        <v>3456065.6292165481</v>
      </c>
      <c r="Q98" s="56"/>
    </row>
    <row r="99" spans="2:17" x14ac:dyDescent="0.2">
      <c r="B99" s="57" t="s">
        <v>69</v>
      </c>
      <c r="C99" s="56"/>
      <c r="D99" s="121">
        <f t="shared" si="18"/>
        <v>587204.69818207668</v>
      </c>
      <c r="E99" s="122">
        <f t="shared" si="14"/>
        <v>7.913068348701068</v>
      </c>
      <c r="F99" s="110">
        <f t="shared" si="19"/>
        <v>4646590.9113931544</v>
      </c>
      <c r="G99" s="56"/>
      <c r="H99" s="121">
        <f t="shared" si="20"/>
        <v>395830.73418426811</v>
      </c>
      <c r="I99" s="122">
        <f t="shared" si="15"/>
        <v>1.1240424117026997</v>
      </c>
      <c r="J99" s="110">
        <f t="shared" si="21"/>
        <v>444930.53307853499</v>
      </c>
      <c r="K99" s="56"/>
      <c r="L99" s="121">
        <f t="shared" si="22"/>
        <v>594861.12979222217</v>
      </c>
      <c r="M99" s="122">
        <f t="shared" si="16"/>
        <v>4.620971589517044</v>
      </c>
      <c r="N99" s="110">
        <f t="shared" si="23"/>
        <v>2748836.3804778694</v>
      </c>
      <c r="O99" s="56"/>
      <c r="P99" s="110">
        <f t="shared" si="17"/>
        <v>3193766.9135564044</v>
      </c>
      <c r="Q99" s="56"/>
    </row>
    <row r="100" spans="2:17" x14ac:dyDescent="0.2">
      <c r="B100" s="57" t="s">
        <v>70</v>
      </c>
      <c r="C100" s="56"/>
      <c r="D100" s="121">
        <f t="shared" si="18"/>
        <v>706793.82088585198</v>
      </c>
      <c r="E100" s="122">
        <f t="shared" si="14"/>
        <v>7.9296993262168529</v>
      </c>
      <c r="F100" s="110">
        <f t="shared" si="19"/>
        <v>5604662.4852527753</v>
      </c>
      <c r="G100" s="56"/>
      <c r="H100" s="121">
        <f t="shared" si="20"/>
        <v>477727.2427042526</v>
      </c>
      <c r="I100" s="122">
        <f t="shared" si="15"/>
        <v>1.1444891815132252</v>
      </c>
      <c r="J100" s="110">
        <f t="shared" si="21"/>
        <v>546753.66098915995</v>
      </c>
      <c r="K100" s="56"/>
      <c r="L100" s="121">
        <f t="shared" si="22"/>
        <v>722446.91026387829</v>
      </c>
      <c r="M100" s="122">
        <f t="shared" si="16"/>
        <v>4.6182586764155316</v>
      </c>
      <c r="N100" s="110">
        <f t="shared" si="23"/>
        <v>3336446.7115757489</v>
      </c>
      <c r="O100" s="56"/>
      <c r="P100" s="110">
        <f t="shared" si="17"/>
        <v>3883200.372564909</v>
      </c>
      <c r="Q100" s="56"/>
    </row>
    <row r="101" spans="2:17" x14ac:dyDescent="0.2">
      <c r="B101" s="57" t="s">
        <v>71</v>
      </c>
      <c r="C101" s="56"/>
      <c r="D101" s="121">
        <f t="shared" si="18"/>
        <v>848302.70811633847</v>
      </c>
      <c r="E101" s="122">
        <f t="shared" si="14"/>
        <v>7.8864831615759075</v>
      </c>
      <c r="F101" s="110">
        <f t="shared" si="19"/>
        <v>6690125.0234787455</v>
      </c>
      <c r="G101" s="56"/>
      <c r="H101" s="121">
        <f t="shared" si="20"/>
        <v>621782.76565537567</v>
      </c>
      <c r="I101" s="122">
        <f t="shared" si="15"/>
        <v>1.1355146736202983</v>
      </c>
      <c r="J101" s="110">
        <f t="shared" si="21"/>
        <v>706043.4542058903</v>
      </c>
      <c r="K101" s="56"/>
      <c r="L101" s="121">
        <f t="shared" si="22"/>
        <v>891281.17911054171</v>
      </c>
      <c r="M101" s="122">
        <f t="shared" si="16"/>
        <v>4.6208909938050517</v>
      </c>
      <c r="N101" s="110">
        <f t="shared" si="23"/>
        <v>4118513.1734998492</v>
      </c>
      <c r="O101" s="56"/>
      <c r="P101" s="110">
        <f t="shared" si="17"/>
        <v>4824556.6277057398</v>
      </c>
      <c r="Q101" s="56"/>
    </row>
    <row r="102" spans="2:17" x14ac:dyDescent="0.2">
      <c r="B102" s="57" t="s">
        <v>72</v>
      </c>
      <c r="C102" s="56"/>
      <c r="D102" s="121">
        <f t="shared" si="18"/>
        <v>875660.51506490353</v>
      </c>
      <c r="E102" s="122">
        <f t="shared" si="14"/>
        <v>7.9339970477129782</v>
      </c>
      <c r="F102" s="110">
        <f t="shared" si="19"/>
        <v>6947487.9413237702</v>
      </c>
      <c r="G102" s="56"/>
      <c r="H102" s="121">
        <f t="shared" si="20"/>
        <v>612530.4536790289</v>
      </c>
      <c r="I102" s="122">
        <f t="shared" si="15"/>
        <v>1.1485667676861442</v>
      </c>
      <c r="J102" s="110">
        <f t="shared" si="21"/>
        <v>703532.12329144974</v>
      </c>
      <c r="K102" s="56"/>
      <c r="L102" s="121">
        <f t="shared" si="22"/>
        <v>890224.84955997323</v>
      </c>
      <c r="M102" s="122">
        <f t="shared" si="16"/>
        <v>4.6178356984960738</v>
      </c>
      <c r="N102" s="110">
        <f t="shared" si="23"/>
        <v>4110912.0899863411</v>
      </c>
      <c r="O102" s="56"/>
      <c r="P102" s="110">
        <f t="shared" si="17"/>
        <v>4814444.2132777907</v>
      </c>
      <c r="Q102" s="56"/>
    </row>
    <row r="103" spans="2:17" x14ac:dyDescent="0.2">
      <c r="B103" s="57" t="s">
        <v>73</v>
      </c>
      <c r="C103" s="56"/>
      <c r="D103" s="121">
        <f t="shared" si="18"/>
        <v>893628.83793017373</v>
      </c>
      <c r="E103" s="122">
        <f t="shared" si="14"/>
        <v>7.8942947558921706</v>
      </c>
      <c r="F103" s="110">
        <f t="shared" si="19"/>
        <v>7054569.4489861848</v>
      </c>
      <c r="G103" s="56"/>
      <c r="H103" s="121">
        <f t="shared" si="20"/>
        <v>595169.01455888827</v>
      </c>
      <c r="I103" s="122">
        <f t="shared" si="15"/>
        <v>1.1481252991364523</v>
      </c>
      <c r="J103" s="110">
        <f t="shared" si="21"/>
        <v>683328.60287717113</v>
      </c>
      <c r="K103" s="56"/>
      <c r="L103" s="121">
        <f t="shared" si="22"/>
        <v>917436.65857147262</v>
      </c>
      <c r="M103" s="122">
        <f t="shared" si="16"/>
        <v>4.6215196914317973</v>
      </c>
      <c r="N103" s="110">
        <f t="shared" si="23"/>
        <v>4239951.5832294514</v>
      </c>
      <c r="O103" s="56"/>
      <c r="P103" s="110">
        <f t="shared" si="17"/>
        <v>4923280.1861066222</v>
      </c>
      <c r="Q103" s="56"/>
    </row>
    <row r="104" spans="2:17" x14ac:dyDescent="0.2">
      <c r="B104" s="57" t="s">
        <v>74</v>
      </c>
      <c r="C104" s="56"/>
      <c r="D104" s="121">
        <f t="shared" si="18"/>
        <v>763515.05671071075</v>
      </c>
      <c r="E104" s="122">
        <f t="shared" si="14"/>
        <v>7.9083189708959658</v>
      </c>
      <c r="F104" s="110">
        <f t="shared" si="19"/>
        <v>6038120.6075500231</v>
      </c>
      <c r="G104" s="56"/>
      <c r="H104" s="121">
        <f t="shared" si="20"/>
        <v>498100.0166873018</v>
      </c>
      <c r="I104" s="122">
        <f t="shared" si="15"/>
        <v>1.1424353755564769</v>
      </c>
      <c r="J104" s="110">
        <f t="shared" si="21"/>
        <v>569047.07962884509</v>
      </c>
      <c r="K104" s="56"/>
      <c r="L104" s="121">
        <f t="shared" si="22"/>
        <v>766380.465586256</v>
      </c>
      <c r="M104" s="122">
        <f t="shared" si="16"/>
        <v>4.6211099651485972</v>
      </c>
      <c r="N104" s="110">
        <f t="shared" si="23"/>
        <v>3541528.4066158691</v>
      </c>
      <c r="O104" s="56"/>
      <c r="P104" s="110">
        <f t="shared" si="17"/>
        <v>4110575.4862447144</v>
      </c>
      <c r="Q104" s="56"/>
    </row>
    <row r="105" spans="2:17" x14ac:dyDescent="0.2">
      <c r="B105" s="57" t="s">
        <v>75</v>
      </c>
      <c r="C105" s="56"/>
      <c r="D105" s="121">
        <f t="shared" si="18"/>
        <v>632571.21576199285</v>
      </c>
      <c r="E105" s="122">
        <f t="shared" si="14"/>
        <v>7.8989857895766473</v>
      </c>
      <c r="F105" s="110">
        <f t="shared" si="19"/>
        <v>4996671.044199205</v>
      </c>
      <c r="G105" s="56"/>
      <c r="H105" s="121">
        <f t="shared" si="20"/>
        <v>474824.52790819714</v>
      </c>
      <c r="I105" s="122">
        <f t="shared" si="15"/>
        <v>1.1632618824984886</v>
      </c>
      <c r="J105" s="110">
        <f t="shared" si="21"/>
        <v>552345.27419094555</v>
      </c>
      <c r="K105" s="56"/>
      <c r="L105" s="121">
        <f t="shared" si="22"/>
        <v>653269.59812164516</v>
      </c>
      <c r="M105" s="122">
        <f t="shared" si="16"/>
        <v>4.6207855090476402</v>
      </c>
      <c r="N105" s="110">
        <f t="shared" si="23"/>
        <v>3018618.6925018737</v>
      </c>
      <c r="O105" s="56"/>
      <c r="P105" s="110">
        <f t="shared" si="17"/>
        <v>3570963.9666928193</v>
      </c>
      <c r="Q105" s="56"/>
    </row>
    <row r="106" spans="2:17" x14ac:dyDescent="0.2">
      <c r="B106" s="57" t="s">
        <v>76</v>
      </c>
      <c r="C106" s="56"/>
      <c r="D106" s="121">
        <f t="shared" si="18"/>
        <v>641876.66259329976</v>
      </c>
      <c r="E106" s="122">
        <f t="shared" si="14"/>
        <v>7.8575324065209458</v>
      </c>
      <c r="F106" s="110">
        <f t="shared" si="19"/>
        <v>5043566.6773163639</v>
      </c>
      <c r="G106" s="56"/>
      <c r="H106" s="121">
        <f t="shared" si="20"/>
        <v>434473.22833445249</v>
      </c>
      <c r="I106" s="122">
        <f t="shared" si="15"/>
        <v>1.1235745772267234</v>
      </c>
      <c r="J106" s="110">
        <f t="shared" si="21"/>
        <v>488163.07384221209</v>
      </c>
      <c r="K106" s="56"/>
      <c r="L106" s="121">
        <f t="shared" si="22"/>
        <v>624247.27079112804</v>
      </c>
      <c r="M106" s="122">
        <f t="shared" si="16"/>
        <v>4.6285401077253816</v>
      </c>
      <c r="N106" s="110">
        <f t="shared" si="23"/>
        <v>2889353.5299948435</v>
      </c>
      <c r="O106" s="56"/>
      <c r="P106" s="110">
        <f t="shared" si="17"/>
        <v>3377516.6038370556</v>
      </c>
      <c r="Q106" s="56"/>
    </row>
    <row r="107" spans="2:17" x14ac:dyDescent="0.2">
      <c r="B107" s="57" t="s">
        <v>77</v>
      </c>
      <c r="C107" s="56"/>
      <c r="D107" s="121">
        <f t="shared" si="18"/>
        <v>681889.37886083941</v>
      </c>
      <c r="E107" s="122">
        <f t="shared" si="14"/>
        <v>7.8767845021182357</v>
      </c>
      <c r="F107" s="110">
        <f t="shared" si="19"/>
        <v>5371095.6915700901</v>
      </c>
      <c r="G107" s="56"/>
      <c r="H107" s="121">
        <f t="shared" si="20"/>
        <v>501253.76399379119</v>
      </c>
      <c r="I107" s="122">
        <f t="shared" si="15"/>
        <v>1.1369365058198755</v>
      </c>
      <c r="J107" s="110">
        <f t="shared" si="21"/>
        <v>569893.70296416152</v>
      </c>
      <c r="K107" s="56"/>
      <c r="L107" s="121">
        <f t="shared" si="22"/>
        <v>687869.39440496161</v>
      </c>
      <c r="M107" s="122">
        <f t="shared" si="16"/>
        <v>4.6249727818987587</v>
      </c>
      <c r="N107" s="110">
        <f t="shared" si="23"/>
        <v>3181377.2266241298</v>
      </c>
      <c r="O107" s="56"/>
      <c r="P107" s="110">
        <f t="shared" si="17"/>
        <v>3751270.9295882913</v>
      </c>
      <c r="Q107" s="56"/>
    </row>
    <row r="108" spans="2:17" x14ac:dyDescent="0.2">
      <c r="B108" s="56"/>
      <c r="C108" s="56"/>
      <c r="D108" s="56"/>
      <c r="E108" s="56"/>
      <c r="F108" s="56"/>
      <c r="G108" s="56"/>
      <c r="H108" s="56"/>
      <c r="I108" s="56"/>
      <c r="J108" s="56"/>
      <c r="K108" s="56"/>
      <c r="L108" s="56"/>
      <c r="M108" s="56"/>
      <c r="N108" s="56"/>
      <c r="O108" s="56"/>
      <c r="P108" s="110"/>
      <c r="Q108" s="56"/>
    </row>
    <row r="109" spans="2:17" ht="13.5" thickBot="1" x14ac:dyDescent="0.25">
      <c r="B109" s="104" t="s">
        <v>5</v>
      </c>
      <c r="C109" s="56"/>
      <c r="D109" s="111">
        <f>SUM(D96:D107)</f>
        <v>8641402.0338154342</v>
      </c>
      <c r="E109" s="112">
        <f>IF(D109&lt;&gt;0,F109/D109,0)</f>
        <v>7.8876251551909276</v>
      </c>
      <c r="F109" s="113">
        <f>SUM(F96:F107)</f>
        <v>68160140.058040664</v>
      </c>
      <c r="G109" s="56"/>
      <c r="H109" s="111">
        <f>SUM(H96:H107)</f>
        <v>5993040.6226665387</v>
      </c>
      <c r="I109" s="112">
        <f>IF(H109&lt;&gt;0,J109/H109,0)</f>
        <v>1.1334789666694147</v>
      </c>
      <c r="J109" s="113">
        <f>SUM(J96:J107)</f>
        <v>6792985.4921878939</v>
      </c>
      <c r="K109" s="56"/>
      <c r="L109" s="111">
        <f>SUM(L96:L107)</f>
        <v>8839309.4984319601</v>
      </c>
      <c r="M109" s="112">
        <f>IF(L109&lt;&gt;0,N109/L109,0)</f>
        <v>4.6225992406309331</v>
      </c>
      <c r="N109" s="113">
        <f>SUM(N96:N107)</f>
        <v>40860585.37515337</v>
      </c>
      <c r="O109" s="56"/>
      <c r="P109" s="113">
        <f>SUM(P96:P107)</f>
        <v>47653570.867341265</v>
      </c>
      <c r="Q109" s="56"/>
    </row>
    <row r="111" spans="2:17" x14ac:dyDescent="0.2">
      <c r="N111" s="124" t="s">
        <v>82</v>
      </c>
      <c r="P111" s="125"/>
    </row>
    <row r="113" spans="14:16" ht="13.5" thickBot="1" x14ac:dyDescent="0.25">
      <c r="N113" s="126" t="s">
        <v>83</v>
      </c>
      <c r="P113" s="113">
        <f>P109+P111</f>
        <v>47653570.867341265</v>
      </c>
    </row>
  </sheetData>
  <mergeCells count="22">
    <mergeCell ref="B13:P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0C5A-A76B-40D1-8990-DFBBD869B238}">
  <dimension ref="C17:M121"/>
  <sheetViews>
    <sheetView workbookViewId="0">
      <selection activeCell="F15" sqref="F15"/>
    </sheetView>
  </sheetViews>
  <sheetFormatPr defaultColWidth="8.85546875" defaultRowHeight="15" x14ac:dyDescent="0.25"/>
  <cols>
    <col min="1" max="16384" width="8.85546875" style="146"/>
  </cols>
  <sheetData>
    <row r="17" spans="3:13" s="161" customFormat="1" ht="3" customHeight="1" x14ac:dyDescent="0.2"/>
    <row r="18" spans="3:13" s="161" customFormat="1" ht="3" customHeight="1" x14ac:dyDescent="0.2">
      <c r="C18" s="162"/>
      <c r="D18" s="162"/>
      <c r="E18" s="162"/>
      <c r="F18" s="162"/>
      <c r="G18" s="162"/>
      <c r="H18" s="162"/>
      <c r="I18" s="162"/>
      <c r="J18" s="162"/>
      <c r="K18" s="162"/>
      <c r="L18" s="162"/>
      <c r="M18" s="162"/>
    </row>
    <row r="19" spans="3:13" s="161" customFormat="1" ht="12.75" x14ac:dyDescent="0.2">
      <c r="C19" s="162"/>
      <c r="D19" s="162"/>
      <c r="E19" s="162"/>
      <c r="F19" s="162"/>
      <c r="G19" s="162"/>
      <c r="H19" s="162"/>
      <c r="J19" s="162"/>
      <c r="K19" s="162"/>
      <c r="L19" s="162"/>
      <c r="M19" s="162"/>
    </row>
    <row r="20" spans="3:13" s="161" customFormat="1" ht="15.75" x14ac:dyDescent="0.25">
      <c r="C20" s="162"/>
      <c r="D20" s="163" t="s">
        <v>186</v>
      </c>
      <c r="E20" s="162"/>
      <c r="F20" s="162"/>
      <c r="G20" s="162"/>
      <c r="H20" s="162"/>
      <c r="I20" s="163" t="s">
        <v>187</v>
      </c>
      <c r="J20" s="162"/>
      <c r="K20" s="162"/>
      <c r="L20" s="162"/>
      <c r="M20" s="162"/>
    </row>
    <row r="21" spans="3:13" s="161" customFormat="1" ht="15.75" x14ac:dyDescent="0.25">
      <c r="C21" s="162"/>
      <c r="D21" s="164"/>
      <c r="E21" s="162"/>
      <c r="F21" s="162"/>
      <c r="G21" s="162"/>
      <c r="H21" s="162"/>
      <c r="J21" s="162"/>
      <c r="K21" s="162"/>
      <c r="L21" s="162"/>
      <c r="M21" s="162"/>
    </row>
    <row r="22" spans="3:13" s="161" customFormat="1" ht="15.75" x14ac:dyDescent="0.25">
      <c r="C22" s="162"/>
      <c r="D22" s="163" t="s">
        <v>188</v>
      </c>
      <c r="E22" s="162"/>
      <c r="F22" s="162"/>
      <c r="G22" s="162"/>
      <c r="H22" s="162"/>
      <c r="I22" s="163" t="s">
        <v>189</v>
      </c>
      <c r="J22" s="162"/>
      <c r="K22" s="162"/>
      <c r="L22" s="162"/>
      <c r="M22" s="162"/>
    </row>
    <row r="23" spans="3:13" s="161" customFormat="1" ht="15.75" x14ac:dyDescent="0.25">
      <c r="C23" s="162"/>
      <c r="D23" s="164"/>
      <c r="E23" s="162"/>
      <c r="F23" s="162"/>
      <c r="G23" s="162"/>
      <c r="H23" s="162"/>
      <c r="I23" s="164"/>
      <c r="J23" s="162"/>
      <c r="K23" s="162"/>
      <c r="L23" s="162"/>
      <c r="M23" s="162"/>
    </row>
    <row r="24" spans="3:13" s="161" customFormat="1" ht="15.75" x14ac:dyDescent="0.25">
      <c r="C24" s="162"/>
      <c r="D24" s="163" t="s">
        <v>190</v>
      </c>
      <c r="E24" s="162"/>
      <c r="F24" s="162"/>
      <c r="G24" s="162"/>
      <c r="H24" s="162"/>
      <c r="I24" s="163" t="s">
        <v>191</v>
      </c>
      <c r="J24" s="162"/>
      <c r="K24" s="162"/>
      <c r="L24" s="162"/>
      <c r="M24" s="162"/>
    </row>
    <row r="25" spans="3:13" s="161" customFormat="1" ht="15.75" x14ac:dyDescent="0.25">
      <c r="C25" s="162"/>
      <c r="D25" s="164"/>
      <c r="E25" s="162"/>
      <c r="F25" s="162"/>
      <c r="G25" s="162"/>
      <c r="H25" s="162"/>
      <c r="I25" s="164"/>
      <c r="J25" s="162"/>
      <c r="K25" s="162"/>
      <c r="L25" s="162"/>
      <c r="M25" s="162"/>
    </row>
    <row r="26" spans="3:13" s="161" customFormat="1" ht="15.75" x14ac:dyDescent="0.25">
      <c r="C26" s="162"/>
      <c r="D26" s="163" t="s">
        <v>192</v>
      </c>
      <c r="E26" s="162"/>
      <c r="F26" s="162"/>
      <c r="G26" s="162"/>
      <c r="H26" s="162"/>
      <c r="I26" s="163" t="s">
        <v>193</v>
      </c>
      <c r="J26" s="162"/>
      <c r="K26" s="162"/>
      <c r="L26" s="162"/>
      <c r="M26" s="162"/>
    </row>
    <row r="27" spans="3:13" s="161" customFormat="1" ht="15.75" x14ac:dyDescent="0.25">
      <c r="C27" s="162"/>
      <c r="D27" s="164"/>
      <c r="E27" s="162"/>
      <c r="F27" s="162"/>
      <c r="G27" s="162"/>
      <c r="H27" s="162"/>
      <c r="I27" s="164"/>
      <c r="J27" s="162"/>
      <c r="K27" s="162"/>
      <c r="L27" s="162"/>
      <c r="M27" s="162"/>
    </row>
    <row r="28" spans="3:13" s="161" customFormat="1" ht="15.75" x14ac:dyDescent="0.25">
      <c r="C28" s="162"/>
      <c r="D28" s="163"/>
      <c r="E28" s="162"/>
      <c r="F28" s="162"/>
      <c r="G28" s="162"/>
      <c r="H28" s="162"/>
      <c r="I28" s="163" t="s">
        <v>194</v>
      </c>
      <c r="J28" s="162"/>
      <c r="K28" s="162"/>
      <c r="L28" s="162"/>
      <c r="M28" s="162"/>
    </row>
    <row r="29" spans="3:13" s="161" customFormat="1" ht="15.75" x14ac:dyDescent="0.25">
      <c r="C29" s="162"/>
      <c r="D29" s="164"/>
      <c r="E29" s="162"/>
      <c r="F29" s="162"/>
      <c r="G29" s="162"/>
      <c r="H29" s="162"/>
      <c r="I29" s="163"/>
      <c r="J29" s="162"/>
      <c r="K29" s="162"/>
      <c r="L29" s="162"/>
      <c r="M29" s="162"/>
    </row>
    <row r="30" spans="3:13" s="161" customFormat="1" ht="12.75" x14ac:dyDescent="0.2">
      <c r="C30" s="162"/>
      <c r="E30" s="162"/>
      <c r="F30" s="162"/>
      <c r="G30" s="162"/>
      <c r="H30" s="162"/>
      <c r="I30" s="162"/>
      <c r="J30" s="162"/>
      <c r="K30" s="162"/>
      <c r="L30" s="162"/>
      <c r="M30" s="162"/>
    </row>
    <row r="31" spans="3:13" s="161" customFormat="1" ht="15.75" x14ac:dyDescent="0.25">
      <c r="C31" s="162"/>
      <c r="D31" s="162"/>
      <c r="E31" s="162"/>
      <c r="F31" s="162"/>
      <c r="G31" s="162"/>
      <c r="H31" s="162"/>
      <c r="I31" s="163"/>
      <c r="J31" s="162"/>
      <c r="K31" s="162"/>
      <c r="L31" s="162"/>
      <c r="M31" s="162"/>
    </row>
    <row r="32" spans="3:13" s="161" customFormat="1" ht="12.75" x14ac:dyDescent="0.2">
      <c r="C32" s="162"/>
      <c r="D32" s="162"/>
      <c r="E32" s="162"/>
      <c r="F32" s="162"/>
      <c r="G32" s="162"/>
      <c r="H32" s="162"/>
      <c r="I32" s="162"/>
      <c r="J32" s="162"/>
      <c r="K32" s="162"/>
      <c r="L32" s="162"/>
      <c r="M32" s="162"/>
    </row>
    <row r="33" spans="3:13" s="161" customFormat="1" ht="12.75" x14ac:dyDescent="0.2">
      <c r="C33" s="162"/>
      <c r="D33" s="162"/>
      <c r="E33" s="162"/>
      <c r="F33" s="162"/>
      <c r="G33" s="162"/>
      <c r="H33" s="162"/>
      <c r="I33" s="162"/>
      <c r="J33" s="162"/>
      <c r="K33" s="162"/>
      <c r="L33" s="162"/>
      <c r="M33" s="162"/>
    </row>
    <row r="34" spans="3:13" s="161" customFormat="1" ht="12.75" x14ac:dyDescent="0.2">
      <c r="C34" s="162"/>
      <c r="D34" s="162"/>
      <c r="E34" s="162"/>
      <c r="F34" s="162"/>
      <c r="G34" s="162"/>
      <c r="H34" s="162"/>
      <c r="I34" s="162"/>
      <c r="J34" s="162"/>
      <c r="K34" s="162"/>
      <c r="L34" s="162"/>
      <c r="M34" s="162"/>
    </row>
    <row r="35" spans="3:13" s="161" customFormat="1" ht="12.75" x14ac:dyDescent="0.2">
      <c r="C35" s="162"/>
      <c r="D35" s="162"/>
      <c r="E35" s="162"/>
      <c r="F35" s="162"/>
      <c r="G35" s="162"/>
      <c r="H35" s="162"/>
      <c r="J35" s="162"/>
      <c r="K35" s="162"/>
      <c r="L35" s="162"/>
      <c r="M35" s="162"/>
    </row>
    <row r="36" spans="3:13" s="161" customFormat="1" ht="12.75" x14ac:dyDescent="0.2"/>
    <row r="37" spans="3:13" s="161" customFormat="1" ht="12.75" x14ac:dyDescent="0.2"/>
    <row r="38" spans="3:13" s="161" customFormat="1" ht="12.75" x14ac:dyDescent="0.2"/>
    <row r="39" spans="3:13" s="161" customFormat="1" ht="12.75" x14ac:dyDescent="0.2"/>
    <row r="40" spans="3:13" s="161" customFormat="1" ht="12.75" x14ac:dyDescent="0.2"/>
    <row r="41" spans="3:13" s="161" customFormat="1" ht="12.75" x14ac:dyDescent="0.2"/>
    <row r="42" spans="3:13" s="161" customFormat="1" ht="12.75" x14ac:dyDescent="0.2"/>
    <row r="43" spans="3:13" s="161" customFormat="1" ht="12.75" x14ac:dyDescent="0.2"/>
    <row r="44" spans="3:13" s="161" customFormat="1" ht="12.75" x14ac:dyDescent="0.2"/>
    <row r="45" spans="3:13" s="161" customFormat="1" ht="12.75" x14ac:dyDescent="0.2"/>
    <row r="46" spans="3:13" s="161" customFormat="1" ht="12.75" x14ac:dyDescent="0.2"/>
    <row r="47" spans="3:13" s="161" customFormat="1" ht="12.75" x14ac:dyDescent="0.2"/>
    <row r="48" spans="3:13" s="161" customFormat="1" ht="12.75" x14ac:dyDescent="0.2"/>
    <row r="49" s="161" customFormat="1" ht="12.75" x14ac:dyDescent="0.2"/>
    <row r="50" s="161" customFormat="1" ht="12.75" x14ac:dyDescent="0.2"/>
    <row r="51" s="161" customFormat="1" ht="12.75" x14ac:dyDescent="0.2"/>
    <row r="52" s="161" customFormat="1" ht="12.75" x14ac:dyDescent="0.2"/>
    <row r="53" s="161" customFormat="1" ht="12.75" x14ac:dyDescent="0.2"/>
    <row r="54" s="161" customFormat="1" ht="12.75" x14ac:dyDescent="0.2"/>
    <row r="55" s="161" customFormat="1" ht="12.75" x14ac:dyDescent="0.2"/>
    <row r="56" s="161" customFormat="1" ht="12.75" x14ac:dyDescent="0.2"/>
    <row r="57" s="161" customFormat="1" ht="12.75" x14ac:dyDescent="0.2"/>
    <row r="58" s="161" customFormat="1" ht="12.75" x14ac:dyDescent="0.2"/>
    <row r="59" s="161" customFormat="1" ht="12.75" x14ac:dyDescent="0.2"/>
    <row r="60" s="161" customFormat="1" ht="12.75" x14ac:dyDescent="0.2"/>
    <row r="61" s="161" customFormat="1" ht="12.75" x14ac:dyDescent="0.2"/>
    <row r="62" s="161" customFormat="1" ht="12.75" x14ac:dyDescent="0.2"/>
    <row r="63" s="161" customFormat="1" ht="12.75" x14ac:dyDescent="0.2"/>
    <row r="64" s="161" customFormat="1" ht="12.75" x14ac:dyDescent="0.2"/>
    <row r="65" s="161" customFormat="1" ht="12.75" x14ac:dyDescent="0.2"/>
    <row r="66" s="161" customFormat="1" ht="12.75" x14ac:dyDescent="0.2"/>
    <row r="67" s="161" customFormat="1" ht="12.75" x14ac:dyDescent="0.2"/>
    <row r="68" s="161" customFormat="1" ht="12.75" x14ac:dyDescent="0.2"/>
    <row r="69" s="161" customFormat="1" ht="12.75" x14ac:dyDescent="0.2"/>
    <row r="70" s="161" customFormat="1" ht="12.75" x14ac:dyDescent="0.2"/>
    <row r="71" s="161" customFormat="1" ht="12.75" x14ac:dyDescent="0.2"/>
    <row r="72" s="161" customFormat="1" ht="12.75" x14ac:dyDescent="0.2"/>
    <row r="73" s="161" customFormat="1" ht="12.75" x14ac:dyDescent="0.2"/>
    <row r="74" s="161" customFormat="1" ht="12.75" x14ac:dyDescent="0.2"/>
    <row r="75" s="161" customFormat="1" ht="12.75" x14ac:dyDescent="0.2"/>
    <row r="76" s="161" customFormat="1" ht="12.75" x14ac:dyDescent="0.2"/>
    <row r="77" s="161" customFormat="1" ht="12.75" x14ac:dyDescent="0.2"/>
    <row r="78" s="161" customFormat="1" ht="12.75" x14ac:dyDescent="0.2"/>
    <row r="79" s="161" customFormat="1" ht="12.75" x14ac:dyDescent="0.2"/>
    <row r="80" s="161" customFormat="1" ht="12.75" x14ac:dyDescent="0.2"/>
    <row r="81" s="161" customFormat="1" ht="12.75" x14ac:dyDescent="0.2"/>
    <row r="82" s="161" customFormat="1" ht="12.75" x14ac:dyDescent="0.2"/>
    <row r="83" s="161" customFormat="1" ht="12.75" x14ac:dyDescent="0.2"/>
    <row r="84" s="161" customFormat="1" ht="12.75" x14ac:dyDescent="0.2"/>
    <row r="85" s="161" customFormat="1" ht="12.75" x14ac:dyDescent="0.2"/>
    <row r="86" s="161" customFormat="1" ht="12.75" x14ac:dyDescent="0.2"/>
    <row r="87" s="161" customFormat="1" ht="12.75" x14ac:dyDescent="0.2"/>
    <row r="88" s="161" customFormat="1" ht="12.75" x14ac:dyDescent="0.2"/>
    <row r="89" s="161" customFormat="1" ht="12.75" x14ac:dyDescent="0.2"/>
    <row r="90" s="161" customFormat="1" ht="12.75" x14ac:dyDescent="0.2"/>
    <row r="91" s="161" customFormat="1" ht="12.75" x14ac:dyDescent="0.2"/>
    <row r="92" s="161" customFormat="1" ht="12.75" x14ac:dyDescent="0.2"/>
    <row r="93" s="161" customFormat="1" ht="12.75" x14ac:dyDescent="0.2"/>
    <row r="94" s="161" customFormat="1" ht="12.75" x14ac:dyDescent="0.2"/>
    <row r="95" s="161" customFormat="1" ht="12.75" x14ac:dyDescent="0.2"/>
    <row r="96" s="161" customFormat="1" ht="12.75" x14ac:dyDescent="0.2"/>
    <row r="97" spans="3:9" s="161" customFormat="1" ht="12.75" x14ac:dyDescent="0.2"/>
    <row r="98" spans="3:9" s="161" customFormat="1" ht="12.75" x14ac:dyDescent="0.2"/>
    <row r="99" spans="3:9" s="161" customFormat="1" ht="12.75" x14ac:dyDescent="0.2"/>
    <row r="100" spans="3:9" s="161" customFormat="1" ht="12.75" x14ac:dyDescent="0.2"/>
    <row r="101" spans="3:9" s="161" customFormat="1" ht="12.75" x14ac:dyDescent="0.2"/>
    <row r="102" spans="3:9" s="161" customFormat="1" ht="12.75" x14ac:dyDescent="0.2"/>
    <row r="103" spans="3:9" s="161" customFormat="1" ht="12.75" x14ac:dyDescent="0.2"/>
    <row r="104" spans="3:9" s="161" customFormat="1" ht="12.75" x14ac:dyDescent="0.2"/>
    <row r="105" spans="3:9" s="161" customFormat="1" ht="12.75" x14ac:dyDescent="0.2"/>
    <row r="106" spans="3:9" s="161" customFormat="1" ht="12.75" x14ac:dyDescent="0.2"/>
    <row r="107" spans="3:9" s="161" customFormat="1" ht="12.75" x14ac:dyDescent="0.2"/>
    <row r="108" spans="3:9" s="161" customFormat="1" ht="12.75" x14ac:dyDescent="0.2"/>
    <row r="109" spans="3:9" s="161" customFormat="1" ht="12.75" x14ac:dyDescent="0.2"/>
    <row r="110" spans="3:9" s="161" customFormat="1" ht="12.75" x14ac:dyDescent="0.2"/>
    <row r="111" spans="3:9" s="161" customFormat="1" x14ac:dyDescent="0.25">
      <c r="I111" s="146"/>
    </row>
    <row r="112" spans="3:9" x14ac:dyDescent="0.25">
      <c r="C112" s="161"/>
    </row>
    <row r="113" spans="3:3" x14ac:dyDescent="0.25">
      <c r="C113" s="161"/>
    </row>
    <row r="114" spans="3:3" x14ac:dyDescent="0.25">
      <c r="C114" s="161"/>
    </row>
    <row r="115" spans="3:3" x14ac:dyDescent="0.25">
      <c r="C115" s="161"/>
    </row>
    <row r="116" spans="3:3" x14ac:dyDescent="0.25">
      <c r="C116" s="161"/>
    </row>
    <row r="117" spans="3:3" x14ac:dyDescent="0.25">
      <c r="C117" s="161"/>
    </row>
    <row r="118" spans="3:3" x14ac:dyDescent="0.25">
      <c r="C118" s="161"/>
    </row>
    <row r="119" spans="3:3" x14ac:dyDescent="0.25">
      <c r="C119" s="161"/>
    </row>
    <row r="120" spans="3:3" x14ac:dyDescent="0.25">
      <c r="C120" s="161"/>
    </row>
    <row r="121" spans="3:3" x14ac:dyDescent="0.25">
      <c r="C121" s="161"/>
    </row>
  </sheetData>
  <hyperlinks>
    <hyperlink ref="D20" location="'1. Info'!A1" display="1. Info" xr:uid="{B7CF0CDD-543F-41C5-B519-8338792B2273}"/>
    <hyperlink ref="D22" location="'2. Table of Contents'!A1" display="2. Table of Contents" xr:uid="{A23C3E4F-67EB-4CC1-A8C2-BD529DDDA1D2}"/>
    <hyperlink ref="D24" location="'3. RRR Data'!A1" display="3. RRR Data" xr:uid="{E4EAD1C6-EA8E-4311-9DD9-556AF98374AC}"/>
    <hyperlink ref="D26" location="'4. UTRs and Sub-Transmission'!A1" display="4. UTRs and Sub-Transmission" xr:uid="{14075FF9-75B6-4C24-A0EB-CBBC380B6E7E}"/>
    <hyperlink ref="I20" location="'5. Historical Wholesale'!A1" display="5. Historical Wholesale" xr:uid="{84780C9A-E000-4C40-A418-867333D0C294}"/>
    <hyperlink ref="I22" location="'6. Current Wholesale'!A1" display="6. Current Wholesale" xr:uid="{9BC16717-1CDA-4C6F-B7C2-AE3245C3D361}"/>
    <hyperlink ref="I24" location="'7. Forecast Wholesale'!A1" display="7. Forecast Wholesale" xr:uid="{E4CD1583-276B-45A9-B9CC-B9D8965819D7}"/>
    <hyperlink ref="I26" location="'8. RTSR Rates to Forecast'!A1" display="8. RTSR Rates to Forecast" xr:uid="{E364F9E4-471D-4238-B2A3-6A8C1592EE61}"/>
    <hyperlink ref="I28" location="'9. LV Rates'!A1" display="9. LV Rates" xr:uid="{1DB87824-1D7D-4F07-9EDF-371A40CFF947}"/>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7763A-6430-44BC-A16A-ECD88C5AB92C}">
  <dimension ref="A3:M49"/>
  <sheetViews>
    <sheetView workbookViewId="0">
      <selection activeCell="D36" sqref="D36"/>
    </sheetView>
  </sheetViews>
  <sheetFormatPr defaultColWidth="9.28515625" defaultRowHeight="12.75" x14ac:dyDescent="0.2"/>
  <cols>
    <col min="1" max="1" width="56.7109375" style="31" customWidth="1"/>
    <col min="2" max="2" width="79.7109375" style="31" customWidth="1"/>
    <col min="3" max="3" width="9.28515625" style="129"/>
    <col min="4" max="4" width="16.28515625" style="129" customWidth="1"/>
    <col min="5" max="5" width="17.42578125" style="129" customWidth="1"/>
    <col min="6" max="6" width="16.28515625" style="129" customWidth="1"/>
    <col min="7" max="7" width="14.5703125" style="129" customWidth="1"/>
    <col min="8" max="8" width="11.5703125" style="129" customWidth="1"/>
    <col min="9" max="9" width="14.28515625" style="129" customWidth="1"/>
    <col min="10" max="10" width="14.42578125" style="129" customWidth="1"/>
    <col min="11" max="11" width="9.28515625" style="31"/>
    <col min="12" max="12" width="14.28515625" style="31" customWidth="1"/>
    <col min="13" max="13" width="12.140625" style="31" customWidth="1"/>
    <col min="14" max="16384" width="9.28515625" style="31"/>
  </cols>
  <sheetData>
    <row r="3" spans="1:13" x14ac:dyDescent="0.2">
      <c r="D3" s="130"/>
      <c r="E3" s="131"/>
      <c r="F3" s="131"/>
      <c r="G3" s="131"/>
      <c r="H3" s="132"/>
      <c r="I3" s="131"/>
      <c r="J3" s="130"/>
    </row>
    <row r="4" spans="1:13" x14ac:dyDescent="0.2">
      <c r="D4" s="130"/>
      <c r="E4" s="131"/>
      <c r="F4" s="131"/>
      <c r="G4" s="131"/>
      <c r="H4" s="132"/>
      <c r="I4" s="131"/>
      <c r="J4" s="130"/>
    </row>
    <row r="5" spans="1:13" x14ac:dyDescent="0.2">
      <c r="D5" s="130"/>
      <c r="E5" s="131"/>
      <c r="F5" s="131"/>
      <c r="G5" s="131"/>
      <c r="H5" s="132"/>
      <c r="I5" s="131"/>
      <c r="J5" s="130"/>
    </row>
    <row r="6" spans="1:13" x14ac:dyDescent="0.2">
      <c r="D6" s="130"/>
      <c r="E6" s="131"/>
      <c r="F6" s="131"/>
      <c r="G6" s="131"/>
      <c r="H6" s="132"/>
      <c r="I6" s="131"/>
      <c r="J6" s="130"/>
    </row>
    <row r="7" spans="1:13" x14ac:dyDescent="0.2">
      <c r="D7" s="130"/>
      <c r="E7" s="131"/>
      <c r="F7" s="131"/>
      <c r="G7" s="131"/>
      <c r="H7" s="132"/>
      <c r="I7" s="131"/>
      <c r="J7" s="130"/>
    </row>
    <row r="8" spans="1:13" x14ac:dyDescent="0.2">
      <c r="D8" s="130"/>
      <c r="E8" s="131"/>
      <c r="F8" s="131"/>
      <c r="G8" s="131"/>
      <c r="H8" s="132"/>
      <c r="I8" s="131"/>
      <c r="J8" s="130"/>
    </row>
    <row r="9" spans="1:13" x14ac:dyDescent="0.2">
      <c r="D9" s="130"/>
      <c r="E9" s="131"/>
      <c r="F9" s="131"/>
      <c r="G9" s="131"/>
      <c r="H9" s="132"/>
      <c r="I9" s="131"/>
      <c r="J9" s="130"/>
    </row>
    <row r="10" spans="1:13" x14ac:dyDescent="0.2">
      <c r="D10" s="130"/>
      <c r="E10" s="131"/>
      <c r="F10" s="131"/>
      <c r="G10" s="131"/>
      <c r="H10" s="132"/>
      <c r="I10" s="131"/>
      <c r="J10" s="130"/>
    </row>
    <row r="11" spans="1:13" x14ac:dyDescent="0.2">
      <c r="D11" s="130"/>
      <c r="E11" s="131"/>
      <c r="F11" s="131"/>
      <c r="G11" s="131"/>
      <c r="H11" s="132"/>
      <c r="I11" s="131"/>
      <c r="J11" s="130"/>
    </row>
    <row r="12" spans="1:13" x14ac:dyDescent="0.2">
      <c r="D12" s="130"/>
      <c r="E12" s="131"/>
      <c r="F12" s="131"/>
      <c r="G12" s="131"/>
      <c r="H12" s="132"/>
      <c r="I12" s="131"/>
      <c r="J12" s="130"/>
    </row>
    <row r="13" spans="1:13" ht="15.75" x14ac:dyDescent="0.25">
      <c r="A13" s="133" t="s">
        <v>85</v>
      </c>
      <c r="D13" s="130"/>
      <c r="E13" s="131"/>
      <c r="F13" s="131"/>
      <c r="G13" s="131"/>
      <c r="H13" s="132"/>
      <c r="I13" s="131"/>
      <c r="J13" s="130"/>
    </row>
    <row r="14" spans="1:13" x14ac:dyDescent="0.2">
      <c r="D14" s="130"/>
      <c r="E14" s="131"/>
      <c r="F14" s="131"/>
      <c r="G14" s="131"/>
      <c r="H14" s="132"/>
      <c r="I14" s="131"/>
      <c r="J14" s="130"/>
    </row>
    <row r="15" spans="1:13" ht="47.25" x14ac:dyDescent="0.2">
      <c r="A15" s="134" t="s">
        <v>20</v>
      </c>
      <c r="B15" s="134" t="s">
        <v>21</v>
      </c>
      <c r="C15" s="135" t="s">
        <v>22</v>
      </c>
      <c r="D15" s="136" t="s">
        <v>86</v>
      </c>
      <c r="E15" s="137" t="s">
        <v>27</v>
      </c>
      <c r="F15" s="138" t="s">
        <v>87</v>
      </c>
      <c r="G15" s="139" t="s">
        <v>88</v>
      </c>
      <c r="H15" s="140" t="s">
        <v>89</v>
      </c>
      <c r="I15" s="138" t="s">
        <v>90</v>
      </c>
      <c r="J15" s="141" t="s">
        <v>91</v>
      </c>
    </row>
    <row r="16" spans="1:13" x14ac:dyDescent="0.2">
      <c r="G16" s="142"/>
      <c r="M16" s="148"/>
    </row>
    <row r="17" spans="1:13" x14ac:dyDescent="0.2">
      <c r="A17" s="31" t="s">
        <v>28</v>
      </c>
      <c r="B17" s="31" t="s">
        <v>29</v>
      </c>
      <c r="C17" s="129" t="s">
        <v>30</v>
      </c>
      <c r="D17" s="130">
        <f>'8. RTSR Rates to Forecast 2030'!J17</f>
        <v>1.4500000000000001E-2</v>
      </c>
      <c r="E17" s="142">
        <f>'3. RRR Data 2031'!H17</f>
        <v>1790318892.1117904</v>
      </c>
      <c r="F17" s="142">
        <f>'3. RRR Data 2031'!F17</f>
        <v>0</v>
      </c>
      <c r="G17" s="142">
        <f>IF(D17*E17=0,ROUND(D17*F17,2),ROUND(D17*E17,2))</f>
        <v>25959623.940000001</v>
      </c>
      <c r="H17" s="143">
        <f t="shared" ref="H17:H28" si="0">G17/$G$28</f>
        <v>0.40227668409264572</v>
      </c>
      <c r="I17" s="142">
        <f>H17*$I$28</f>
        <v>27419235.129838917</v>
      </c>
      <c r="J17" s="130">
        <f>IF(I17*E17=0,ROUND(I17/F17,4),ROUND(I17/E17,4))</f>
        <v>1.5299999999999999E-2</v>
      </c>
      <c r="K17" s="151"/>
      <c r="L17" s="148"/>
      <c r="M17" s="148"/>
    </row>
    <row r="18" spans="1:13" x14ac:dyDescent="0.2">
      <c r="A18" s="31" t="s">
        <v>32</v>
      </c>
      <c r="B18" s="31" t="s">
        <v>29</v>
      </c>
      <c r="C18" s="129" t="s">
        <v>30</v>
      </c>
      <c r="D18" s="130">
        <f>'8. RTSR Rates to Forecast 2030'!J18</f>
        <v>1.46E-2</v>
      </c>
      <c r="E18" s="142">
        <f>'3. RRR Data 2031'!H19</f>
        <v>16092324.12563959</v>
      </c>
      <c r="F18" s="142">
        <f>'3. RRR Data 2031'!F19</f>
        <v>0</v>
      </c>
      <c r="G18" s="142">
        <f t="shared" ref="G18:G27" si="1">IF(D18*E18=0,ROUND(D18*F18,2),ROUND(D18*E18,2))</f>
        <v>234947.93</v>
      </c>
      <c r="H18" s="143">
        <f t="shared" si="0"/>
        <v>3.6408106077838289E-3</v>
      </c>
      <c r="I18" s="142">
        <f t="shared" ref="I18:I27" si="2">H18*$I$28</f>
        <v>248158.16095134598</v>
      </c>
      <c r="J18" s="130">
        <f t="shared" ref="J18:J27" si="3">IF(I18*E18=0,ROUND(I18/F18,4),ROUND(I18/E18,4))</f>
        <v>1.54E-2</v>
      </c>
      <c r="K18" s="151"/>
      <c r="L18" s="148"/>
      <c r="M18" s="148"/>
    </row>
    <row r="19" spans="1:13" x14ac:dyDescent="0.2">
      <c r="A19" s="31" t="s">
        <v>33</v>
      </c>
      <c r="B19" s="31" t="s">
        <v>29</v>
      </c>
      <c r="C19" s="129" t="s">
        <v>30</v>
      </c>
      <c r="D19" s="130">
        <f>'8. RTSR Rates to Forecast 2030'!J19</f>
        <v>1.3100000000000001E-2</v>
      </c>
      <c r="E19" s="142">
        <f>'3. RRR Data 2031'!H21</f>
        <v>395460202.56086135</v>
      </c>
      <c r="F19" s="142">
        <f>'3. RRR Data 2031'!F21</f>
        <v>0</v>
      </c>
      <c r="G19" s="142">
        <f t="shared" si="1"/>
        <v>5180528.6500000004</v>
      </c>
      <c r="H19" s="143">
        <f t="shared" si="0"/>
        <v>8.0278739475798069E-2</v>
      </c>
      <c r="I19" s="142">
        <f t="shared" si="2"/>
        <v>5471810.1263533551</v>
      </c>
      <c r="J19" s="130">
        <f t="shared" si="3"/>
        <v>1.38E-2</v>
      </c>
      <c r="K19" s="151"/>
      <c r="L19" s="148"/>
      <c r="M19" s="148"/>
    </row>
    <row r="20" spans="1:13" x14ac:dyDescent="0.2">
      <c r="A20" s="31" t="s">
        <v>34</v>
      </c>
      <c r="B20" s="31" t="s">
        <v>29</v>
      </c>
      <c r="C20" s="129" t="s">
        <v>35</v>
      </c>
      <c r="D20" s="130">
        <f>'8. RTSR Rates to Forecast 2030'!J20</f>
        <v>6.0803000000000003</v>
      </c>
      <c r="E20" s="142"/>
      <c r="F20" s="142">
        <f>'3. RRR Data 2031'!F23</f>
        <v>3403195.4286894421</v>
      </c>
      <c r="G20" s="142">
        <f t="shared" si="1"/>
        <v>20692449.170000002</v>
      </c>
      <c r="H20" s="143">
        <f t="shared" si="0"/>
        <v>0.32065525514169757</v>
      </c>
      <c r="I20" s="142">
        <f t="shared" si="2"/>
        <v>21855907.100804877</v>
      </c>
      <c r="J20" s="130">
        <f t="shared" si="3"/>
        <v>6.4222000000000001</v>
      </c>
      <c r="K20" s="151"/>
      <c r="L20" s="148"/>
      <c r="M20" s="148"/>
    </row>
    <row r="21" spans="1:13" x14ac:dyDescent="0.2">
      <c r="A21" s="31" t="s">
        <v>34</v>
      </c>
      <c r="B21" s="31" t="s">
        <v>36</v>
      </c>
      <c r="C21" s="129" t="s">
        <v>35</v>
      </c>
      <c r="D21" s="130">
        <f>'8. RTSR Rates to Forecast 2030'!J21</f>
        <v>1.0370999999999999</v>
      </c>
      <c r="E21" s="142"/>
      <c r="F21" s="142">
        <f>'3. RRR Data 2031'!F25</f>
        <v>44432.573221991399</v>
      </c>
      <c r="G21" s="142">
        <f t="shared" si="1"/>
        <v>46081.02</v>
      </c>
      <c r="H21" s="143">
        <f t="shared" si="0"/>
        <v>7.1408276052271999E-4</v>
      </c>
      <c r="I21" s="142">
        <f t="shared" si="2"/>
        <v>48671.980970260913</v>
      </c>
      <c r="J21" s="130">
        <f t="shared" si="3"/>
        <v>1.0953999999999999</v>
      </c>
      <c r="K21" s="151"/>
      <c r="L21" s="148"/>
      <c r="M21" s="148"/>
    </row>
    <row r="22" spans="1:13" x14ac:dyDescent="0.2">
      <c r="A22" s="31" t="s">
        <v>38</v>
      </c>
      <c r="B22" s="31" t="s">
        <v>29</v>
      </c>
      <c r="C22" s="129" t="s">
        <v>35</v>
      </c>
      <c r="D22" s="130">
        <f>'8. RTSR Rates to Forecast 2030'!J22</f>
        <v>6.4379999999999997</v>
      </c>
      <c r="E22" s="142"/>
      <c r="F22" s="142">
        <f>'3. RRR Data 2031'!F27</f>
        <v>746467.9006503236</v>
      </c>
      <c r="G22" s="142">
        <f t="shared" si="1"/>
        <v>4805760.34</v>
      </c>
      <c r="H22" s="143">
        <f t="shared" si="0"/>
        <v>7.4471238049804572E-2</v>
      </c>
      <c r="I22" s="142">
        <f t="shared" si="2"/>
        <v>5075970.0157703673</v>
      </c>
      <c r="J22" s="130">
        <f t="shared" si="3"/>
        <v>6.8</v>
      </c>
      <c r="K22" s="151"/>
      <c r="L22" s="148"/>
      <c r="M22" s="148"/>
    </row>
    <row r="23" spans="1:13" x14ac:dyDescent="0.2">
      <c r="A23" s="31" t="s">
        <v>38</v>
      </c>
      <c r="B23" s="31" t="s">
        <v>36</v>
      </c>
      <c r="C23" s="129" t="s">
        <v>35</v>
      </c>
      <c r="D23" s="130" t="e">
        <f>'8. RTSR Rates to Forecast 2030'!J23</f>
        <v>#DIV/0!</v>
      </c>
      <c r="E23" s="142"/>
      <c r="F23" s="142"/>
      <c r="G23" s="142"/>
      <c r="H23" s="143">
        <f t="shared" si="0"/>
        <v>0</v>
      </c>
      <c r="I23" s="142">
        <f t="shared" si="2"/>
        <v>0</v>
      </c>
      <c r="J23" s="130" t="e">
        <f t="shared" si="3"/>
        <v>#DIV/0!</v>
      </c>
      <c r="K23" s="151"/>
      <c r="L23" s="148"/>
      <c r="M23" s="148"/>
    </row>
    <row r="24" spans="1:13" x14ac:dyDescent="0.2">
      <c r="A24" s="31" t="s">
        <v>41</v>
      </c>
      <c r="B24" s="31" t="s">
        <v>29</v>
      </c>
      <c r="C24" s="129" t="s">
        <v>35</v>
      </c>
      <c r="D24" s="130">
        <f>'8. RTSR Rates to Forecast 2030'!J24</f>
        <v>6.8544999999999998</v>
      </c>
      <c r="E24" s="142"/>
      <c r="F24" s="142">
        <f>'3. RRR Data 2031'!F31</f>
        <v>1070183.945594792</v>
      </c>
      <c r="G24" s="142">
        <f t="shared" si="1"/>
        <v>7335575.8600000003</v>
      </c>
      <c r="H24" s="143">
        <f t="shared" si="0"/>
        <v>0.11367387831546755</v>
      </c>
      <c r="I24" s="142">
        <f t="shared" si="2"/>
        <v>7748027.4669229416</v>
      </c>
      <c r="J24" s="130">
        <f t="shared" si="3"/>
        <v>7.2398999999999996</v>
      </c>
      <c r="K24" s="151"/>
      <c r="L24" s="148"/>
      <c r="M24" s="148"/>
    </row>
    <row r="25" spans="1:13" x14ac:dyDescent="0.2">
      <c r="A25" s="31" t="s">
        <v>42</v>
      </c>
      <c r="B25" s="31" t="s">
        <v>29</v>
      </c>
      <c r="C25" s="129" t="s">
        <v>30</v>
      </c>
      <c r="D25" s="130">
        <f>'8. RTSR Rates to Forecast 2030'!J25</f>
        <v>1.32E-2</v>
      </c>
      <c r="E25" s="142">
        <f>'3. RRR Data 2031'!H33</f>
        <v>6446697.3570551146</v>
      </c>
      <c r="F25" s="142">
        <f>'3. RRR Data 2031'!F33</f>
        <v>0</v>
      </c>
      <c r="G25" s="142">
        <f t="shared" si="1"/>
        <v>85096.41</v>
      </c>
      <c r="H25" s="143">
        <f t="shared" si="0"/>
        <v>1.3186747898239492E-3</v>
      </c>
      <c r="I25" s="142">
        <f t="shared" si="2"/>
        <v>89881.058365407735</v>
      </c>
      <c r="J25" s="130">
        <f t="shared" si="3"/>
        <v>1.3899999999999999E-2</v>
      </c>
      <c r="K25" s="151"/>
      <c r="L25" s="148"/>
      <c r="M25" s="148"/>
    </row>
    <row r="26" spans="1:13" x14ac:dyDescent="0.2">
      <c r="A26" s="31" t="s">
        <v>43</v>
      </c>
      <c r="B26" s="31" t="s">
        <v>29</v>
      </c>
      <c r="C26" s="129" t="s">
        <v>35</v>
      </c>
      <c r="D26" s="130">
        <f>'8. RTSR Rates to Forecast 2030'!J26</f>
        <v>3.9403999999999999</v>
      </c>
      <c r="E26" s="142"/>
      <c r="F26" s="142">
        <f>'3. RRR Data 2031'!F35</f>
        <v>632.66908232300091</v>
      </c>
      <c r="G26" s="142">
        <f t="shared" si="1"/>
        <v>2492.9699999999998</v>
      </c>
      <c r="H26" s="143">
        <f t="shared" si="0"/>
        <v>3.863167307278192E-5</v>
      </c>
      <c r="I26" s="142">
        <f t="shared" si="2"/>
        <v>2633.1402473172543</v>
      </c>
      <c r="J26" s="130">
        <f t="shared" si="3"/>
        <v>4.1619999999999999</v>
      </c>
      <c r="K26" s="151"/>
      <c r="L26" s="148"/>
      <c r="M26" s="148"/>
    </row>
    <row r="27" spans="1:13" x14ac:dyDescent="0.2">
      <c r="A27" s="31" t="s">
        <v>44</v>
      </c>
      <c r="B27" s="31" t="s">
        <v>29</v>
      </c>
      <c r="C27" s="129" t="s">
        <v>35</v>
      </c>
      <c r="D27" s="130">
        <f>'8. RTSR Rates to Forecast 2030'!J27</f>
        <v>4.1326999999999998</v>
      </c>
      <c r="E27" s="142"/>
      <c r="F27" s="142">
        <f>'3. RRR Data 2031'!F37</f>
        <v>45783.012568858583</v>
      </c>
      <c r="G27" s="142">
        <f t="shared" si="1"/>
        <v>189207.46</v>
      </c>
      <c r="H27" s="143">
        <f t="shared" si="0"/>
        <v>2.9320050933831785E-3</v>
      </c>
      <c r="I27" s="142">
        <f t="shared" si="2"/>
        <v>199845.87781588608</v>
      </c>
      <c r="J27" s="130">
        <f t="shared" si="3"/>
        <v>4.3651</v>
      </c>
      <c r="K27" s="151"/>
      <c r="L27" s="148"/>
      <c r="M27" s="148"/>
    </row>
    <row r="28" spans="1:13" x14ac:dyDescent="0.2">
      <c r="D28" s="130"/>
      <c r="E28" s="142"/>
      <c r="F28" s="142"/>
      <c r="G28" s="142">
        <f>SUM(G17:G27)</f>
        <v>64531763.750000007</v>
      </c>
      <c r="H28" s="143">
        <f t="shared" si="0"/>
        <v>1</v>
      </c>
      <c r="I28" s="142">
        <f>'7. Forecast Wholesale 2031'!F33+'7. Forecast Wholesale 2031'!F52</f>
        <v>68160140.058040679</v>
      </c>
      <c r="J28" s="130"/>
    </row>
    <row r="30" spans="1:13" ht="15.75" x14ac:dyDescent="0.25">
      <c r="A30" s="133" t="s">
        <v>92</v>
      </c>
    </row>
    <row r="31" spans="1:13" ht="47.25" x14ac:dyDescent="0.2">
      <c r="A31" s="134" t="s">
        <v>20</v>
      </c>
      <c r="B31" s="134" t="s">
        <v>21</v>
      </c>
      <c r="C31" s="135" t="s">
        <v>22</v>
      </c>
      <c r="D31" s="136" t="s">
        <v>93</v>
      </c>
      <c r="E31" s="137" t="s">
        <v>27</v>
      </c>
      <c r="F31" s="138" t="s">
        <v>87</v>
      </c>
      <c r="G31" s="139" t="s">
        <v>88</v>
      </c>
      <c r="H31" s="140" t="s">
        <v>89</v>
      </c>
      <c r="I31" s="138" t="s">
        <v>90</v>
      </c>
      <c r="J31" s="141" t="s">
        <v>94</v>
      </c>
    </row>
    <row r="33" spans="1:13" x14ac:dyDescent="0.2">
      <c r="A33" s="31" t="s">
        <v>28</v>
      </c>
      <c r="B33" s="31" t="s">
        <v>31</v>
      </c>
      <c r="C33" s="129" t="s">
        <v>30</v>
      </c>
      <c r="D33" s="130">
        <f>'8. RTSR Rates to Forecast 2030'!J33</f>
        <v>1.0200000000000001E-2</v>
      </c>
      <c r="E33" s="142">
        <f>'3. RRR Data 2031'!H18</f>
        <v>1790318892.1117904</v>
      </c>
      <c r="F33" s="142">
        <f>'3. RRR Data 2031'!F18</f>
        <v>0</v>
      </c>
      <c r="G33" s="142">
        <f>IF(D33*E33=0,ROUND(D33*F33,2),ROUND(D33*E33,2))</f>
        <v>18261252.699999999</v>
      </c>
      <c r="H33" s="143">
        <f>G33/$G$44</f>
        <v>0.40445031110145002</v>
      </c>
      <c r="I33" s="142">
        <f>H33*$I$44</f>
        <v>19273501.562391169</v>
      </c>
      <c r="J33" s="130">
        <f>IF(I33*E33=0,ROUND(I33/F33,4),ROUND(I33/E33,4))</f>
        <v>1.0800000000000001E-2</v>
      </c>
      <c r="K33" s="151"/>
      <c r="L33" s="148"/>
      <c r="M33" s="148"/>
    </row>
    <row r="34" spans="1:13" x14ac:dyDescent="0.2">
      <c r="A34" s="31" t="s">
        <v>32</v>
      </c>
      <c r="B34" s="31" t="s">
        <v>31</v>
      </c>
      <c r="C34" s="129" t="s">
        <v>30</v>
      </c>
      <c r="D34" s="130">
        <f>'8. RTSR Rates to Forecast 2030'!J34</f>
        <v>1.23E-2</v>
      </c>
      <c r="E34" s="142">
        <f>'3. RRR Data 2031'!H20</f>
        <v>16092324.12563959</v>
      </c>
      <c r="F34" s="142">
        <f>'3. RRR Data 2031'!F20</f>
        <v>0</v>
      </c>
      <c r="G34" s="142">
        <f t="shared" ref="G34:G43" si="4">IF(D34*E34=0,ROUND(D34*F34,2),ROUND(D34*E34,2))</f>
        <v>197935.59</v>
      </c>
      <c r="H34" s="143">
        <f t="shared" ref="H34:H43" si="5">G34/$G$44</f>
        <v>4.3838783827545988E-3</v>
      </c>
      <c r="I34" s="142">
        <f t="shared" ref="I34:I43" si="6">H34*$I$44</f>
        <v>208907.45918640168</v>
      </c>
      <c r="J34" s="130">
        <f t="shared" ref="J34:J43" si="7">IF(I34*E34=0,ROUND(I34/F34,4),ROUND(I34/E34,4))</f>
        <v>1.2999999999999999E-2</v>
      </c>
      <c r="K34" s="151"/>
      <c r="L34" s="148"/>
      <c r="M34" s="148"/>
    </row>
    <row r="35" spans="1:13" x14ac:dyDescent="0.2">
      <c r="A35" s="31" t="s">
        <v>33</v>
      </c>
      <c r="B35" s="31" t="s">
        <v>31</v>
      </c>
      <c r="C35" s="129" t="s">
        <v>30</v>
      </c>
      <c r="D35" s="130">
        <f>'8. RTSR Rates to Forecast 2030'!J35</f>
        <v>9.5999999999999992E-3</v>
      </c>
      <c r="E35" s="142">
        <f>'3. RRR Data 2031'!H22</f>
        <v>395460202.56086135</v>
      </c>
      <c r="F35" s="142">
        <f>'3. RRR Data 2031'!F22</f>
        <v>0</v>
      </c>
      <c r="G35" s="142">
        <f t="shared" si="4"/>
        <v>3796417.94</v>
      </c>
      <c r="H35" s="143">
        <f t="shared" si="5"/>
        <v>8.4083082476818574E-2</v>
      </c>
      <c r="I35" s="142">
        <f t="shared" si="6"/>
        <v>4006859.1295535746</v>
      </c>
      <c r="J35" s="130">
        <f t="shared" si="7"/>
        <v>1.01E-2</v>
      </c>
      <c r="K35" s="151"/>
      <c r="L35" s="148"/>
      <c r="M35" s="148"/>
    </row>
    <row r="36" spans="1:13" x14ac:dyDescent="0.2">
      <c r="A36" s="31" t="s">
        <v>34</v>
      </c>
      <c r="B36" s="31" t="s">
        <v>31</v>
      </c>
      <c r="C36" s="129" t="s">
        <v>35</v>
      </c>
      <c r="D36" s="130">
        <f>'8. RTSR Rates to Forecast 2030'!J36</f>
        <v>4.2233999999999998</v>
      </c>
      <c r="E36" s="142"/>
      <c r="F36" s="142">
        <f>'3. RRR Data 2031'!F24</f>
        <v>3403195.4286894421</v>
      </c>
      <c r="G36" s="142">
        <f t="shared" si="4"/>
        <v>14373055.57</v>
      </c>
      <c r="H36" s="143">
        <f t="shared" si="5"/>
        <v>0.31833450269076718</v>
      </c>
      <c r="I36" s="142">
        <f t="shared" si="6"/>
        <v>15169775.783494312</v>
      </c>
      <c r="J36" s="130">
        <f t="shared" si="7"/>
        <v>4.4574999999999996</v>
      </c>
      <c r="K36" s="151"/>
      <c r="L36" s="148"/>
      <c r="M36" s="148"/>
    </row>
    <row r="37" spans="1:13" x14ac:dyDescent="0.2">
      <c r="A37" s="31" t="s">
        <v>34</v>
      </c>
      <c r="B37" s="31" t="s">
        <v>37</v>
      </c>
      <c r="C37" s="129" t="s">
        <v>35</v>
      </c>
      <c r="D37" s="130">
        <f>'8. RTSR Rates to Forecast 2030'!J37</f>
        <v>0.71740000000000004</v>
      </c>
      <c r="E37" s="142"/>
      <c r="F37" s="142">
        <f>'3. RRR Data 2031'!F26</f>
        <v>44432.573221991399</v>
      </c>
      <c r="G37" s="142">
        <f t="shared" si="4"/>
        <v>31875.93</v>
      </c>
      <c r="H37" s="143">
        <f t="shared" si="5"/>
        <v>7.05988248284196E-4</v>
      </c>
      <c r="I37" s="142">
        <f t="shared" si="6"/>
        <v>33642.861021121054</v>
      </c>
      <c r="J37" s="130">
        <f t="shared" si="7"/>
        <v>0.75719999999999998</v>
      </c>
      <c r="K37" s="151"/>
      <c r="L37" s="148"/>
      <c r="M37" s="148"/>
    </row>
    <row r="38" spans="1:13" x14ac:dyDescent="0.2">
      <c r="A38" s="31" t="s">
        <v>38</v>
      </c>
      <c r="B38" s="31" t="s">
        <v>39</v>
      </c>
      <c r="C38" s="129" t="s">
        <v>35</v>
      </c>
      <c r="D38" s="130">
        <f>'8. RTSR Rates to Forecast 2030'!J38</f>
        <v>4.4983000000000004</v>
      </c>
      <c r="E38" s="142"/>
      <c r="F38" s="142">
        <f>'3. RRR Data 2031'!F28</f>
        <v>746467.9006503236</v>
      </c>
      <c r="G38" s="142">
        <f t="shared" si="4"/>
        <v>3357836.56</v>
      </c>
      <c r="H38" s="143">
        <f t="shared" si="5"/>
        <v>7.4369379999862914E-2</v>
      </c>
      <c r="I38" s="142">
        <f t="shared" si="6"/>
        <v>3543966.5201836997</v>
      </c>
      <c r="J38" s="130">
        <f t="shared" si="7"/>
        <v>4.7476000000000003</v>
      </c>
      <c r="K38" s="151"/>
      <c r="L38" s="148"/>
      <c r="M38" s="148"/>
    </row>
    <row r="39" spans="1:13" x14ac:dyDescent="0.2">
      <c r="A39" s="31" t="s">
        <v>38</v>
      </c>
      <c r="B39" s="31" t="s">
        <v>40</v>
      </c>
      <c r="C39" s="129" t="s">
        <v>35</v>
      </c>
      <c r="D39" s="130" t="e">
        <f>'8. RTSR Rates to Forecast 2030'!J39</f>
        <v>#DIV/0!</v>
      </c>
      <c r="E39" s="142"/>
      <c r="F39" s="142"/>
      <c r="G39" s="142"/>
      <c r="H39" s="143">
        <f t="shared" si="5"/>
        <v>0</v>
      </c>
      <c r="I39" s="142">
        <f t="shared" si="6"/>
        <v>0</v>
      </c>
      <c r="J39" s="130" t="e">
        <f t="shared" si="7"/>
        <v>#DIV/0!</v>
      </c>
      <c r="K39" s="151"/>
      <c r="L39" s="148"/>
      <c r="M39" s="148"/>
    </row>
    <row r="40" spans="1:13" x14ac:dyDescent="0.2">
      <c r="A40" s="31" t="s">
        <v>41</v>
      </c>
      <c r="B40" s="31" t="s">
        <v>39</v>
      </c>
      <c r="C40" s="129" t="s">
        <v>35</v>
      </c>
      <c r="D40" s="130">
        <f>'8. RTSR Rates to Forecast 2030'!J40</f>
        <v>4.6120999999999999</v>
      </c>
      <c r="E40" s="142"/>
      <c r="F40" s="142">
        <f>'3. RRR Data 2031'!F32</f>
        <v>1070183.945594792</v>
      </c>
      <c r="G40" s="142">
        <f t="shared" si="4"/>
        <v>4935795.38</v>
      </c>
      <c r="H40" s="143">
        <f>G40/$G$44</f>
        <v>0.10931801940258455</v>
      </c>
      <c r="I40" s="142">
        <f t="shared" si="6"/>
        <v>5209393.98467845</v>
      </c>
      <c r="J40" s="130">
        <f t="shared" si="7"/>
        <v>4.8677999999999999</v>
      </c>
      <c r="K40" s="151"/>
      <c r="L40" s="148"/>
      <c r="M40" s="148"/>
    </row>
    <row r="41" spans="1:13" x14ac:dyDescent="0.2">
      <c r="A41" s="31" t="s">
        <v>42</v>
      </c>
      <c r="B41" s="31" t="s">
        <v>31</v>
      </c>
      <c r="C41" s="129" t="s">
        <v>30</v>
      </c>
      <c r="D41" s="130">
        <f>'8. RTSR Rates to Forecast 2030'!J41</f>
        <v>9.7000000000000003E-3</v>
      </c>
      <c r="E41" s="142">
        <f>'3. RRR Data 2031'!H34</f>
        <v>6446697.3570551146</v>
      </c>
      <c r="F41" s="142">
        <f>'3. RRR Data 2031'!F34</f>
        <v>0</v>
      </c>
      <c r="G41" s="142">
        <f t="shared" si="4"/>
        <v>62532.959999999999</v>
      </c>
      <c r="H41" s="143">
        <f t="shared" si="5"/>
        <v>1.3849802936079258E-3</v>
      </c>
      <c r="I41" s="142">
        <f t="shared" si="6"/>
        <v>65999.256571316408</v>
      </c>
      <c r="J41" s="130">
        <f t="shared" si="7"/>
        <v>1.0200000000000001E-2</v>
      </c>
      <c r="K41" s="151"/>
      <c r="L41" s="148"/>
      <c r="M41" s="148"/>
    </row>
    <row r="42" spans="1:13" x14ac:dyDescent="0.2">
      <c r="A42" s="31" t="s">
        <v>43</v>
      </c>
      <c r="B42" s="31" t="s">
        <v>31</v>
      </c>
      <c r="C42" s="129" t="s">
        <v>35</v>
      </c>
      <c r="D42" s="130">
        <f>'8. RTSR Rates to Forecast 2030'!J42</f>
        <v>2.746</v>
      </c>
      <c r="E42" s="142"/>
      <c r="F42" s="142">
        <f>'3. RRR Data 2031'!F36</f>
        <v>632.66908232300091</v>
      </c>
      <c r="G42" s="142">
        <f t="shared" si="4"/>
        <v>1737.31</v>
      </c>
      <c r="H42" s="143">
        <f t="shared" si="5"/>
        <v>3.8477950090448072E-5</v>
      </c>
      <c r="I42" s="142">
        <f t="shared" si="6"/>
        <v>1833.6117214651874</v>
      </c>
      <c r="J42" s="130">
        <f t="shared" si="7"/>
        <v>2.8982000000000001</v>
      </c>
      <c r="K42" s="151"/>
      <c r="L42" s="148"/>
      <c r="M42" s="148"/>
    </row>
    <row r="43" spans="1:13" x14ac:dyDescent="0.2">
      <c r="A43" s="31" t="s">
        <v>44</v>
      </c>
      <c r="B43" s="31" t="s">
        <v>31</v>
      </c>
      <c r="C43" s="129" t="s">
        <v>35</v>
      </c>
      <c r="D43" s="130">
        <f>'8. RTSR Rates to Forecast 2030'!J43</f>
        <v>2.8908999999999998</v>
      </c>
      <c r="E43" s="142"/>
      <c r="F43" s="142">
        <f>'3. RRR Data 2031'!F38</f>
        <v>45783.012568858583</v>
      </c>
      <c r="G43" s="142">
        <f t="shared" si="4"/>
        <v>132354.10999999999</v>
      </c>
      <c r="H43" s="143">
        <f t="shared" si="5"/>
        <v>2.9313794537795062E-3</v>
      </c>
      <c r="I43" s="142">
        <f t="shared" si="6"/>
        <v>139690.69853974984</v>
      </c>
      <c r="J43" s="130">
        <f t="shared" si="7"/>
        <v>3.0510999999999999</v>
      </c>
      <c r="K43" s="151"/>
      <c r="L43" s="148"/>
      <c r="M43" s="148"/>
    </row>
    <row r="44" spans="1:13" x14ac:dyDescent="0.2">
      <c r="D44" s="130"/>
      <c r="E44" s="142"/>
      <c r="F44" s="142"/>
      <c r="G44" s="142">
        <f>SUM(G33:G43)</f>
        <v>45150794.050000004</v>
      </c>
      <c r="H44" s="143"/>
      <c r="I44" s="142">
        <f>'7. Forecast Wholesale 2031'!P33+'7. Forecast Wholesale 2031'!P52</f>
        <v>47653570.867341265</v>
      </c>
      <c r="J44" s="130"/>
    </row>
    <row r="46" spans="1:13" x14ac:dyDescent="0.2">
      <c r="D46" s="130"/>
      <c r="E46" s="142"/>
      <c r="F46" s="142"/>
      <c r="G46" s="142"/>
      <c r="H46" s="143"/>
      <c r="I46" s="142"/>
      <c r="J46" s="144"/>
    </row>
    <row r="47" spans="1:13" x14ac:dyDescent="0.2">
      <c r="D47" s="130"/>
      <c r="E47" s="142"/>
      <c r="F47" s="142"/>
      <c r="G47" s="142"/>
      <c r="H47" s="143"/>
      <c r="I47" s="142"/>
      <c r="J47" s="144"/>
    </row>
    <row r="48" spans="1:13" x14ac:dyDescent="0.2">
      <c r="D48" s="130"/>
      <c r="E48" s="142"/>
      <c r="F48" s="142"/>
      <c r="G48" s="142"/>
      <c r="H48" s="143"/>
      <c r="I48" s="142"/>
      <c r="J48" s="144"/>
    </row>
    <row r="49" spans="4:10" x14ac:dyDescent="0.2">
      <c r="D49" s="130"/>
      <c r="E49" s="142"/>
      <c r="F49" s="142"/>
      <c r="G49" s="142"/>
      <c r="H49" s="143"/>
      <c r="I49" s="142"/>
      <c r="J49" s="144"/>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2FD9F-2E61-488D-A3A9-F5981961391C}">
  <dimension ref="B4:K32"/>
  <sheetViews>
    <sheetView workbookViewId="0">
      <selection activeCell="H36" sqref="H36"/>
    </sheetView>
  </sheetViews>
  <sheetFormatPr defaultColWidth="8.85546875" defaultRowHeight="15" x14ac:dyDescent="0.25"/>
  <cols>
    <col min="1" max="1" width="8.85546875" style="146"/>
    <col min="2" max="2" width="55.28515625" style="146" customWidth="1"/>
    <col min="3" max="3" width="81.42578125" style="146" bestFit="1" customWidth="1"/>
    <col min="4" max="5" width="10" style="146" customWidth="1"/>
    <col min="6" max="9" width="14.140625" style="146" bestFit="1" customWidth="1"/>
    <col min="10" max="10" width="12.85546875" style="146" customWidth="1"/>
    <col min="11" max="16384" width="8.85546875" style="146"/>
  </cols>
  <sheetData>
    <row r="4" spans="2:11" x14ac:dyDescent="0.25">
      <c r="B4" s="147" t="s">
        <v>2</v>
      </c>
      <c r="D4" s="155" t="s">
        <v>198</v>
      </c>
      <c r="E4" s="155" t="s">
        <v>199</v>
      </c>
      <c r="F4" s="147"/>
      <c r="G4" s="147"/>
      <c r="H4" s="147"/>
      <c r="I4" s="147"/>
      <c r="J4" s="147"/>
      <c r="K4" s="147"/>
    </row>
    <row r="5" spans="2:11" x14ac:dyDescent="0.25">
      <c r="D5" s="147">
        <v>2026</v>
      </c>
      <c r="E5" s="147">
        <v>2026</v>
      </c>
      <c r="F5" s="147">
        <v>2027</v>
      </c>
      <c r="G5" s="147">
        <f>F5+1</f>
        <v>2028</v>
      </c>
      <c r="H5" s="147">
        <f t="shared" ref="H5:J5" si="0">G5+1</f>
        <v>2029</v>
      </c>
      <c r="I5" s="147">
        <f t="shared" si="0"/>
        <v>2030</v>
      </c>
      <c r="J5" s="147">
        <f t="shared" si="0"/>
        <v>2031</v>
      </c>
      <c r="K5" s="147"/>
    </row>
    <row r="6" spans="2:11" x14ac:dyDescent="0.25">
      <c r="B6" s="146" t="str">
        <f>'8. RTSR Rates to Forecast 2031'!A17</f>
        <v>Residential Service Classification</v>
      </c>
      <c r="C6" s="146" t="str">
        <f>'8. RTSR Rates to Forecast 2031'!B17</f>
        <v>Retail Transmission Rate - Network Service Rate</v>
      </c>
      <c r="D6" s="216">
        <f>'8. RTSR Rates to Forecast 2027'!D29</f>
        <v>1.2999999999999999E-2</v>
      </c>
      <c r="E6" s="216">
        <f>'8. RTSR Rates to Forecast 2027'!D17</f>
        <v>1.1539144618924536E-2</v>
      </c>
      <c r="F6" s="216">
        <f>'8. RTSR Rates to Forecast 2027'!J17</f>
        <v>1.23E-2</v>
      </c>
      <c r="G6" s="216">
        <f>'8. RTSR Rates to Forecast 2028'!J17</f>
        <v>1.2999999999999999E-2</v>
      </c>
      <c r="H6" s="216">
        <f>'8. RTSR Rates to Forecast 2029'!J17</f>
        <v>1.38E-2</v>
      </c>
      <c r="I6" s="216">
        <f>'8. RTSR Rates to Forecast 2030'!J17</f>
        <v>1.4500000000000001E-2</v>
      </c>
      <c r="J6" s="216">
        <f>'8. RTSR Rates to Forecast 2031'!J17</f>
        <v>1.5299999999999999E-2</v>
      </c>
    </row>
    <row r="7" spans="2:11" x14ac:dyDescent="0.25">
      <c r="B7" s="146" t="str">
        <f>'8. RTSR Rates to Forecast 2031'!A18</f>
        <v>Seasonal Residential Service Classification</v>
      </c>
      <c r="C7" s="146" t="str">
        <f>'8. RTSR Rates to Forecast 2031'!B18</f>
        <v>Retail Transmission Rate - Network Service Rate</v>
      </c>
      <c r="D7" s="216"/>
      <c r="E7" s="216">
        <f>'8. RTSR Rates to Forecast 2027'!D18</f>
        <v>1.2049726346911174E-2</v>
      </c>
      <c r="F7" s="216">
        <f>'8. RTSR Rates to Forecast 2027'!J18</f>
        <v>1.24E-2</v>
      </c>
      <c r="G7" s="216">
        <f>'8. RTSR Rates to Forecast 2028'!J18</f>
        <v>1.3100000000000001E-2</v>
      </c>
      <c r="H7" s="216">
        <f>'8. RTSR Rates to Forecast 2029'!J18</f>
        <v>1.3899999999999999E-2</v>
      </c>
      <c r="I7" s="216">
        <f>'8. RTSR Rates to Forecast 2030'!J18</f>
        <v>1.46E-2</v>
      </c>
      <c r="J7" s="216">
        <f>'8. RTSR Rates to Forecast 2031'!J18</f>
        <v>1.54E-2</v>
      </c>
    </row>
    <row r="8" spans="2:11" x14ac:dyDescent="0.25">
      <c r="B8" s="146" t="str">
        <f>'8. RTSR Rates to Forecast 2031'!A19</f>
        <v>General Service Less Than 50 kW Service Classification</v>
      </c>
      <c r="C8" s="146" t="str">
        <f>'8. RTSR Rates to Forecast 2031'!B19</f>
        <v>Retail Transmission Rate - Network Service Rate</v>
      </c>
      <c r="D8" s="216">
        <f>'8. RTSR Rates to Forecast 2027'!D30</f>
        <v>1.1900000000000001E-2</v>
      </c>
      <c r="E8" s="216">
        <f>'8. RTSR Rates to Forecast 2027'!D19</f>
        <v>1.0517981379888372E-2</v>
      </c>
      <c r="F8" s="216">
        <f>'8. RTSR Rates to Forecast 2027'!J19</f>
        <v>1.11E-2</v>
      </c>
      <c r="G8" s="216">
        <f>'8. RTSR Rates to Forecast 2028'!J19</f>
        <v>1.17E-2</v>
      </c>
      <c r="H8" s="216">
        <f>'8. RTSR Rates to Forecast 2029'!J19</f>
        <v>1.24E-2</v>
      </c>
      <c r="I8" s="216">
        <f>'8. RTSR Rates to Forecast 2030'!J19</f>
        <v>1.3100000000000001E-2</v>
      </c>
      <c r="J8" s="216">
        <f>'8. RTSR Rates to Forecast 2031'!J19</f>
        <v>1.38E-2</v>
      </c>
    </row>
    <row r="9" spans="2:11" x14ac:dyDescent="0.25">
      <c r="B9" s="146" t="str">
        <f>'8. RTSR Rates to Forecast 2031'!A20</f>
        <v>General Service 50 To 2,999 kW Service Classification</v>
      </c>
      <c r="C9" s="146" t="str">
        <f>'8. RTSR Rates to Forecast 2031'!B20</f>
        <v>Retail Transmission Rate - Network Service Rate</v>
      </c>
      <c r="D9" s="216">
        <f>'8. RTSR Rates to Forecast 2027'!D31</f>
        <v>4.6969000000000003</v>
      </c>
      <c r="E9" s="216">
        <f>'8. RTSR Rates to Forecast 2027'!D20</f>
        <v>5.1449267536175354</v>
      </c>
      <c r="F9" s="216">
        <f>'8. RTSR Rates to Forecast 2027'!J20</f>
        <v>5.1581999999999999</v>
      </c>
      <c r="G9" s="216">
        <f>'8. RTSR Rates to Forecast 2028'!J20</f>
        <v>5.4539999999999997</v>
      </c>
      <c r="H9" s="216">
        <f>'8. RTSR Rates to Forecast 2029'!J20</f>
        <v>5.7694999999999999</v>
      </c>
      <c r="I9" s="216">
        <f>'8. RTSR Rates to Forecast 2030'!J20</f>
        <v>6.0803000000000003</v>
      </c>
      <c r="J9" s="216">
        <f>'8. RTSR Rates to Forecast 2031'!J20</f>
        <v>6.4222000000000001</v>
      </c>
    </row>
    <row r="10" spans="2:11" x14ac:dyDescent="0.25">
      <c r="B10" s="146" t="str">
        <f>'8. RTSR Rates to Forecast 2031'!A21</f>
        <v>General Service 50 To 2,999 kW Service Classification</v>
      </c>
      <c r="C10" s="146" t="str">
        <f>'8. RTSR Rates to Forecast 2031'!B21</f>
        <v>Retail Transmission Rate - Network Service Rate - EV CHARGING</v>
      </c>
      <c r="D10" s="216">
        <f>'8. RTSR Rates to Forecast 2027'!D32</f>
        <v>0.79849999999999999</v>
      </c>
      <c r="E10" s="216">
        <f>'8. RTSR Rates to Forecast 2027'!D21</f>
        <v>0.87463754811498107</v>
      </c>
      <c r="F10" s="216">
        <f>'8. RTSR Rates to Forecast 2027'!J21</f>
        <v>0.87980000000000003</v>
      </c>
      <c r="G10" s="216">
        <f>'8. RTSR Rates to Forecast 2028'!J21</f>
        <v>0.93030000000000002</v>
      </c>
      <c r="H10" s="216">
        <f>'8. RTSR Rates to Forecast 2029'!J21</f>
        <v>0.98409999999999997</v>
      </c>
      <c r="I10" s="216">
        <f>'8. RTSR Rates to Forecast 2030'!J21</f>
        <v>1.0370999999999999</v>
      </c>
      <c r="J10" s="216">
        <f>'8. RTSR Rates to Forecast 2031'!J21</f>
        <v>1.0953999999999999</v>
      </c>
    </row>
    <row r="11" spans="2:11" x14ac:dyDescent="0.25">
      <c r="B11" s="146" t="str">
        <f>'8. RTSR Rates to Forecast 2031'!A22</f>
        <v>General Service 3,000 To 4,999 kW Service Classification</v>
      </c>
      <c r="C11" s="146" t="str">
        <f>'8. RTSR Rates to Forecast 2031'!B22</f>
        <v>Retail Transmission Rate - Network Service Rate</v>
      </c>
      <c r="D11" s="216">
        <f>'8. RTSR Rates to Forecast 2027'!D33</f>
        <v>4.6969000000000003</v>
      </c>
      <c r="E11" s="216">
        <f>'8. RTSR Rates to Forecast 2027'!D22</f>
        <v>5.6684771362466861</v>
      </c>
      <c r="F11" s="216">
        <f>'8. RTSR Rates to Forecast 2027'!J22</f>
        <v>5.4617000000000004</v>
      </c>
      <c r="G11" s="216">
        <f>'8. RTSR Rates to Forecast 2028'!J22</f>
        <v>5.7748999999999997</v>
      </c>
      <c r="H11" s="216">
        <f>'8. RTSR Rates to Forecast 2029'!J22</f>
        <v>6.1089000000000002</v>
      </c>
      <c r="I11" s="216">
        <f>'8. RTSR Rates to Forecast 2030'!J22</f>
        <v>6.4379999999999997</v>
      </c>
      <c r="J11" s="216">
        <f>'8. RTSR Rates to Forecast 2031'!J22</f>
        <v>6.8</v>
      </c>
    </row>
    <row r="12" spans="2:11" x14ac:dyDescent="0.25">
      <c r="B12" s="146" t="str">
        <f>'8. RTSR Rates to Forecast 2031'!A23</f>
        <v>General Service 3,000 To 4,999 kW Service Classification</v>
      </c>
      <c r="C12" s="146" t="str">
        <f>'8. RTSR Rates to Forecast 2031'!B23</f>
        <v>Retail Transmission Rate - Network Service Rate - EV CHARGING</v>
      </c>
      <c r="D12" s="216">
        <f>'8. RTSR Rates to Forecast 2027'!D34</f>
        <v>0.79849999999999999</v>
      </c>
      <c r="E12" s="216">
        <f>'8. RTSR Rates to Forecast 2027'!D23</f>
        <v>0.96364111316193668</v>
      </c>
      <c r="F12" s="216">
        <f>F11*0.17</f>
        <v>0.92848900000000012</v>
      </c>
      <c r="G12" s="216">
        <f t="shared" ref="G12:J12" si="1">G11*0.17</f>
        <v>0.98173299999999997</v>
      </c>
      <c r="H12" s="216">
        <f t="shared" si="1"/>
        <v>1.038513</v>
      </c>
      <c r="I12" s="216">
        <f t="shared" si="1"/>
        <v>1.09446</v>
      </c>
      <c r="J12" s="216">
        <f t="shared" si="1"/>
        <v>1.1560000000000001</v>
      </c>
    </row>
    <row r="13" spans="2:11" x14ac:dyDescent="0.25">
      <c r="B13" s="146" t="str">
        <f>'8. RTSR Rates to Forecast 2031'!A24</f>
        <v>Large Use Service Classification</v>
      </c>
      <c r="C13" s="146" t="str">
        <f>'8. RTSR Rates to Forecast 2031'!B24</f>
        <v>Retail Transmission Rate - Network Service Rate</v>
      </c>
      <c r="D13" s="216"/>
      <c r="E13" s="216">
        <f>'8. RTSR Rates to Forecast 2027'!D24</f>
        <v>5.6684771560311722</v>
      </c>
      <c r="F13" s="216">
        <f>'8. RTSR Rates to Forecast 2027'!J24</f>
        <v>5.8150000000000004</v>
      </c>
      <c r="G13" s="216">
        <f>'8. RTSR Rates to Forecast 2028'!J24</f>
        <v>6.1485000000000003</v>
      </c>
      <c r="H13" s="216">
        <f>'8. RTSR Rates to Forecast 2029'!J24</f>
        <v>6.5041000000000002</v>
      </c>
      <c r="I13" s="216">
        <f>'8. RTSR Rates to Forecast 2030'!J24</f>
        <v>6.8544999999999998</v>
      </c>
      <c r="J13" s="216">
        <f>'8. RTSR Rates to Forecast 2031'!J24</f>
        <v>7.2398999999999996</v>
      </c>
    </row>
    <row r="14" spans="2:11" x14ac:dyDescent="0.25">
      <c r="B14" s="146" t="str">
        <f>'8. RTSR Rates to Forecast 2031'!A25</f>
        <v>Unmetered Scattered Load Service Classification</v>
      </c>
      <c r="C14" s="146" t="str">
        <f>'8. RTSR Rates to Forecast 2031'!B25</f>
        <v>Retail Transmission Rate - Network Service Rate</v>
      </c>
      <c r="D14" s="216">
        <f>'8. RTSR Rates to Forecast 2027'!D35</f>
        <v>1.1900000000000001E-2</v>
      </c>
      <c r="E14" s="216">
        <f>'8. RTSR Rates to Forecast 2027'!D25</f>
        <v>1.051798024896464E-2</v>
      </c>
      <c r="F14" s="216">
        <f>'8. RTSR Rates to Forecast 2027'!J25</f>
        <v>1.12E-2</v>
      </c>
      <c r="G14" s="216">
        <f>'8. RTSR Rates to Forecast 2028'!J25</f>
        <v>1.18E-2</v>
      </c>
      <c r="H14" s="216">
        <f>'8. RTSR Rates to Forecast 2029'!J25</f>
        <v>1.2500000000000001E-2</v>
      </c>
      <c r="I14" s="216">
        <f>'8. RTSR Rates to Forecast 2030'!J25</f>
        <v>1.32E-2</v>
      </c>
      <c r="J14" s="216">
        <f>'8. RTSR Rates to Forecast 2031'!J25</f>
        <v>1.3899999999999999E-2</v>
      </c>
    </row>
    <row r="15" spans="2:11" x14ac:dyDescent="0.25">
      <c r="B15" s="146" t="str">
        <f>'8. RTSR Rates to Forecast 2031'!A26</f>
        <v>Sentinel Lighting Service Classification</v>
      </c>
      <c r="C15" s="146" t="str">
        <f>'8. RTSR Rates to Forecast 2031'!B26</f>
        <v>Retail Transmission Rate - Network Service Rate</v>
      </c>
      <c r="D15" s="216">
        <f>'8. RTSR Rates to Forecast 2027'!D36</f>
        <v>3.5596000000000001</v>
      </c>
      <c r="E15" s="216">
        <f>'8. RTSR Rates to Forecast 2027'!D26</f>
        <v>3.2091196030135385</v>
      </c>
      <c r="F15" s="216">
        <f>'8. RTSR Rates to Forecast 2027'!J26</f>
        <v>3.3429000000000002</v>
      </c>
      <c r="G15" s="216">
        <f>'8. RTSR Rates to Forecast 2028'!J26</f>
        <v>3.5346000000000002</v>
      </c>
      <c r="H15" s="216">
        <f>'8. RTSR Rates to Forecast 2029'!J26</f>
        <v>3.7389999999999999</v>
      </c>
      <c r="I15" s="216">
        <f>'8. RTSR Rates to Forecast 2030'!J26</f>
        <v>3.9403999999999999</v>
      </c>
      <c r="J15" s="216">
        <f>'8. RTSR Rates to Forecast 2031'!J26</f>
        <v>4.1619999999999999</v>
      </c>
    </row>
    <row r="16" spans="2:11" x14ac:dyDescent="0.25">
      <c r="B16" s="146" t="str">
        <f>'8. RTSR Rates to Forecast 2031'!A27</f>
        <v>Street Lighting Service Classification</v>
      </c>
      <c r="C16" s="146" t="str">
        <f>'8. RTSR Rates to Forecast 2031'!B27</f>
        <v>Retail Transmission Rate - Network Service Rate</v>
      </c>
      <c r="D16" s="216">
        <f>'8. RTSR Rates to Forecast 2027'!D37</f>
        <v>3.5424000000000002</v>
      </c>
      <c r="E16" s="216">
        <f>'8. RTSR Rates to Forecast 2027'!D27</f>
        <v>3.3789269189922151</v>
      </c>
      <c r="F16" s="216">
        <f>'8. RTSR Rates to Forecast 2027'!J27</f>
        <v>3.5059</v>
      </c>
      <c r="G16" s="216">
        <f>'8. RTSR Rates to Forecast 2028'!J27</f>
        <v>3.7069999999999999</v>
      </c>
      <c r="H16" s="216">
        <f>'8. RTSR Rates to Forecast 2029'!J27</f>
        <v>3.9214000000000002</v>
      </c>
      <c r="I16" s="216">
        <f>'8. RTSR Rates to Forecast 2030'!J27</f>
        <v>4.1326999999999998</v>
      </c>
      <c r="J16" s="216">
        <f>'8. RTSR Rates to Forecast 2031'!J27</f>
        <v>4.3651</v>
      </c>
    </row>
    <row r="17" spans="2:11" x14ac:dyDescent="0.25">
      <c r="F17" s="215">
        <f>'8. RTSR Rates to Forecast 2027'!I38</f>
        <v>49383280.380716823</v>
      </c>
      <c r="G17" s="215">
        <f>'8. RTSR Rates to Forecast 2028'!I28</f>
        <v>54222960.446755566</v>
      </c>
      <c r="H17" s="215">
        <f>'8. RTSR Rates to Forecast 2029'!I28</f>
        <v>58948021.653264165</v>
      </c>
      <c r="I17" s="215">
        <f>'8. RTSR Rates to Forecast 2030'!I28</f>
        <v>63423713.240058832</v>
      </c>
      <c r="J17" s="215">
        <f>'8. RTSR Rates to Forecast 2031'!I28</f>
        <v>68160140.058040679</v>
      </c>
    </row>
    <row r="19" spans="2:11" x14ac:dyDescent="0.25">
      <c r="B19" s="147" t="s">
        <v>102</v>
      </c>
      <c r="D19" s="155" t="s">
        <v>198</v>
      </c>
      <c r="E19" s="155" t="s">
        <v>199</v>
      </c>
    </row>
    <row r="20" spans="2:11" x14ac:dyDescent="0.25">
      <c r="D20" s="147">
        <v>2026</v>
      </c>
      <c r="E20" s="147">
        <v>2026</v>
      </c>
      <c r="F20" s="147">
        <v>2027</v>
      </c>
      <c r="G20" s="147">
        <f>F20+1</f>
        <v>2028</v>
      </c>
      <c r="H20" s="147">
        <f t="shared" ref="H20" si="2">G20+1</f>
        <v>2029</v>
      </c>
      <c r="I20" s="147">
        <f t="shared" ref="I20" si="3">H20+1</f>
        <v>2030</v>
      </c>
      <c r="J20" s="147">
        <f t="shared" ref="J20" si="4">I20+1</f>
        <v>2031</v>
      </c>
    </row>
    <row r="21" spans="2:11" x14ac:dyDescent="0.25">
      <c r="B21" s="146" t="str">
        <f>'8. RTSR Rates to Forecast 2031'!A33</f>
        <v>Residential Service Classification</v>
      </c>
      <c r="C21" s="146" t="str">
        <f>'8. RTSR Rates to Forecast 2031'!B33</f>
        <v>Retail Transmission Rate - Line and Transformation Connection Service Rate</v>
      </c>
      <c r="D21" s="216">
        <f>'8. RTSR Rates to Forecast 2027'!D55</f>
        <v>9.7000000000000003E-3</v>
      </c>
      <c r="E21" s="216">
        <f>'8. RTSR Rates to Forecast 2027'!D43</f>
        <v>7.8297897603691793E-3</v>
      </c>
      <c r="F21" s="216">
        <f>'8. RTSR Rates to Forecast 2027'!J43</f>
        <v>8.6999999999999994E-3</v>
      </c>
      <c r="G21" s="216">
        <f>'8. RTSR Rates to Forecast 2028'!J33</f>
        <v>9.1999999999999998E-3</v>
      </c>
      <c r="H21" s="216">
        <f>'8. RTSR Rates to Forecast 2029'!J33</f>
        <v>9.7000000000000003E-3</v>
      </c>
      <c r="I21" s="216">
        <f>'8. RTSR Rates to Forecast 2030'!J33</f>
        <v>1.0200000000000001E-2</v>
      </c>
      <c r="J21" s="216">
        <f>'8. RTSR Rates to Forecast 2031'!J33</f>
        <v>1.0800000000000001E-2</v>
      </c>
    </row>
    <row r="22" spans="2:11" x14ac:dyDescent="0.25">
      <c r="B22" s="146" t="str">
        <f>'8. RTSR Rates to Forecast 2031'!A34</f>
        <v>Seasonal Residential Service Classification</v>
      </c>
      <c r="C22" s="146" t="str">
        <f>'8. RTSR Rates to Forecast 2031'!B34</f>
        <v>Retail Transmission Rate - Line and Transformation Connection Service Rate</v>
      </c>
      <c r="D22" s="216"/>
      <c r="E22" s="216">
        <f>'8. RTSR Rates to Forecast 2027'!D44</f>
        <v>1.0066872254823844E-2</v>
      </c>
      <c r="F22" s="216">
        <f>'8. RTSR Rates to Forecast 2027'!J44</f>
        <v>1.0500000000000001E-2</v>
      </c>
      <c r="G22" s="216">
        <f>'8. RTSR Rates to Forecast 2028'!J34</f>
        <v>1.11E-2</v>
      </c>
      <c r="H22" s="216">
        <f>'8. RTSR Rates to Forecast 2029'!J34</f>
        <v>1.17E-2</v>
      </c>
      <c r="I22" s="216">
        <f>'8. RTSR Rates to Forecast 2030'!J34</f>
        <v>1.23E-2</v>
      </c>
      <c r="J22" s="216">
        <f>'8. RTSR Rates to Forecast 2031'!J34</f>
        <v>1.2999999999999999E-2</v>
      </c>
    </row>
    <row r="23" spans="2:11" x14ac:dyDescent="0.25">
      <c r="B23" s="146" t="str">
        <f>'8. RTSR Rates to Forecast 2031'!A35</f>
        <v>General Service Less Than 50 kW Service Classification</v>
      </c>
      <c r="C23" s="146" t="str">
        <f>'8. RTSR Rates to Forecast 2031'!B35</f>
        <v>Retail Transmission Rate - Line and Transformation Connection Service Rate</v>
      </c>
      <c r="D23" s="216">
        <f>'8. RTSR Rates to Forecast 2027'!D56</f>
        <v>9.1000000000000004E-3</v>
      </c>
      <c r="E23" s="216">
        <f>'8. RTSR Rates to Forecast 2027'!D45</f>
        <v>7.3213618475727257E-3</v>
      </c>
      <c r="F23" s="216">
        <f>'8. RTSR Rates to Forecast 2027'!J45</f>
        <v>8.0999999999999996E-3</v>
      </c>
      <c r="G23" s="216">
        <f>'8. RTSR Rates to Forecast 2028'!J35</f>
        <v>8.6E-3</v>
      </c>
      <c r="H23" s="216">
        <f>'8. RTSR Rates to Forecast 2029'!J35</f>
        <v>9.1000000000000004E-3</v>
      </c>
      <c r="I23" s="216">
        <f>'8. RTSR Rates to Forecast 2030'!J35</f>
        <v>9.5999999999999992E-3</v>
      </c>
      <c r="J23" s="216">
        <f>'8. RTSR Rates to Forecast 2031'!J35</f>
        <v>1.01E-2</v>
      </c>
    </row>
    <row r="24" spans="2:11" x14ac:dyDescent="0.25">
      <c r="B24" s="146" t="str">
        <f>'8. RTSR Rates to Forecast 2031'!A36</f>
        <v>General Service 50 To 2,999 kW Service Classification</v>
      </c>
      <c r="C24" s="146" t="str">
        <f>'8. RTSR Rates to Forecast 2031'!B36</f>
        <v>Retail Transmission Rate - Line and Transformation Connection Service Rate</v>
      </c>
      <c r="D24" s="216">
        <f>'8. RTSR Rates to Forecast 2027'!D57</f>
        <v>3.4649999999999999</v>
      </c>
      <c r="E24" s="216">
        <f>'8. RTSR Rates to Forecast 2027'!D46</f>
        <v>3.3911124474484144</v>
      </c>
      <c r="F24" s="216">
        <f>'8. RTSR Rates to Forecast 2027'!J46</f>
        <v>3.5687000000000002</v>
      </c>
      <c r="G24" s="216">
        <f>'8. RTSR Rates to Forecast 2028'!J36</f>
        <v>3.7837000000000001</v>
      </c>
      <c r="H24" s="216">
        <f>'8. RTSR Rates to Forecast 2029'!J36</f>
        <v>4.0014000000000003</v>
      </c>
      <c r="I24" s="216">
        <f>'8. RTSR Rates to Forecast 2030'!J36</f>
        <v>4.2233999999999998</v>
      </c>
      <c r="J24" s="216">
        <f>'8. RTSR Rates to Forecast 2031'!J36</f>
        <v>4.4574999999999996</v>
      </c>
    </row>
    <row r="25" spans="2:11" x14ac:dyDescent="0.25">
      <c r="B25" s="146" t="str">
        <f>'8. RTSR Rates to Forecast 2031'!A37</f>
        <v>General Service 50 To 2,999 kW Service Classification</v>
      </c>
      <c r="C25" s="146" t="str">
        <f>'8. RTSR Rates to Forecast 2031'!B37</f>
        <v>Retail Transmission Rate - Line and Transformation Connection Service Rate - EV CHARGING</v>
      </c>
      <c r="D25" s="216">
        <f>'8. RTSR Rates to Forecast 2027'!D58</f>
        <v>0.58899999999999997</v>
      </c>
      <c r="E25" s="216">
        <f>'8. RTSR Rates to Forecast 2027'!D47</f>
        <v>0.57648911606623054</v>
      </c>
      <c r="F25" s="216">
        <f>'8. RTSR Rates to Forecast 2027'!J47</f>
        <v>0.60619999999999996</v>
      </c>
      <c r="G25" s="216">
        <f>'8. RTSR Rates to Forecast 2028'!J37</f>
        <v>0.64270000000000005</v>
      </c>
      <c r="H25" s="216">
        <f>'8. RTSR Rates to Forecast 2029'!J37</f>
        <v>0.67969999999999997</v>
      </c>
      <c r="I25" s="216">
        <f>'8. RTSR Rates to Forecast 2030'!J37</f>
        <v>0.71740000000000004</v>
      </c>
      <c r="J25" s="216">
        <f>'8. RTSR Rates to Forecast 2031'!J37</f>
        <v>0.75719999999999998</v>
      </c>
    </row>
    <row r="26" spans="2:11" x14ac:dyDescent="0.25">
      <c r="B26" s="146" t="str">
        <f>'8. RTSR Rates to Forecast 2031'!A38</f>
        <v>General Service 3,000 To 4,999 kW Service Classification</v>
      </c>
      <c r="C26" s="146" t="str">
        <f>'8. RTSR Rates to Forecast 2031'!B38</f>
        <v xml:space="preserve">Retail Transmission Rate - Line and Transformation Connection Service Rate </v>
      </c>
      <c r="D26" s="216">
        <f>'8. RTSR Rates to Forecast 2027'!D59</f>
        <v>3.4649999999999999</v>
      </c>
      <c r="E26" s="216">
        <f>'8. RTSR Rates to Forecast 2027'!D48</f>
        <v>3.7242344123987525</v>
      </c>
      <c r="F26" s="216">
        <f>'8. RTSR Rates to Forecast 2027'!J48</f>
        <v>3.8010000000000002</v>
      </c>
      <c r="G26" s="216">
        <f>'8. RTSR Rates to Forecast 2028'!J38</f>
        <v>4.0298999999999996</v>
      </c>
      <c r="H26" s="216">
        <f>'8. RTSR Rates to Forecast 2029'!J38</f>
        <v>4.2618</v>
      </c>
      <c r="I26" s="216">
        <f>'8. RTSR Rates to Forecast 2030'!J38</f>
        <v>4.4983000000000004</v>
      </c>
      <c r="J26" s="216">
        <f>'8. RTSR Rates to Forecast 2031'!J38</f>
        <v>4.7476000000000003</v>
      </c>
    </row>
    <row r="27" spans="2:11" x14ac:dyDescent="0.25">
      <c r="B27" s="146" t="str">
        <f>'8. RTSR Rates to Forecast 2031'!A39</f>
        <v>General Service 3,000 To 4,999 kW Service Classification</v>
      </c>
      <c r="C27" s="146" t="str">
        <f>'8. RTSR Rates to Forecast 2031'!B39</f>
        <v>Retail Transmission Rate - Line and Transformation Connection Service Rate  - EV CHARGING</v>
      </c>
      <c r="D27" s="216">
        <f>'8. RTSR Rates to Forecast 2027'!D60</f>
        <v>0.58899999999999997</v>
      </c>
      <c r="E27" s="216">
        <f>'8. RTSR Rates to Forecast 2027'!D49</f>
        <v>0.63311985010778793</v>
      </c>
      <c r="F27" s="216">
        <f>F26*0.17</f>
        <v>0.64617000000000002</v>
      </c>
      <c r="G27" s="216">
        <f t="shared" ref="G27" si="5">G26*0.17</f>
        <v>0.685083</v>
      </c>
      <c r="H27" s="216">
        <f t="shared" ref="H27" si="6">H26*0.17</f>
        <v>0.72450600000000009</v>
      </c>
      <c r="I27" s="216">
        <f t="shared" ref="I27" si="7">I26*0.17</f>
        <v>0.76471100000000014</v>
      </c>
      <c r="J27" s="216">
        <f t="shared" ref="J27" si="8">J26*0.17</f>
        <v>0.80709200000000014</v>
      </c>
    </row>
    <row r="28" spans="2:11" x14ac:dyDescent="0.25">
      <c r="B28" s="146" t="str">
        <f>'8. RTSR Rates to Forecast 2031'!A40</f>
        <v>Large Use Service Classification</v>
      </c>
      <c r="C28" s="146" t="str">
        <f>'8. RTSR Rates to Forecast 2031'!B40</f>
        <v xml:space="preserve">Retail Transmission Rate - Line and Transformation Connection Service Rate </v>
      </c>
      <c r="D28" s="216"/>
      <c r="E28" s="216">
        <f>'8. RTSR Rates to Forecast 2027'!D50</f>
        <v>3.7242344191692029</v>
      </c>
      <c r="F28" s="216">
        <f>'8. RTSR Rates to Forecast 2027'!J50</f>
        <v>3.8972000000000002</v>
      </c>
      <c r="G28" s="216">
        <f>'8. RTSR Rates to Forecast 2028'!J40</f>
        <v>4.1318999999999999</v>
      </c>
      <c r="H28" s="216">
        <f>'8. RTSR Rates to Forecast 2029'!J40</f>
        <v>4.3696000000000002</v>
      </c>
      <c r="I28" s="216">
        <f>'8. RTSR Rates to Forecast 2030'!J40</f>
        <v>4.6120999999999999</v>
      </c>
      <c r="J28" s="216">
        <f>'8. RTSR Rates to Forecast 2031'!J40</f>
        <v>4.8677999999999999</v>
      </c>
    </row>
    <row r="29" spans="2:11" x14ac:dyDescent="0.25">
      <c r="B29" s="146" t="str">
        <f>'8. RTSR Rates to Forecast 2031'!A41</f>
        <v>Unmetered Scattered Load Service Classification</v>
      </c>
      <c r="C29" s="146" t="str">
        <f>'8. RTSR Rates to Forecast 2031'!B41</f>
        <v>Retail Transmission Rate - Line and Transformation Connection Service Rate</v>
      </c>
      <c r="D29" s="216">
        <f>'8. RTSR Rates to Forecast 2027'!D61</f>
        <v>9.1000000000000004E-3</v>
      </c>
      <c r="E29" s="216">
        <f>'8. RTSR Rates to Forecast 2027'!D51</f>
        <v>7.3213632576037049E-3</v>
      </c>
      <c r="F29" s="216">
        <f>'8. RTSR Rates to Forecast 2027'!J51</f>
        <v>8.2000000000000007E-3</v>
      </c>
      <c r="G29" s="216">
        <f>'8. RTSR Rates to Forecast 2028'!J41</f>
        <v>8.6999999999999994E-3</v>
      </c>
      <c r="H29" s="216">
        <f>'8. RTSR Rates to Forecast 2029'!J41</f>
        <v>9.1999999999999998E-3</v>
      </c>
      <c r="I29" s="216">
        <f>'8. RTSR Rates to Forecast 2030'!J41</f>
        <v>9.7000000000000003E-3</v>
      </c>
      <c r="J29" s="216">
        <f>'8. RTSR Rates to Forecast 2031'!J41</f>
        <v>1.0200000000000001E-2</v>
      </c>
    </row>
    <row r="30" spans="2:11" x14ac:dyDescent="0.25">
      <c r="B30" s="146" t="str">
        <f>'8. RTSR Rates to Forecast 2031'!A42</f>
        <v>Sentinel Lighting Service Classification</v>
      </c>
      <c r="C30" s="146" t="str">
        <f>'8. RTSR Rates to Forecast 2031'!B42</f>
        <v>Retail Transmission Rate - Line and Transformation Connection Service Rate</v>
      </c>
      <c r="D30" s="216">
        <f>'8. RTSR Rates to Forecast 2027'!D62</f>
        <v>2.7347999999999999</v>
      </c>
      <c r="E30" s="216">
        <f>'8. RTSR Rates to Forecast 2027'!D52</f>
        <v>2.1320431883230291</v>
      </c>
      <c r="F30" s="216">
        <f>'8. RTSR Rates to Forecast 2027'!J52</f>
        <v>2.3203</v>
      </c>
      <c r="G30" s="216">
        <f>'8. RTSR Rates to Forecast 2028'!J42</f>
        <v>2.4601000000000002</v>
      </c>
      <c r="H30" s="216">
        <f>'8. RTSR Rates to Forecast 2029'!J42</f>
        <v>2.6015999999999999</v>
      </c>
      <c r="I30" s="216">
        <f>'8. RTSR Rates to Forecast 2030'!J42</f>
        <v>2.746</v>
      </c>
      <c r="J30" s="216">
        <f>'8. RTSR Rates to Forecast 2031'!J42</f>
        <v>2.8982000000000001</v>
      </c>
    </row>
    <row r="31" spans="2:11" x14ac:dyDescent="0.25">
      <c r="B31" s="146" t="str">
        <f>'8. RTSR Rates to Forecast 2031'!A43</f>
        <v>Street Lighting Service Classification</v>
      </c>
      <c r="C31" s="146" t="str">
        <f>'8. RTSR Rates to Forecast 2031'!B43</f>
        <v>Retail Transmission Rate - Line and Transformation Connection Service Rate</v>
      </c>
      <c r="D31" s="216">
        <f>'8. RTSR Rates to Forecast 2027'!D63</f>
        <v>2.6787999999999998</v>
      </c>
      <c r="E31" s="216">
        <f>'8. RTSR Rates to Forecast 2027'!D53</f>
        <v>2.2278292755400595</v>
      </c>
      <c r="F31" s="216">
        <f>'8. RTSR Rates to Forecast 2027'!J53</f>
        <v>2.4428000000000001</v>
      </c>
      <c r="G31" s="216">
        <f>'8. RTSR Rates to Forecast 2028'!J43</f>
        <v>2.5899000000000001</v>
      </c>
      <c r="H31" s="216">
        <f>'8. RTSR Rates to Forecast 2029'!J43</f>
        <v>2.7389000000000001</v>
      </c>
      <c r="I31" s="216">
        <f>'8. RTSR Rates to Forecast 2030'!J43</f>
        <v>2.8908999999999998</v>
      </c>
      <c r="J31" s="216">
        <f>'8. RTSR Rates to Forecast 2031'!J43</f>
        <v>3.0510999999999999</v>
      </c>
    </row>
    <row r="32" spans="2:11" x14ac:dyDescent="0.25">
      <c r="F32" s="215">
        <f>'8. RTSR Rates to Forecast 2027'!I64</f>
        <v>34712263.01139427</v>
      </c>
      <c r="G32" s="215">
        <f>'8. RTSR Rates to Forecast 2028'!I44</f>
        <v>38062885.921758011</v>
      </c>
      <c r="H32" s="215">
        <f>'8. RTSR Rates to Forecast 2029'!I44</f>
        <v>41324082.327046029</v>
      </c>
      <c r="I32" s="215">
        <f>'8. RTSR Rates to Forecast 2030'!I44</f>
        <v>44401858.083047569</v>
      </c>
      <c r="J32" s="215">
        <f>'8. RTSR Rates to Forecast 2031'!I44</f>
        <v>47653570.867341265</v>
      </c>
      <c r="K32" s="214"/>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A8B5-F4C6-4967-9400-37A5677B1B35}">
  <dimension ref="B5:L62"/>
  <sheetViews>
    <sheetView workbookViewId="0">
      <selection activeCell="H18" sqref="H18"/>
    </sheetView>
  </sheetViews>
  <sheetFormatPr defaultColWidth="8.85546875" defaultRowHeight="15" x14ac:dyDescent="0.25"/>
  <cols>
    <col min="1" max="1" width="8.85546875" style="146"/>
    <col min="2" max="2" width="25.28515625" style="146" bestFit="1" customWidth="1"/>
    <col min="3" max="3" width="25.28515625" style="146" customWidth="1"/>
    <col min="4" max="4" width="15.28515625" style="146" customWidth="1"/>
    <col min="5" max="5" width="15.140625" style="146" customWidth="1"/>
    <col min="6" max="6" width="15.7109375" style="146" customWidth="1"/>
    <col min="7" max="7" width="13.85546875" style="146" customWidth="1"/>
    <col min="8" max="8" width="16.7109375" style="146" customWidth="1"/>
    <col min="9" max="10" width="12.28515625" style="146" bestFit="1" customWidth="1"/>
    <col min="11" max="11" width="11.85546875" style="146" bestFit="1" customWidth="1"/>
    <col min="12" max="16384" width="8.85546875" style="146"/>
  </cols>
  <sheetData>
    <row r="5" spans="2:10" x14ac:dyDescent="0.25">
      <c r="D5" s="273" t="s">
        <v>202</v>
      </c>
      <c r="E5" s="273"/>
      <c r="F5" s="273"/>
      <c r="G5" s="273" t="s">
        <v>206</v>
      </c>
      <c r="H5" s="273"/>
      <c r="I5" s="273"/>
      <c r="J5" s="222" t="s">
        <v>200</v>
      </c>
    </row>
    <row r="6" spans="2:10" ht="30" x14ac:dyDescent="0.25">
      <c r="D6" s="223" t="s">
        <v>218</v>
      </c>
      <c r="E6" s="223" t="s">
        <v>219</v>
      </c>
      <c r="F6" s="223" t="s">
        <v>88</v>
      </c>
      <c r="G6" s="223" t="s">
        <v>218</v>
      </c>
      <c r="H6" s="223" t="s">
        <v>219</v>
      </c>
      <c r="I6" s="223" t="s">
        <v>88</v>
      </c>
      <c r="J6" s="223" t="s">
        <v>207</v>
      </c>
    </row>
    <row r="7" spans="2:10" x14ac:dyDescent="0.25">
      <c r="B7" s="167" t="s">
        <v>208</v>
      </c>
      <c r="C7" s="167" t="s">
        <v>217</v>
      </c>
      <c r="D7" s="224">
        <v>1.4E-3</v>
      </c>
      <c r="E7" s="225">
        <f>'3. RRR Data 2027'!E17</f>
        <v>1139476591.8569014</v>
      </c>
      <c r="F7" s="226">
        <f t="shared" ref="F7:F15" si="0">D7*E7</f>
        <v>1595267.228599662</v>
      </c>
      <c r="G7" s="224">
        <v>1.1000000000000001E-3</v>
      </c>
      <c r="H7" s="225">
        <f>'3. RRR Data 2027'!E40</f>
        <v>439097043.41427279</v>
      </c>
      <c r="I7" s="226">
        <f>G7*H7</f>
        <v>483006.74775570008</v>
      </c>
      <c r="J7" s="227">
        <f>I7+F7</f>
        <v>2078273.976355362</v>
      </c>
    </row>
    <row r="8" spans="2:10" x14ac:dyDescent="0.25">
      <c r="B8" s="167" t="s">
        <v>216</v>
      </c>
      <c r="C8" s="167" t="s">
        <v>217</v>
      </c>
      <c r="D8" s="224">
        <v>1.9E-3</v>
      </c>
      <c r="E8" s="225">
        <f>'3. RRR Data 2027'!E19</f>
        <v>13651253.423372488</v>
      </c>
      <c r="F8" s="226">
        <f t="shared" si="0"/>
        <v>25937.381504407727</v>
      </c>
      <c r="G8" s="224"/>
      <c r="H8" s="225"/>
      <c r="I8" s="226">
        <f>G8*H8</f>
        <v>0</v>
      </c>
      <c r="J8" s="227">
        <f>I8+F8</f>
        <v>25937.381504407727</v>
      </c>
    </row>
    <row r="9" spans="2:10" x14ac:dyDescent="0.25">
      <c r="B9" s="167" t="s">
        <v>209</v>
      </c>
      <c r="C9" s="167" t="s">
        <v>217</v>
      </c>
      <c r="D9" s="224">
        <v>1.4E-3</v>
      </c>
      <c r="E9" s="225">
        <f>'3. RRR Data 2027'!E21</f>
        <v>284059624.77556282</v>
      </c>
      <c r="F9" s="226">
        <f t="shared" si="0"/>
        <v>397683.47468578792</v>
      </c>
      <c r="G9" s="224">
        <v>1.1000000000000001E-3</v>
      </c>
      <c r="H9" s="225">
        <f>'3. RRR Data 2027'!E42</f>
        <v>92220583.34207429</v>
      </c>
      <c r="I9" s="226">
        <f t="shared" ref="I9:I15" si="1">G9*H9</f>
        <v>101442.64167628172</v>
      </c>
      <c r="J9" s="227">
        <f t="shared" ref="J9:J15" si="2">I9+F9</f>
        <v>499126.11636206962</v>
      </c>
    </row>
    <row r="10" spans="2:10" x14ac:dyDescent="0.25">
      <c r="B10" s="167" t="s">
        <v>210</v>
      </c>
      <c r="C10" s="167" t="s">
        <v>217</v>
      </c>
      <c r="D10" s="224">
        <v>0.59770000000000001</v>
      </c>
      <c r="E10" s="225">
        <f>'3. RRR Data 2027'!F23+'3. RRR Data 2027'!F25</f>
        <v>2439390.9695466338</v>
      </c>
      <c r="F10" s="226">
        <f t="shared" si="0"/>
        <v>1458023.982498023</v>
      </c>
      <c r="G10" s="224">
        <v>0.3886</v>
      </c>
      <c r="H10" s="225">
        <f>'3. RRR Data 2027'!F44+'3. RRR Data 2027'!F46</f>
        <v>858661.61723306729</v>
      </c>
      <c r="I10" s="226">
        <f t="shared" si="1"/>
        <v>333675.90445676993</v>
      </c>
      <c r="J10" s="227">
        <f t="shared" si="2"/>
        <v>1791699.8869547928</v>
      </c>
    </row>
    <row r="11" spans="2:10" x14ac:dyDescent="0.25">
      <c r="B11" s="167" t="s">
        <v>211</v>
      </c>
      <c r="C11" s="167" t="s">
        <v>217</v>
      </c>
      <c r="D11" s="224">
        <v>0.65639999999999998</v>
      </c>
      <c r="E11" s="225">
        <f>'3. RRR Data 2027'!F27+'3. RRR Data 2027'!F29</f>
        <v>409833.7729541196</v>
      </c>
      <c r="F11" s="226">
        <f t="shared" si="0"/>
        <v>269014.8885670841</v>
      </c>
      <c r="G11" s="224">
        <f>G10</f>
        <v>0.3886</v>
      </c>
      <c r="H11" s="225">
        <f>'3. RRR Data 2027'!F48+'3. RRR Data 2027'!F50</f>
        <v>225033.19018294194</v>
      </c>
      <c r="I11" s="226">
        <f t="shared" si="1"/>
        <v>87447.897705091236</v>
      </c>
      <c r="J11" s="227">
        <f t="shared" si="2"/>
        <v>356462.78627217532</v>
      </c>
    </row>
    <row r="12" spans="2:10" x14ac:dyDescent="0.25">
      <c r="B12" s="167" t="s">
        <v>212</v>
      </c>
      <c r="C12" s="167" t="s">
        <v>217</v>
      </c>
      <c r="D12" s="224">
        <v>0.65839999999999999</v>
      </c>
      <c r="E12" s="225">
        <f>'3. RRR Data 2027'!F31</f>
        <v>700459.585062181</v>
      </c>
      <c r="F12" s="226">
        <f t="shared" si="0"/>
        <v>461182.59080493997</v>
      </c>
      <c r="G12" s="224"/>
      <c r="H12" s="225"/>
      <c r="I12" s="226">
        <f t="shared" si="1"/>
        <v>0</v>
      </c>
      <c r="J12" s="227">
        <f t="shared" si="2"/>
        <v>461182.59080493997</v>
      </c>
    </row>
    <row r="13" spans="2:10" x14ac:dyDescent="0.25">
      <c r="B13" s="167" t="s">
        <v>215</v>
      </c>
      <c r="C13" s="167" t="s">
        <v>217</v>
      </c>
      <c r="D13" s="224">
        <v>1.4E-3</v>
      </c>
      <c r="E13" s="225">
        <f>'3. RRR Data 2027'!E33</f>
        <v>4443187.6631879052</v>
      </c>
      <c r="F13" s="226">
        <f t="shared" si="0"/>
        <v>6220.4627284630669</v>
      </c>
      <c r="G13" s="224">
        <v>1.1000000000000001E-3</v>
      </c>
      <c r="H13" s="225">
        <f>'3. RRR Data 2027'!E52</f>
        <v>1946357.3976916517</v>
      </c>
      <c r="I13" s="226">
        <f>G13*H13</f>
        <v>2140.9931374608168</v>
      </c>
      <c r="J13" s="227">
        <f>I13+F13</f>
        <v>8361.4558659238828</v>
      </c>
    </row>
    <row r="14" spans="2:10" x14ac:dyDescent="0.25">
      <c r="B14" s="167" t="s">
        <v>214</v>
      </c>
      <c r="C14" s="167" t="s">
        <v>217</v>
      </c>
      <c r="D14" s="224">
        <v>0.37569999999999998</v>
      </c>
      <c r="E14" s="225">
        <f>'3. RRR Data 2027'!F35</f>
        <v>571.17035989444037</v>
      </c>
      <c r="F14" s="226">
        <f t="shared" si="0"/>
        <v>214.58870421234124</v>
      </c>
      <c r="G14" s="224">
        <v>0.30669999999999997</v>
      </c>
      <c r="H14" s="225">
        <f>'3. RRR Data 2027'!F54</f>
        <v>94.092822393385603</v>
      </c>
      <c r="I14" s="226">
        <f>G14*H14</f>
        <v>28.858268628051363</v>
      </c>
      <c r="J14" s="227">
        <f>I14+F14</f>
        <v>243.44697284039262</v>
      </c>
    </row>
    <row r="15" spans="2:10" x14ac:dyDescent="0.25">
      <c r="B15" s="167" t="s">
        <v>213</v>
      </c>
      <c r="C15" s="167" t="s">
        <v>217</v>
      </c>
      <c r="D15" s="224">
        <v>0.3926</v>
      </c>
      <c r="E15" s="225">
        <f>'3. RRR Data 2027'!F37</f>
        <v>33370.10574138326</v>
      </c>
      <c r="F15" s="226">
        <f t="shared" si="0"/>
        <v>13101.103514067068</v>
      </c>
      <c r="G15" s="224">
        <v>0.3004</v>
      </c>
      <c r="H15" s="225">
        <f>'3. RRR Data 2027'!F56</f>
        <v>10319.947790490745</v>
      </c>
      <c r="I15" s="226">
        <f t="shared" si="1"/>
        <v>3100.1123162634199</v>
      </c>
      <c r="J15" s="227">
        <f t="shared" si="2"/>
        <v>16201.215830330488</v>
      </c>
    </row>
    <row r="16" spans="2:10" x14ac:dyDescent="0.25">
      <c r="B16" s="228" t="s">
        <v>5</v>
      </c>
      <c r="C16" s="228"/>
      <c r="D16" s="228"/>
      <c r="E16" s="228"/>
      <c r="F16" s="229">
        <f>SUM(F7:F15)</f>
        <v>4226645.7016066471</v>
      </c>
      <c r="G16" s="228"/>
      <c r="H16" s="228"/>
      <c r="I16" s="229">
        <f>SUM(I7:I15)</f>
        <v>1010843.1553161952</v>
      </c>
      <c r="J16" s="229">
        <f>SUM(J7:J15)</f>
        <v>5237488.8569228435</v>
      </c>
    </row>
    <row r="17" spans="2:12" x14ac:dyDescent="0.25">
      <c r="E17" s="230"/>
    </row>
    <row r="18" spans="2:12" ht="43.9" customHeight="1" x14ac:dyDescent="0.25">
      <c r="D18" s="223" t="s">
        <v>222</v>
      </c>
      <c r="E18" s="223" t="s">
        <v>221</v>
      </c>
      <c r="F18" s="223" t="str">
        <f>H6</f>
        <v>2027 Billed kWh/kW</v>
      </c>
      <c r="G18" s="223" t="s">
        <v>220</v>
      </c>
      <c r="H18" s="223" t="s">
        <v>224</v>
      </c>
    </row>
    <row r="19" spans="2:12" x14ac:dyDescent="0.25">
      <c r="B19" s="167" t="str">
        <f t="shared" ref="B19:C23" si="3">B7</f>
        <v>Residential</v>
      </c>
      <c r="C19" s="167" t="str">
        <f t="shared" si="3"/>
        <v>Low Voltage Charge</v>
      </c>
      <c r="D19" s="231">
        <f>'8. RTSR Rates to Forecast 2027'!K43</f>
        <v>0.41384792105399537</v>
      </c>
      <c r="E19" s="219">
        <f t="shared" ref="E19:E27" si="4">$E$28*D19</f>
        <v>2291150.2658000006</v>
      </c>
      <c r="F19" s="232">
        <f t="shared" ref="F19:F27" si="5">E7+H7</f>
        <v>1578573635.2711742</v>
      </c>
      <c r="G19" s="221">
        <f t="shared" ref="G19:G27" si="6">E19/F19</f>
        <v>1.4514053792659581E-3</v>
      </c>
      <c r="H19" s="237" t="s">
        <v>223</v>
      </c>
      <c r="K19" s="233"/>
      <c r="L19" s="233"/>
    </row>
    <row r="20" spans="2:12" x14ac:dyDescent="0.25">
      <c r="B20" s="167" t="str">
        <f t="shared" si="3"/>
        <v>Seasonal Residential</v>
      </c>
      <c r="C20" s="167" t="str">
        <f t="shared" si="3"/>
        <v>Low Voltage Charge</v>
      </c>
      <c r="D20" s="231">
        <f>'8. RTSR Rates to Forecast 2027'!K44</f>
        <v>4.3147545640758742E-3</v>
      </c>
      <c r="E20" s="219">
        <f t="shared" si="4"/>
        <v>23887.400572575058</v>
      </c>
      <c r="F20" s="232">
        <f t="shared" si="5"/>
        <v>13651253.423372488</v>
      </c>
      <c r="G20" s="221">
        <f t="shared" si="6"/>
        <v>1.7498320360588375E-3</v>
      </c>
      <c r="H20" s="237" t="s">
        <v>223</v>
      </c>
      <c r="K20" s="233"/>
      <c r="L20" s="233"/>
    </row>
    <row r="21" spans="2:12" x14ac:dyDescent="0.25">
      <c r="B21" s="167" t="str">
        <f t="shared" si="3"/>
        <v>GS &lt;50</v>
      </c>
      <c r="C21" s="167" t="str">
        <f t="shared" si="3"/>
        <v>Low Voltage Charge</v>
      </c>
      <c r="D21" s="231">
        <f>'8. RTSR Rates to Forecast 2027'!K45</f>
        <v>9.1645216941632968E-2</v>
      </c>
      <c r="E21" s="219">
        <f t="shared" si="4"/>
        <v>507367.4470089355</v>
      </c>
      <c r="F21" s="232">
        <f t="shared" si="5"/>
        <v>376280208.1176371</v>
      </c>
      <c r="G21" s="221">
        <f t="shared" si="6"/>
        <v>1.3483766513978231E-3</v>
      </c>
      <c r="H21" s="237" t="s">
        <v>223</v>
      </c>
      <c r="K21" s="233"/>
      <c r="L21" s="233"/>
    </row>
    <row r="22" spans="2:12" x14ac:dyDescent="0.25">
      <c r="B22" s="167" t="str">
        <f t="shared" si="3"/>
        <v>GS 50 - 2,999 kW</v>
      </c>
      <c r="C22" s="167" t="str">
        <f t="shared" si="3"/>
        <v>Low Voltage Charge</v>
      </c>
      <c r="D22" s="231">
        <f>'8. RTSR Rates to Forecast 2027'!K46+'8. RTSR Rates to Forecast 2027'!K47</f>
        <v>0.33733611053262946</v>
      </c>
      <c r="E22" s="219">
        <f t="shared" si="4"/>
        <v>1867564.5810721195</v>
      </c>
      <c r="F22" s="232">
        <f t="shared" si="5"/>
        <v>3298052.5867797011</v>
      </c>
      <c r="G22" s="221">
        <f t="shared" si="6"/>
        <v>0.5662628269052723</v>
      </c>
      <c r="H22" s="237" t="s">
        <v>51</v>
      </c>
      <c r="K22" s="233"/>
      <c r="L22" s="233"/>
    </row>
    <row r="23" spans="2:12" x14ac:dyDescent="0.25">
      <c r="B23" s="167" t="str">
        <f t="shared" si="3"/>
        <v>GS 3,000 - 4,999 kW</v>
      </c>
      <c r="C23" s="167" t="str">
        <f t="shared" si="3"/>
        <v>Low Voltage Charge</v>
      </c>
      <c r="D23" s="231">
        <f>'8. RTSR Rates to Forecast 2027'!K48+'8. RTSR Rates to Forecast 2027'!K49</f>
        <v>6.9518401833926546E-2</v>
      </c>
      <c r="E23" s="219">
        <f t="shared" si="4"/>
        <v>384868.68421168398</v>
      </c>
      <c r="F23" s="232">
        <f t="shared" si="5"/>
        <v>634866.96313706157</v>
      </c>
      <c r="G23" s="221">
        <f t="shared" si="6"/>
        <v>0.60621942321574951</v>
      </c>
      <c r="H23" s="237" t="s">
        <v>51</v>
      </c>
      <c r="K23" s="233"/>
      <c r="L23" s="233"/>
    </row>
    <row r="24" spans="2:12" x14ac:dyDescent="0.25">
      <c r="B24" s="167" t="str">
        <f t="shared" ref="B24:C24" si="7">B12</f>
        <v>Large Use &gt;5MW</v>
      </c>
      <c r="C24" s="167" t="str">
        <f t="shared" si="7"/>
        <v>Low Voltage Charge</v>
      </c>
      <c r="D24" s="231">
        <f>'8. RTSR Rates to Forecast 2027'!K50</f>
        <v>7.8641144785820044E-2</v>
      </c>
      <c r="E24" s="219">
        <f t="shared" si="4"/>
        <v>435374.13289395202</v>
      </c>
      <c r="F24" s="232">
        <f t="shared" si="5"/>
        <v>700459.585062181</v>
      </c>
      <c r="G24" s="221">
        <f t="shared" si="6"/>
        <v>0.62155496502386087</v>
      </c>
      <c r="H24" s="237" t="s">
        <v>51</v>
      </c>
      <c r="K24" s="233"/>
      <c r="L24" s="233"/>
    </row>
    <row r="25" spans="2:12" x14ac:dyDescent="0.25">
      <c r="B25" s="167" t="str">
        <f t="shared" ref="B25:C25" si="8">B13</f>
        <v>Unmetered Scattered Load</v>
      </c>
      <c r="C25" s="167" t="str">
        <f t="shared" si="8"/>
        <v>Low Voltage Charge</v>
      </c>
      <c r="D25" s="231">
        <f>'8. RTSR Rates to Forecast 2027'!K51</f>
        <v>1.5774522967723389E-3</v>
      </c>
      <c r="E25" s="219">
        <f t="shared" si="4"/>
        <v>8733.1120084694558</v>
      </c>
      <c r="F25" s="232">
        <f t="shared" si="5"/>
        <v>6389545.0608795565</v>
      </c>
      <c r="G25" s="221">
        <f t="shared" si="6"/>
        <v>1.3667815040445609E-3</v>
      </c>
      <c r="H25" s="237" t="s">
        <v>223</v>
      </c>
      <c r="J25" s="243"/>
      <c r="K25" s="233"/>
      <c r="L25" s="233"/>
    </row>
    <row r="26" spans="2:12" x14ac:dyDescent="0.25">
      <c r="B26" s="167" t="str">
        <f t="shared" ref="B26:C26" si="9">B14</f>
        <v>Sentinel</v>
      </c>
      <c r="C26" s="167" t="str">
        <f t="shared" si="9"/>
        <v>Low Voltage Charge</v>
      </c>
      <c r="D26" s="231">
        <f>'8. RTSR Rates to Forecast 2027'!K52</f>
        <v>4.4468067173744623E-5</v>
      </c>
      <c r="E26" s="219">
        <f t="shared" si="4"/>
        <v>246.18469428397697</v>
      </c>
      <c r="F26" s="232">
        <f t="shared" si="5"/>
        <v>665.263182287826</v>
      </c>
      <c r="G26" s="221">
        <f t="shared" si="6"/>
        <v>0.37005609334542311</v>
      </c>
      <c r="H26" s="237" t="s">
        <v>51</v>
      </c>
      <c r="K26" s="233"/>
      <c r="L26" s="233"/>
    </row>
    <row r="27" spans="2:12" x14ac:dyDescent="0.25">
      <c r="B27" s="167" t="str">
        <f t="shared" ref="B27:C27" si="10">B15</f>
        <v>Street Light</v>
      </c>
      <c r="C27" s="167" t="str">
        <f t="shared" si="10"/>
        <v>Low Voltage Charge</v>
      </c>
      <c r="D27" s="231">
        <f>'8. RTSR Rates to Forecast 2027'!K53</f>
        <v>3.0745299239738075E-3</v>
      </c>
      <c r="E27" s="219">
        <f t="shared" si="4"/>
        <v>17021.252721488425</v>
      </c>
      <c r="F27" s="232">
        <f t="shared" si="5"/>
        <v>43690.053531874008</v>
      </c>
      <c r="G27" s="221">
        <f t="shared" si="6"/>
        <v>0.38959102462693479</v>
      </c>
      <c r="H27" s="237" t="s">
        <v>51</v>
      </c>
      <c r="K27" s="233"/>
      <c r="L27" s="233"/>
    </row>
    <row r="28" spans="2:12" x14ac:dyDescent="0.25">
      <c r="B28" s="167" t="str">
        <f t="shared" ref="B28" si="11">B16</f>
        <v>Total</v>
      </c>
      <c r="C28" s="167"/>
      <c r="D28" s="234">
        <v>0.99999999999999967</v>
      </c>
      <c r="E28" s="239">
        <f>J16*'4. UTRs &amp; Sub-Transmission'!AA30</f>
        <v>5536213.0609835079</v>
      </c>
      <c r="F28" s="167"/>
      <c r="G28" s="167"/>
      <c r="H28" s="236"/>
      <c r="K28" s="233"/>
      <c r="L28" s="233"/>
    </row>
    <row r="29" spans="2:12" x14ac:dyDescent="0.25">
      <c r="K29" s="233"/>
    </row>
    <row r="30" spans="2:12" x14ac:dyDescent="0.25">
      <c r="D30" s="222">
        <v>2027</v>
      </c>
      <c r="E30" s="222">
        <v>2028</v>
      </c>
      <c r="F30" s="222">
        <v>2029</v>
      </c>
      <c r="G30" s="222">
        <v>2030</v>
      </c>
      <c r="H30" s="222">
        <v>2031</v>
      </c>
      <c r="K30" s="233"/>
    </row>
    <row r="31" spans="2:12" x14ac:dyDescent="0.25">
      <c r="B31" s="167" t="str">
        <f t="shared" ref="B31:C39" si="12">B19</f>
        <v>Residential</v>
      </c>
      <c r="C31" s="167" t="str">
        <f t="shared" si="12"/>
        <v>Low Voltage Charge</v>
      </c>
      <c r="D31" s="238">
        <f t="shared" ref="D31:D39" si="13">G19</f>
        <v>1.4514053792659581E-3</v>
      </c>
      <c r="E31" s="238">
        <f>D31*'4. UTRs &amp; Sub-Transmission'!$AA$30</f>
        <v>1.5341874010582342E-3</v>
      </c>
      <c r="F31" s="238">
        <f>E31*'4. UTRs &amp; Sub-Transmission'!$AA$30</f>
        <v>1.6216909591145433E-3</v>
      </c>
      <c r="G31" s="238">
        <f>F31*'4. UTRs &amp; Sub-Transmission'!$AA$30</f>
        <v>1.7141853498860945E-3</v>
      </c>
      <c r="H31" s="238">
        <f>G31*'4. UTRs &amp; Sub-Transmission'!$AA$30</f>
        <v>1.811955229354254E-3</v>
      </c>
      <c r="J31" s="240"/>
      <c r="K31" s="241"/>
    </row>
    <row r="32" spans="2:12" x14ac:dyDescent="0.25">
      <c r="B32" s="167" t="str">
        <f t="shared" si="12"/>
        <v>Seasonal Residential</v>
      </c>
      <c r="C32" s="167" t="str">
        <f t="shared" si="12"/>
        <v>Low Voltage Charge</v>
      </c>
      <c r="D32" s="238">
        <f t="shared" si="13"/>
        <v>1.7498320360588375E-3</v>
      </c>
      <c r="E32" s="238">
        <f>D32*'4. UTRs &amp; Sub-Transmission'!$AA$30</f>
        <v>1.8496350516816024E-3</v>
      </c>
      <c r="F32" s="238">
        <f>E32*'4. UTRs &amp; Sub-Transmission'!$AA$30</f>
        <v>1.9551304090389674E-3</v>
      </c>
      <c r="G32" s="238">
        <f>F32*'4. UTRs &amp; Sub-Transmission'!$AA$30</f>
        <v>2.0666427752186077E-3</v>
      </c>
      <c r="H32" s="238">
        <f>G32*'4. UTRs &amp; Sub-Transmission'!$AA$30</f>
        <v>2.1845153349451811E-3</v>
      </c>
      <c r="K32" s="241"/>
    </row>
    <row r="33" spans="2:11" x14ac:dyDescent="0.25">
      <c r="B33" s="167" t="str">
        <f t="shared" si="12"/>
        <v>GS &lt;50</v>
      </c>
      <c r="C33" s="167" t="str">
        <f t="shared" si="12"/>
        <v>Low Voltage Charge</v>
      </c>
      <c r="D33" s="238">
        <f t="shared" si="13"/>
        <v>1.3483766513978231E-3</v>
      </c>
      <c r="E33" s="238">
        <f>D33*'4. UTRs &amp; Sub-Transmission'!$AA$30</f>
        <v>1.4252823504773337E-3</v>
      </c>
      <c r="F33" s="238">
        <f>E33*'4. UTRs &amp; Sub-Transmission'!$AA$30</f>
        <v>1.5065744252366494E-3</v>
      </c>
      <c r="G33" s="238">
        <f>F33*'4. UTRs &amp; Sub-Transmission'!$AA$30</f>
        <v>1.5925030559853525E-3</v>
      </c>
      <c r="H33" s="238">
        <f>G33*'4. UTRs &amp; Sub-Transmission'!$AA$30</f>
        <v>1.6833326922593467E-3</v>
      </c>
      <c r="K33" s="241"/>
    </row>
    <row r="34" spans="2:11" x14ac:dyDescent="0.25">
      <c r="B34" s="167" t="str">
        <f t="shared" si="12"/>
        <v>GS 50 - 2,999 kW</v>
      </c>
      <c r="C34" s="167" t="str">
        <f t="shared" si="12"/>
        <v>Low Voltage Charge</v>
      </c>
      <c r="D34" s="238">
        <f t="shared" si="13"/>
        <v>0.5662628269052723</v>
      </c>
      <c r="E34" s="238">
        <f>D34*'4. UTRs &amp; Sub-Transmission'!$AA$30</f>
        <v>0.59856006263739803</v>
      </c>
      <c r="F34" s="238">
        <f>E34*'4. UTRs &amp; Sub-Transmission'!$AA$30</f>
        <v>0.63269939604285563</v>
      </c>
      <c r="G34" s="238">
        <f>F34*'4. UTRs &amp; Sub-Transmission'!$AA$30</f>
        <v>0.6687858925788327</v>
      </c>
      <c r="H34" s="238">
        <f>G34*'4. UTRs &amp; Sub-Transmission'!$AA$30</f>
        <v>0.7069306101916526</v>
      </c>
      <c r="K34" s="241"/>
    </row>
    <row r="35" spans="2:11" x14ac:dyDescent="0.25">
      <c r="B35" s="167" t="str">
        <f t="shared" si="12"/>
        <v>GS 3,000 - 4,999 kW</v>
      </c>
      <c r="C35" s="167" t="str">
        <f t="shared" si="12"/>
        <v>Low Voltage Charge</v>
      </c>
      <c r="D35" s="238">
        <f t="shared" si="13"/>
        <v>0.60621942321574951</v>
      </c>
      <c r="E35" s="238">
        <f>D35*'4. UTRs &amp; Sub-Transmission'!$AA$30</f>
        <v>0.640795614141077</v>
      </c>
      <c r="F35" s="238">
        <f>E35*'4. UTRs &amp; Sub-Transmission'!$AA$30</f>
        <v>0.67734388470146967</v>
      </c>
      <c r="G35" s="238">
        <f>F35*'4. UTRs &amp; Sub-Transmission'!$AA$30</f>
        <v>0.71597671397524576</v>
      </c>
      <c r="H35" s="238">
        <f>G35*'4. UTRs &amp; Sub-Transmission'!$AA$30</f>
        <v>0.75681299637144062</v>
      </c>
      <c r="K35" s="241"/>
    </row>
    <row r="36" spans="2:11" x14ac:dyDescent="0.25">
      <c r="B36" s="167" t="str">
        <f t="shared" si="12"/>
        <v>Large Use &gt;5MW</v>
      </c>
      <c r="C36" s="167" t="str">
        <f t="shared" si="12"/>
        <v>Low Voltage Charge</v>
      </c>
      <c r="D36" s="238">
        <f t="shared" si="13"/>
        <v>0.62155496502386087</v>
      </c>
      <c r="E36" s="238">
        <f>D36*'4. UTRs &amp; Sub-Transmission'!$AA$30</f>
        <v>0.65700583036771476</v>
      </c>
      <c r="F36" s="238">
        <f>E36*'4. UTRs &amp; Sub-Transmission'!$AA$30</f>
        <v>0.69447866307463169</v>
      </c>
      <c r="G36" s="238">
        <f>F36*'4. UTRs &amp; Sub-Transmission'!$AA$30</f>
        <v>0.73408878760785501</v>
      </c>
      <c r="H36" s="238">
        <f>G36*'4. UTRs &amp; Sub-Transmission'!$AA$30</f>
        <v>0.77595810605006221</v>
      </c>
      <c r="K36" s="241"/>
    </row>
    <row r="37" spans="2:11" x14ac:dyDescent="0.25">
      <c r="B37" s="167" t="str">
        <f t="shared" si="12"/>
        <v>Unmetered Scattered Load</v>
      </c>
      <c r="C37" s="167" t="str">
        <f t="shared" si="12"/>
        <v>Low Voltage Charge</v>
      </c>
      <c r="D37" s="238">
        <f t="shared" si="13"/>
        <v>1.3667815040445609E-3</v>
      </c>
      <c r="E37" s="238">
        <f>D37*'4. UTRs &amp; Sub-Transmission'!$AA$30</f>
        <v>1.4447369380462727E-3</v>
      </c>
      <c r="F37" s="238">
        <f>E37*'4. UTRs &amp; Sub-Transmission'!$AA$30</f>
        <v>1.5271386201662184E-3</v>
      </c>
      <c r="G37" s="238">
        <f>F37*'4. UTRs &amp; Sub-Transmission'!$AA$30</f>
        <v>1.6142401455845425E-3</v>
      </c>
      <c r="H37" s="238">
        <f>G37*'4. UTRs &amp; Sub-Transmission'!$AA$30</f>
        <v>1.7063095734774784E-3</v>
      </c>
      <c r="K37" s="241"/>
    </row>
    <row r="38" spans="2:11" x14ac:dyDescent="0.25">
      <c r="B38" s="167" t="str">
        <f t="shared" si="12"/>
        <v>Sentinel</v>
      </c>
      <c r="C38" s="167" t="str">
        <f t="shared" si="12"/>
        <v>Low Voltage Charge</v>
      </c>
      <c r="D38" s="238">
        <f t="shared" si="13"/>
        <v>0.37005609334542311</v>
      </c>
      <c r="E38" s="238">
        <f>D38*'4. UTRs &amp; Sub-Transmission'!$AA$30</f>
        <v>0.3911625271655722</v>
      </c>
      <c r="F38" s="238">
        <f>E38*'4. UTRs &amp; Sub-Transmission'!$AA$30</f>
        <v>0.41347278266739407</v>
      </c>
      <c r="G38" s="238">
        <f>F38*'4. UTRs &amp; Sub-Transmission'!$AA$30</f>
        <v>0.43705552074612158</v>
      </c>
      <c r="H38" s="238">
        <f>G38*'4. UTRs &amp; Sub-Transmission'!$AA$30</f>
        <v>0.46198331842394058</v>
      </c>
      <c r="K38" s="241"/>
    </row>
    <row r="39" spans="2:11" x14ac:dyDescent="0.25">
      <c r="B39" s="167" t="str">
        <f t="shared" si="12"/>
        <v>Street Light</v>
      </c>
      <c r="C39" s="167" t="str">
        <f t="shared" si="12"/>
        <v>Low Voltage Charge</v>
      </c>
      <c r="D39" s="238">
        <f t="shared" si="13"/>
        <v>0.38959102462693479</v>
      </c>
      <c r="E39" s="238">
        <f>D39*'4. UTRs &amp; Sub-Transmission'!$AA$30</f>
        <v>0.41181164827313688</v>
      </c>
      <c r="F39" s="238">
        <f>E39*'4. UTRs &amp; Sub-Transmission'!$AA$30</f>
        <v>0.4352996422744414</v>
      </c>
      <c r="G39" s="238">
        <f>F39*'4. UTRs &amp; Sub-Transmission'!$AA$30</f>
        <v>0.46012729207353287</v>
      </c>
      <c r="H39" s="238">
        <f>G39*'4. UTRs &amp; Sub-Transmission'!$AA$30</f>
        <v>0.48637100596889965</v>
      </c>
      <c r="K39" s="241"/>
    </row>
    <row r="40" spans="2:11" x14ac:dyDescent="0.25">
      <c r="F40" s="235"/>
      <c r="G40" s="220"/>
    </row>
    <row r="41" spans="2:11" x14ac:dyDescent="0.25">
      <c r="D41" s="222">
        <v>2027</v>
      </c>
      <c r="E41" s="222">
        <v>2028</v>
      </c>
      <c r="F41" s="222">
        <v>2029</v>
      </c>
      <c r="G41" s="222">
        <v>2030</v>
      </c>
      <c r="H41" s="222">
        <v>2031</v>
      </c>
    </row>
    <row r="42" spans="2:11" x14ac:dyDescent="0.25">
      <c r="B42" s="167" t="str">
        <f>B31</f>
        <v>Residential</v>
      </c>
      <c r="C42" s="237" t="str">
        <f>H19</f>
        <v>kWh</v>
      </c>
      <c r="D42" s="242">
        <f>'3. RRR Data 2027'!$E$17+'3. RRR Data 2027'!$E$40</f>
        <v>1578573635.2711742</v>
      </c>
      <c r="E42" s="242">
        <f>'3. RRR Data 2028'!$E$17+'3. RRR Data 2028'!$E$40</f>
        <v>1610606554.0853345</v>
      </c>
      <c r="F42" s="242">
        <f>'3. RRR Data 2029'!$E$17+'3. RRR Data 2029'!$E$40</f>
        <v>1641331700.1724854</v>
      </c>
      <c r="G42" s="242">
        <f>'3. RRR Data 2030'!$E$17+'3. RRR Data 2030'!$E$40</f>
        <v>1680304198.1259534</v>
      </c>
      <c r="H42" s="242">
        <f>'3. RRR Data 2031'!$E$17+'3. RRR Data 2031'!$E$40</f>
        <v>1718981173.4150651</v>
      </c>
    </row>
    <row r="43" spans="2:11" x14ac:dyDescent="0.25">
      <c r="B43" s="167" t="str">
        <f t="shared" ref="B43:B50" si="14">B32</f>
        <v>Seasonal Residential</v>
      </c>
      <c r="C43" s="237" t="str">
        <f t="shared" ref="C43:C50" si="15">H20</f>
        <v>kWh</v>
      </c>
      <c r="D43" s="242">
        <f>'3. RRR Data 2027'!$E$19</f>
        <v>13651253.423372488</v>
      </c>
      <c r="E43" s="242">
        <f>'3. RRR Data 2028'!$E$19</f>
        <v>14035998.008814186</v>
      </c>
      <c r="F43" s="242">
        <f>'3. RRR Data 2029'!$E$19</f>
        <v>14476769.158850323</v>
      </c>
      <c r="G43" s="242">
        <f>'3. RRR Data 2030'!$E$19</f>
        <v>14995359.212779585</v>
      </c>
      <c r="H43" s="242">
        <f>'3. RRR Data 2031'!$E$19</f>
        <v>15451103.337147947</v>
      </c>
    </row>
    <row r="44" spans="2:11" x14ac:dyDescent="0.25">
      <c r="B44" s="167" t="str">
        <f t="shared" si="14"/>
        <v>GS &lt;50</v>
      </c>
      <c r="C44" s="237" t="str">
        <f t="shared" si="15"/>
        <v>kWh</v>
      </c>
      <c r="D44" s="242">
        <f>'3. RRR Data 2027'!$E$21+'3. RRR Data 2027'!$E$42</f>
        <v>376280208.1176371</v>
      </c>
      <c r="E44" s="242">
        <f>'3. RRR Data 2028'!$E$21+'3. RRR Data 2028'!$E$42</f>
        <v>375831277.10050917</v>
      </c>
      <c r="F44" s="242">
        <f>'3. RRR Data 2029'!$E$21+'3. RRR Data 2029'!$E$42</f>
        <v>376353639.19765615</v>
      </c>
      <c r="G44" s="242">
        <f>'3. RRR Data 2030'!$E$21+'3. RRR Data 2030'!$E$42</f>
        <v>377216432.00193262</v>
      </c>
      <c r="H44" s="242">
        <f>'3. RRR Data 2031'!$E$21+'3. RRR Data 2031'!$E$42</f>
        <v>379702546.86592543</v>
      </c>
    </row>
    <row r="45" spans="2:11" x14ac:dyDescent="0.25">
      <c r="B45" s="167" t="str">
        <f t="shared" si="14"/>
        <v>GS 50 - 2,999 kW</v>
      </c>
      <c r="C45" s="237" t="str">
        <f t="shared" si="15"/>
        <v>kW</v>
      </c>
      <c r="D45" s="242">
        <f>'3. RRR Data 2027'!$F$23+'3. RRR Data 2027'!$F$25+'3. RRR Data 2027'!$F$44+'3. RRR Data 2027'!$F$46</f>
        <v>3298052.5867797011</v>
      </c>
      <c r="E45" s="242">
        <f>'3. RRR Data 2028'!$F$23+'3. RRR Data 2028'!$F$25+'3. RRR Data 2028'!$F$44+'3. RRR Data 2028'!$F$46</f>
        <v>3360199.9664295977</v>
      </c>
      <c r="F45" s="242">
        <f>'3. RRR Data 2029'!$F$23+'3. RRR Data 2029'!$F$25+'3. RRR Data 2029'!$F$44+'3. RRR Data 2029'!$F$46</f>
        <v>3398325.1246348447</v>
      </c>
      <c r="G45" s="242">
        <f>'3. RRR Data 2030'!$F$23+'3. RRR Data 2030'!$F$25+'3. RRR Data 2030'!$F$44+'3. RRR Data 2030'!$F$46</f>
        <v>3414385.6069159214</v>
      </c>
      <c r="H45" s="242">
        <f>'3. RRR Data 2031'!$F$23+'3. RRR Data 2031'!$F$25+'3. RRR Data 2031'!$F$44+'3. RRR Data 2031'!$F$46</f>
        <v>3447628.0019114334</v>
      </c>
    </row>
    <row r="46" spans="2:11" x14ac:dyDescent="0.25">
      <c r="B46" s="167" t="str">
        <f t="shared" si="14"/>
        <v>GS 3,000 - 4,999 kW</v>
      </c>
      <c r="C46" s="237" t="str">
        <f t="shared" si="15"/>
        <v>kW</v>
      </c>
      <c r="D46" s="242">
        <f>'3. RRR Data 2027'!$F$27+'3. RRR Data 2027'!$F$29+'3. RRR Data 2027'!$F$48+'3. RRR Data 2027'!$F$50</f>
        <v>634866.96313706157</v>
      </c>
      <c r="E46" s="242">
        <f>'3. RRR Data 2028'!$F$27+'3. RRR Data 2028'!$F$29+'3. RRR Data 2028'!$F$48+'3. RRR Data 2028'!$F$50</f>
        <v>663860.07872149907</v>
      </c>
      <c r="F46" s="242">
        <f>'3. RRR Data 2029'!$F$27+'3. RRR Data 2029'!$F$29+'3. RRR Data 2029'!$F$48+'3. RRR Data 2029'!$F$50</f>
        <v>685951.7162830272</v>
      </c>
      <c r="G46" s="242">
        <f>'3. RRR Data 2030'!$F$27+'3. RRR Data 2030'!$F$29+'3. RRR Data 2030'!$F$48+'3. RRR Data 2030'!$F$50</f>
        <v>714881.78302287427</v>
      </c>
      <c r="H46" s="242">
        <f>'3. RRR Data 2031'!$F$27+'3. RRR Data 2031'!$F$29+'3. RRR Data 2031'!$F$48+'3. RRR Data 2031'!$F$50</f>
        <v>746467.9006503236</v>
      </c>
    </row>
    <row r="47" spans="2:11" x14ac:dyDescent="0.25">
      <c r="B47" s="167" t="str">
        <f t="shared" si="14"/>
        <v>Large Use &gt;5MW</v>
      </c>
      <c r="C47" s="237" t="str">
        <f t="shared" si="15"/>
        <v>kW</v>
      </c>
      <c r="D47" s="242">
        <f>'3. RRR Data 2027'!$F$31</f>
        <v>700459.585062181</v>
      </c>
      <c r="E47" s="242">
        <f>'3. RRR Data 2028'!$F$31</f>
        <v>866937.22022196359</v>
      </c>
      <c r="F47" s="242">
        <f>'3. RRR Data 2029'!$F$31</f>
        <v>994908.69007255079</v>
      </c>
      <c r="G47" s="242">
        <f>'3. RRR Data 2030'!$F$31</f>
        <v>1044584.2129462288</v>
      </c>
      <c r="H47" s="242">
        <f>'3. RRR Data 2031'!$F$31</f>
        <v>1070183.945594792</v>
      </c>
    </row>
    <row r="48" spans="2:11" x14ac:dyDescent="0.25">
      <c r="B48" s="167" t="str">
        <f t="shared" si="14"/>
        <v>Unmetered Scattered Load</v>
      </c>
      <c r="C48" s="237" t="str">
        <f t="shared" si="15"/>
        <v>kWh</v>
      </c>
      <c r="D48" s="242">
        <f>'3. RRR Data 2027'!$E$33+'3. RRR Data 2027'!$E$52</f>
        <v>6389545.0608795565</v>
      </c>
      <c r="E48" s="242">
        <f>'3. RRR Data 2028'!$E$33+'3. RRR Data 2028'!$E$52</f>
        <v>6338277.6406470798</v>
      </c>
      <c r="F48" s="242">
        <f>'3. RRR Data 2029'!$E$33+'3. RRR Data 2029'!$E$52</f>
        <v>6287908.5442271214</v>
      </c>
      <c r="G48" s="242">
        <f>'3. RRR Data 2030'!$E$33+'3. RRR Data 2030'!$E$52</f>
        <v>6238426.3587479033</v>
      </c>
      <c r="H48" s="242">
        <f>'3. RRR Data 2031'!$E$33+'3. RRR Data 2031'!$E$52</f>
        <v>6189819.8339463407</v>
      </c>
    </row>
    <row r="49" spans="2:8" x14ac:dyDescent="0.25">
      <c r="B49" s="167" t="str">
        <f t="shared" si="14"/>
        <v>Sentinel</v>
      </c>
      <c r="C49" s="237" t="str">
        <f t="shared" si="15"/>
        <v>kW</v>
      </c>
      <c r="D49" s="242">
        <f>'3. RRR Data 2027'!$F$35+'3. RRR Data 2027'!$F$54</f>
        <v>665.263182287826</v>
      </c>
      <c r="E49" s="242">
        <f>'3. RRR Data 2028'!$F$35+'3. RRR Data 2028'!$F$54</f>
        <v>656.84709227034318</v>
      </c>
      <c r="F49" s="242">
        <f>'3. RRR Data 2029'!$F$35+'3. RRR Data 2029'!$F$54</f>
        <v>648.61106870302569</v>
      </c>
      <c r="G49" s="242">
        <f>'3. RRR Data 2030'!$F$35+'3. RRR Data 2030'!$F$54</f>
        <v>640.55256450629076</v>
      </c>
      <c r="H49" s="242">
        <f>'3. RRR Data 2031'!$F$35+'3. RRR Data 2031'!$F$54</f>
        <v>632.66908232300091</v>
      </c>
    </row>
    <row r="50" spans="2:8" x14ac:dyDescent="0.25">
      <c r="B50" s="167" t="str">
        <f t="shared" si="14"/>
        <v>Street Light</v>
      </c>
      <c r="C50" s="237" t="str">
        <f t="shared" si="15"/>
        <v>kW</v>
      </c>
      <c r="D50" s="242">
        <f>'3. RRR Data 2027'!$F$37+'3. RRR Data 2027'!$F$56</f>
        <v>43690.053531874008</v>
      </c>
      <c r="E50" s="242">
        <f>'3. RRR Data 2028'!$F$37+'3. RRR Data 2028'!$F$56</f>
        <v>44203.689722153795</v>
      </c>
      <c r="F50" s="242">
        <f>'3. RRR Data 2029'!$F$37+'3. RRR Data 2029'!$F$56</f>
        <v>44723.672843158871</v>
      </c>
      <c r="G50" s="242">
        <f>'3. RRR Data 2030'!$F$37+'3. RRR Data 2030'!$F$56</f>
        <v>45250.085781823676</v>
      </c>
      <c r="H50" s="242">
        <f>'3. RRR Data 2031'!$F$37+'3. RRR Data 2031'!$F$56</f>
        <v>45783.012568858583</v>
      </c>
    </row>
    <row r="52" spans="2:8" x14ac:dyDescent="0.25">
      <c r="D52" s="222">
        <v>2027</v>
      </c>
      <c r="E52" s="222">
        <v>2028</v>
      </c>
      <c r="F52" s="222">
        <v>2029</v>
      </c>
      <c r="G52" s="222">
        <v>2030</v>
      </c>
      <c r="H52" s="222">
        <v>2031</v>
      </c>
    </row>
    <row r="53" spans="2:8" x14ac:dyDescent="0.25">
      <c r="B53" s="167" t="str">
        <f>B42</f>
        <v>Residential</v>
      </c>
      <c r="C53" s="236" t="s">
        <v>225</v>
      </c>
      <c r="D53" s="219">
        <f t="shared" ref="D53:D61" si="16">D31*D42</f>
        <v>2291150.2658000006</v>
      </c>
      <c r="E53" s="219">
        <f t="shared" ref="E53:H53" si="17">E31*E42</f>
        <v>2470972.2833395377</v>
      </c>
      <c r="F53" s="219">
        <f t="shared" si="17"/>
        <v>2661732.7790778219</v>
      </c>
      <c r="G53" s="219">
        <f t="shared" si="17"/>
        <v>2880352.8397796107</v>
      </c>
      <c r="H53" s="219">
        <f t="shared" si="17"/>
        <v>3114716.9263309389</v>
      </c>
    </row>
    <row r="54" spans="2:8" x14ac:dyDescent="0.25">
      <c r="B54" s="167" t="str">
        <f t="shared" ref="B54:B61" si="18">B43</f>
        <v>Seasonal Residential</v>
      </c>
      <c r="C54" s="236" t="s">
        <v>225</v>
      </c>
      <c r="D54" s="219">
        <f t="shared" si="16"/>
        <v>23887.400572575058</v>
      </c>
      <c r="E54" s="219">
        <f t="shared" ref="E54:H61" si="19">E32*E43</f>
        <v>25961.473902435897</v>
      </c>
      <c r="F54" s="219">
        <f t="shared" si="19"/>
        <v>28303.971607105741</v>
      </c>
      <c r="G54" s="219">
        <f t="shared" si="19"/>
        <v>30990.05077889872</v>
      </c>
      <c r="H54" s="219">
        <f t="shared" si="19"/>
        <v>33753.172181822352</v>
      </c>
    </row>
    <row r="55" spans="2:8" x14ac:dyDescent="0.25">
      <c r="B55" s="167" t="str">
        <f t="shared" si="18"/>
        <v>GS &lt;50</v>
      </c>
      <c r="C55" s="236" t="s">
        <v>225</v>
      </c>
      <c r="D55" s="219">
        <f t="shared" si="16"/>
        <v>507367.4470089355</v>
      </c>
      <c r="E55" s="219">
        <f t="shared" si="19"/>
        <v>535665.68600871181</v>
      </c>
      <c r="F55" s="219">
        <f t="shared" si="19"/>
        <v>567004.76765993016</v>
      </c>
      <c r="G55" s="219">
        <f t="shared" si="19"/>
        <v>600718.32073096861</v>
      </c>
      <c r="H55" s="219">
        <f t="shared" si="19"/>
        <v>639165.71047354897</v>
      </c>
    </row>
    <row r="56" spans="2:8" x14ac:dyDescent="0.25">
      <c r="B56" s="167" t="str">
        <f t="shared" si="18"/>
        <v>GS 50 - 2,999 kW</v>
      </c>
      <c r="C56" s="236" t="s">
        <v>225</v>
      </c>
      <c r="D56" s="219">
        <f t="shared" si="16"/>
        <v>1867564.5810721193</v>
      </c>
      <c r="E56" s="219">
        <f t="shared" si="19"/>
        <v>2011281.5023802829</v>
      </c>
      <c r="F56" s="219">
        <f t="shared" si="19"/>
        <v>2150118.2539137285</v>
      </c>
      <c r="G56" s="219">
        <f t="shared" si="19"/>
        <v>2283492.9257295839</v>
      </c>
      <c r="H56" s="219">
        <f t="shared" si="19"/>
        <v>2437233.7671050779</v>
      </c>
    </row>
    <row r="57" spans="2:8" x14ac:dyDescent="0.25">
      <c r="B57" s="167" t="str">
        <f t="shared" si="18"/>
        <v>GS 3,000 - 4,999 kW</v>
      </c>
      <c r="C57" s="236" t="s">
        <v>225</v>
      </c>
      <c r="D57" s="219">
        <f t="shared" si="16"/>
        <v>384868.68421168398</v>
      </c>
      <c r="E57" s="219">
        <f t="shared" si="19"/>
        <v>425398.62684808671</v>
      </c>
      <c r="F57" s="219">
        <f t="shared" si="19"/>
        <v>464625.20022478601</v>
      </c>
      <c r="G57" s="219">
        <f t="shared" si="19"/>
        <v>511838.70988948212</v>
      </c>
      <c r="H57" s="219">
        <f t="shared" si="19"/>
        <v>564936.60858627025</v>
      </c>
    </row>
    <row r="58" spans="2:8" x14ac:dyDescent="0.25">
      <c r="B58" s="167" t="str">
        <f t="shared" si="18"/>
        <v>Large Use &gt;5MW</v>
      </c>
      <c r="C58" s="236" t="s">
        <v>225</v>
      </c>
      <c r="D58" s="219">
        <f t="shared" si="16"/>
        <v>435374.13289395202</v>
      </c>
      <c r="E58" s="219">
        <f t="shared" si="19"/>
        <v>569582.80824860954</v>
      </c>
      <c r="F58" s="219">
        <f t="shared" si="19"/>
        <v>690942.85696291819</v>
      </c>
      <c r="G58" s="219">
        <f t="shared" si="19"/>
        <v>766817.55843600258</v>
      </c>
      <c r="H58" s="219">
        <f t="shared" si="19"/>
        <v>830417.90754891769</v>
      </c>
    </row>
    <row r="59" spans="2:8" x14ac:dyDescent="0.25">
      <c r="B59" s="167" t="str">
        <f t="shared" si="18"/>
        <v>Unmetered Scattered Load</v>
      </c>
      <c r="C59" s="236" t="s">
        <v>225</v>
      </c>
      <c r="D59" s="219">
        <f t="shared" si="16"/>
        <v>8733.1120084694558</v>
      </c>
      <c r="E59" s="219">
        <f t="shared" si="19"/>
        <v>9157.1438310356152</v>
      </c>
      <c r="F59" s="219">
        <f t="shared" si="19"/>
        <v>9602.5079779623811</v>
      </c>
      <c r="G59" s="219">
        <f t="shared" si="19"/>
        <v>10070.318273563664</v>
      </c>
      <c r="H59" s="219">
        <f t="shared" si="19"/>
        <v>10561.748840763417</v>
      </c>
    </row>
    <row r="60" spans="2:8" x14ac:dyDescent="0.25">
      <c r="B60" s="167" t="str">
        <f t="shared" si="18"/>
        <v>Sentinel</v>
      </c>
      <c r="C60" s="236" t="s">
        <v>225</v>
      </c>
      <c r="D60" s="219">
        <f t="shared" si="16"/>
        <v>246.18469428397697</v>
      </c>
      <c r="E60" s="219">
        <f t="shared" si="19"/>
        <v>256.93396857382521</v>
      </c>
      <c r="F60" s="219">
        <f t="shared" si="19"/>
        <v>268.18302344551233</v>
      </c>
      <c r="G60" s="219">
        <f t="shared" si="19"/>
        <v>279.95703464556055</v>
      </c>
      <c r="H60" s="219">
        <f t="shared" si="19"/>
        <v>292.28256211580918</v>
      </c>
    </row>
    <row r="61" spans="2:8" x14ac:dyDescent="0.25">
      <c r="B61" s="167" t="str">
        <f t="shared" si="18"/>
        <v>Street Light</v>
      </c>
      <c r="C61" s="236" t="s">
        <v>225</v>
      </c>
      <c r="D61" s="219">
        <f t="shared" si="16"/>
        <v>17021.252721488425</v>
      </c>
      <c r="E61" s="219">
        <f t="shared" si="19"/>
        <v>18203.594324234473</v>
      </c>
      <c r="F61" s="219">
        <f t="shared" si="19"/>
        <v>19468.198789826205</v>
      </c>
      <c r="G61" s="219">
        <f t="shared" si="19"/>
        <v>20820.799436885598</v>
      </c>
      <c r="H61" s="219">
        <f t="shared" si="19"/>
        <v>22267.529879402526</v>
      </c>
    </row>
    <row r="62" spans="2:8" x14ac:dyDescent="0.25">
      <c r="B62" s="228" t="s">
        <v>5</v>
      </c>
      <c r="C62" s="222" t="s">
        <v>225</v>
      </c>
      <c r="D62" s="239">
        <f>SUM(D53:D61)</f>
        <v>5536213.0609835079</v>
      </c>
      <c r="E62" s="239">
        <f t="shared" ref="E62:H62" si="20">SUM(E53:E61)</f>
        <v>6066480.0528515093</v>
      </c>
      <c r="F62" s="239">
        <f t="shared" si="20"/>
        <v>6592066.719237525</v>
      </c>
      <c r="G62" s="239">
        <f t="shared" si="20"/>
        <v>7105381.4800896421</v>
      </c>
      <c r="H62" s="239">
        <f t="shared" si="20"/>
        <v>7653345.6535088578</v>
      </c>
    </row>
  </sheetData>
  <mergeCells count="2">
    <mergeCell ref="D5:F5"/>
    <mergeCell ref="G5:I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24C6-8B24-4921-B060-661D948A150A}">
  <dimension ref="A1:AZ59"/>
  <sheetViews>
    <sheetView topLeftCell="A11" workbookViewId="0">
      <selection activeCell="A39" sqref="A39"/>
    </sheetView>
  </sheetViews>
  <sheetFormatPr defaultColWidth="13.7109375" defaultRowHeight="12.75" x14ac:dyDescent="0.2"/>
  <cols>
    <col min="1" max="1" width="65.28515625" style="31" customWidth="1"/>
    <col min="2" max="2" width="76" style="31" bestFit="1" customWidth="1"/>
    <col min="3" max="3" width="6.42578125" style="31" bestFit="1" customWidth="1"/>
    <col min="4" max="4" width="10.5703125" style="31" customWidth="1"/>
    <col min="5" max="5" width="18.28515625" style="31" customWidth="1"/>
    <col min="6" max="6" width="14" style="31" customWidth="1"/>
    <col min="7" max="7" width="13.7109375" style="31"/>
    <col min="8" max="8" width="14.5703125" style="31" customWidth="1"/>
    <col min="9" max="16384" width="13.7109375" style="31"/>
  </cols>
  <sheetData>
    <row r="1" spans="1:52" x14ac:dyDescent="0.2">
      <c r="AZ1" s="32">
        <v>1</v>
      </c>
    </row>
    <row r="13" spans="1:52" ht="33" customHeight="1" thickBot="1" x14ac:dyDescent="0.25">
      <c r="A13" s="249" t="s">
        <v>18</v>
      </c>
      <c r="B13" s="249"/>
      <c r="C13" s="249"/>
      <c r="D13" s="249"/>
      <c r="E13" s="249"/>
      <c r="F13" s="249"/>
      <c r="G13" s="249"/>
      <c r="H13" s="249"/>
      <c r="I13" s="33"/>
      <c r="J13" s="33"/>
      <c r="K13" s="33"/>
      <c r="L13" s="33"/>
    </row>
    <row r="14" spans="1:52" ht="18.75" thickBot="1" x14ac:dyDescent="0.3">
      <c r="A14" s="34" t="s">
        <v>19</v>
      </c>
      <c r="B14" s="35">
        <v>0.17</v>
      </c>
    </row>
    <row r="15" spans="1:52" ht="45" x14ac:dyDescent="0.25">
      <c r="A15" s="36" t="s">
        <v>20</v>
      </c>
      <c r="B15" s="36" t="s">
        <v>21</v>
      </c>
      <c r="C15" s="37" t="s">
        <v>22</v>
      </c>
      <c r="D15" s="38" t="s">
        <v>23</v>
      </c>
      <c r="E15" s="39" t="s">
        <v>24</v>
      </c>
      <c r="F15" s="39" t="s">
        <v>25</v>
      </c>
      <c r="G15" s="40" t="s">
        <v>26</v>
      </c>
      <c r="H15" s="41" t="s">
        <v>27</v>
      </c>
      <c r="I15" s="41"/>
    </row>
    <row r="16" spans="1:52" x14ac:dyDescent="0.2">
      <c r="A16" s="156" t="s">
        <v>227</v>
      </c>
      <c r="D16" s="42"/>
      <c r="E16" s="43"/>
      <c r="F16" s="43"/>
      <c r="G16" s="42"/>
    </row>
    <row r="17" spans="1:8" x14ac:dyDescent="0.2">
      <c r="A17" s="31" t="s">
        <v>28</v>
      </c>
      <c r="B17" s="31" t="s">
        <v>29</v>
      </c>
      <c r="C17" s="44" t="s">
        <v>30</v>
      </c>
      <c r="D17" s="45">
        <v>1.1299999999999999E-2</v>
      </c>
      <c r="E17" s="46">
        <v>1139476591.8569014</v>
      </c>
      <c r="F17" s="46">
        <v>0</v>
      </c>
      <c r="G17" s="47">
        <v>1.0415000000000001</v>
      </c>
      <c r="H17" s="43">
        <f>E17*G17</f>
        <v>1186764870.418963</v>
      </c>
    </row>
    <row r="18" spans="1:8" x14ac:dyDescent="0.2">
      <c r="A18" s="31" t="s">
        <v>28</v>
      </c>
      <c r="B18" s="31" t="s">
        <v>31</v>
      </c>
      <c r="C18" s="44" t="s">
        <v>30</v>
      </c>
      <c r="D18" s="45">
        <v>7.7000000000000002E-3</v>
      </c>
      <c r="E18" s="46">
        <f>E17</f>
        <v>1139476591.8569014</v>
      </c>
      <c r="F18" s="46">
        <v>0</v>
      </c>
      <c r="G18" s="47">
        <f>G17</f>
        <v>1.0415000000000001</v>
      </c>
      <c r="H18" s="43">
        <f>E18*G18</f>
        <v>1186764870.418963</v>
      </c>
    </row>
    <row r="19" spans="1:8" x14ac:dyDescent="0.2">
      <c r="A19" s="31" t="s">
        <v>32</v>
      </c>
      <c r="B19" s="31" t="s">
        <v>29</v>
      </c>
      <c r="C19" s="44" t="s">
        <v>30</v>
      </c>
      <c r="D19" s="45">
        <v>1.18E-2</v>
      </c>
      <c r="E19" s="46">
        <v>13651253.423372488</v>
      </c>
      <c r="F19" s="46">
        <v>0</v>
      </c>
      <c r="G19" s="47">
        <v>1.0415000000000001</v>
      </c>
      <c r="H19" s="43">
        <f t="shared" ref="H19:H22" si="0">E19*G19</f>
        <v>14217780.440442448</v>
      </c>
    </row>
    <row r="20" spans="1:8" x14ac:dyDescent="0.2">
      <c r="A20" s="31" t="s">
        <v>32</v>
      </c>
      <c r="B20" s="31" t="s">
        <v>31</v>
      </c>
      <c r="C20" s="44" t="s">
        <v>30</v>
      </c>
      <c r="D20" s="45">
        <v>9.9000000000000008E-3</v>
      </c>
      <c r="E20" s="46">
        <f>E19</f>
        <v>13651253.423372488</v>
      </c>
      <c r="F20" s="46">
        <v>0</v>
      </c>
      <c r="G20" s="47">
        <f>G19</f>
        <v>1.0415000000000001</v>
      </c>
      <c r="H20" s="43">
        <f t="shared" si="0"/>
        <v>14217780.440442448</v>
      </c>
    </row>
    <row r="21" spans="1:8" x14ac:dyDescent="0.2">
      <c r="A21" s="31" t="s">
        <v>33</v>
      </c>
      <c r="B21" s="31" t="s">
        <v>29</v>
      </c>
      <c r="C21" s="44" t="s">
        <v>30</v>
      </c>
      <c r="D21" s="45">
        <v>1.03E-2</v>
      </c>
      <c r="E21" s="46">
        <v>284059624.77556282</v>
      </c>
      <c r="F21" s="46">
        <v>0</v>
      </c>
      <c r="G21" s="47">
        <v>1.0415000000000001</v>
      </c>
      <c r="H21" s="43">
        <f t="shared" si="0"/>
        <v>295848099.2037487</v>
      </c>
    </row>
    <row r="22" spans="1:8" x14ac:dyDescent="0.2">
      <c r="A22" s="31" t="s">
        <v>33</v>
      </c>
      <c r="B22" s="31" t="s">
        <v>31</v>
      </c>
      <c r="C22" s="44" t="s">
        <v>30</v>
      </c>
      <c r="D22" s="45">
        <v>7.1999999999999998E-3</v>
      </c>
      <c r="E22" s="46">
        <f>E21</f>
        <v>284059624.77556282</v>
      </c>
      <c r="F22" s="46">
        <v>0</v>
      </c>
      <c r="G22" s="47">
        <f>G21</f>
        <v>1.0415000000000001</v>
      </c>
      <c r="H22" s="43">
        <f t="shared" si="0"/>
        <v>295848099.2037487</v>
      </c>
    </row>
    <row r="23" spans="1:8" x14ac:dyDescent="0.2">
      <c r="A23" s="31" t="s">
        <v>34</v>
      </c>
      <c r="B23" s="31" t="s">
        <v>29</v>
      </c>
      <c r="C23" s="44" t="s">
        <v>35</v>
      </c>
      <c r="D23" s="45">
        <v>5.0382999999999996</v>
      </c>
      <c r="E23" s="48">
        <v>1007697663.38808</v>
      </c>
      <c r="F23" s="49">
        <v>2423617.9621344004</v>
      </c>
      <c r="G23" s="42"/>
    </row>
    <row r="24" spans="1:8" x14ac:dyDescent="0.2">
      <c r="A24" s="31" t="s">
        <v>34</v>
      </c>
      <c r="B24" s="31" t="s">
        <v>31</v>
      </c>
      <c r="C24" s="44" t="s">
        <v>35</v>
      </c>
      <c r="D24" s="45">
        <v>3.3349000000000002</v>
      </c>
      <c r="E24" s="50">
        <f>E23</f>
        <v>1007697663.38808</v>
      </c>
      <c r="F24" s="51">
        <f>F23</f>
        <v>2423617.9621344004</v>
      </c>
      <c r="G24" s="42"/>
    </row>
    <row r="25" spans="1:8" x14ac:dyDescent="0.2">
      <c r="A25" s="31" t="s">
        <v>34</v>
      </c>
      <c r="B25" s="31" t="s">
        <v>36</v>
      </c>
      <c r="C25" s="44" t="s">
        <v>35</v>
      </c>
      <c r="D25" s="45">
        <f>D23*$B$14</f>
        <v>0.85651100000000002</v>
      </c>
      <c r="E25" s="52">
        <v>1875361.298825263</v>
      </c>
      <c r="F25" s="53">
        <v>15773.007412233179</v>
      </c>
      <c r="G25" s="42"/>
    </row>
    <row r="26" spans="1:8" x14ac:dyDescent="0.2">
      <c r="A26" s="31" t="s">
        <v>34</v>
      </c>
      <c r="B26" s="31" t="s">
        <v>37</v>
      </c>
      <c r="C26" s="44" t="s">
        <v>35</v>
      </c>
      <c r="D26" s="45">
        <f>D24*$B$14</f>
        <v>0.56693300000000002</v>
      </c>
      <c r="E26" s="48">
        <f>E25</f>
        <v>1875361.298825263</v>
      </c>
      <c r="F26" s="49">
        <f>F25</f>
        <v>15773.007412233179</v>
      </c>
      <c r="G26" s="42"/>
    </row>
    <row r="27" spans="1:8" x14ac:dyDescent="0.2">
      <c r="A27" s="31" t="s">
        <v>38</v>
      </c>
      <c r="B27" s="31" t="s">
        <v>29</v>
      </c>
      <c r="C27" s="44" t="s">
        <v>35</v>
      </c>
      <c r="D27" s="45">
        <v>5.5510000000000002</v>
      </c>
      <c r="E27" s="48">
        <v>187457996.07098451</v>
      </c>
      <c r="F27" s="49">
        <v>409833.7729541196</v>
      </c>
      <c r="G27" s="42"/>
    </row>
    <row r="28" spans="1:8" x14ac:dyDescent="0.2">
      <c r="A28" s="31" t="s">
        <v>38</v>
      </c>
      <c r="B28" s="31" t="s">
        <v>39</v>
      </c>
      <c r="C28" s="44" t="s">
        <v>35</v>
      </c>
      <c r="D28" s="45">
        <v>3.6625000000000001</v>
      </c>
      <c r="E28" s="50">
        <f>E27</f>
        <v>187457996.07098451</v>
      </c>
      <c r="F28" s="51">
        <f>F27</f>
        <v>409833.7729541196</v>
      </c>
      <c r="G28" s="42"/>
    </row>
    <row r="29" spans="1:8" x14ac:dyDescent="0.2">
      <c r="A29" s="31" t="s">
        <v>38</v>
      </c>
      <c r="B29" s="31" t="s">
        <v>36</v>
      </c>
      <c r="C29" s="44" t="s">
        <v>35</v>
      </c>
      <c r="D29" s="45">
        <f>D27*$B$14</f>
        <v>0.94367000000000012</v>
      </c>
      <c r="E29" s="52">
        <v>0</v>
      </c>
      <c r="F29" s="53">
        <v>0</v>
      </c>
      <c r="G29" s="42"/>
    </row>
    <row r="30" spans="1:8" x14ac:dyDescent="0.2">
      <c r="A30" s="31" t="s">
        <v>38</v>
      </c>
      <c r="B30" s="31" t="s">
        <v>40</v>
      </c>
      <c r="C30" s="44" t="s">
        <v>35</v>
      </c>
      <c r="D30" s="45">
        <f>D28*$B$14</f>
        <v>0.6226250000000001</v>
      </c>
      <c r="E30" s="50">
        <f>E29</f>
        <v>0</v>
      </c>
      <c r="F30" s="51">
        <v>0</v>
      </c>
      <c r="G30" s="42"/>
    </row>
    <row r="31" spans="1:8" x14ac:dyDescent="0.2">
      <c r="A31" s="31" t="s">
        <v>41</v>
      </c>
      <c r="B31" s="31" t="s">
        <v>29</v>
      </c>
      <c r="C31" s="44" t="s">
        <v>35</v>
      </c>
      <c r="D31" s="45">
        <v>5.5510000000000002</v>
      </c>
      <c r="E31" s="46">
        <v>408628326.68616831</v>
      </c>
      <c r="F31" s="46">
        <v>700459.585062181</v>
      </c>
      <c r="G31" s="42"/>
    </row>
    <row r="32" spans="1:8" x14ac:dyDescent="0.2">
      <c r="A32" s="31" t="s">
        <v>41</v>
      </c>
      <c r="B32" s="31" t="s">
        <v>39</v>
      </c>
      <c r="C32" s="44" t="s">
        <v>35</v>
      </c>
      <c r="D32" s="45">
        <v>3.6625000000000001</v>
      </c>
      <c r="E32" s="46">
        <f>E31</f>
        <v>408628326.68616831</v>
      </c>
      <c r="F32" s="46">
        <f>F31</f>
        <v>700459.585062181</v>
      </c>
      <c r="G32" s="42"/>
    </row>
    <row r="33" spans="1:8" x14ac:dyDescent="0.2">
      <c r="A33" s="31" t="s">
        <v>42</v>
      </c>
      <c r="B33" s="31" t="s">
        <v>29</v>
      </c>
      <c r="C33" s="44" t="s">
        <v>30</v>
      </c>
      <c r="D33" s="45">
        <v>1.03E-2</v>
      </c>
      <c r="E33" s="46">
        <v>4443187.6631879052</v>
      </c>
      <c r="F33" s="46">
        <v>0</v>
      </c>
      <c r="G33" s="47">
        <v>1.0415000000000001</v>
      </c>
      <c r="H33" s="43">
        <f t="shared" ref="H33:H34" si="1">E33*G33</f>
        <v>4627579.9512102036</v>
      </c>
    </row>
    <row r="34" spans="1:8" x14ac:dyDescent="0.2">
      <c r="A34" s="31" t="s">
        <v>42</v>
      </c>
      <c r="B34" s="31" t="s">
        <v>31</v>
      </c>
      <c r="C34" s="44" t="s">
        <v>30</v>
      </c>
      <c r="D34" s="45">
        <v>7.1999999999999998E-3</v>
      </c>
      <c r="E34" s="46">
        <f>E33</f>
        <v>4443187.6631879052</v>
      </c>
      <c r="F34" s="46">
        <v>0</v>
      </c>
      <c r="G34" s="47">
        <f>G33</f>
        <v>1.0415000000000001</v>
      </c>
      <c r="H34" s="43">
        <f t="shared" si="1"/>
        <v>4627579.9512102036</v>
      </c>
    </row>
    <row r="35" spans="1:8" x14ac:dyDescent="0.2">
      <c r="A35" s="31" t="s">
        <v>43</v>
      </c>
      <c r="B35" s="31" t="s">
        <v>29</v>
      </c>
      <c r="C35" s="44" t="s">
        <v>35</v>
      </c>
      <c r="D35" s="45">
        <v>3.1425999999999998</v>
      </c>
      <c r="E35" s="46">
        <v>205910.21560731487</v>
      </c>
      <c r="F35" s="46">
        <v>571.17035989444037</v>
      </c>
      <c r="G35" s="42"/>
    </row>
    <row r="36" spans="1:8" x14ac:dyDescent="0.2">
      <c r="A36" s="31" t="s">
        <v>43</v>
      </c>
      <c r="B36" s="31" t="s">
        <v>31</v>
      </c>
      <c r="C36" s="44" t="s">
        <v>35</v>
      </c>
      <c r="D36" s="45">
        <v>2.0966999999999998</v>
      </c>
      <c r="E36" s="46">
        <f>E35</f>
        <v>205910.21560731487</v>
      </c>
      <c r="F36" s="46">
        <f>F35</f>
        <v>571.17035989444037</v>
      </c>
      <c r="G36" s="42"/>
    </row>
    <row r="37" spans="1:8" x14ac:dyDescent="0.2">
      <c r="A37" s="31" t="s">
        <v>44</v>
      </c>
      <c r="B37" s="31" t="s">
        <v>29</v>
      </c>
      <c r="C37" s="44" t="s">
        <v>35</v>
      </c>
      <c r="D37" s="45">
        <v>3.3089</v>
      </c>
      <c r="E37" s="46">
        <v>12522745.778611662</v>
      </c>
      <c r="F37" s="46">
        <v>33370.10574138326</v>
      </c>
      <c r="G37" s="42"/>
    </row>
    <row r="38" spans="1:8" x14ac:dyDescent="0.2">
      <c r="A38" s="31" t="s">
        <v>44</v>
      </c>
      <c r="B38" s="31" t="s">
        <v>31</v>
      </c>
      <c r="C38" s="44" t="s">
        <v>35</v>
      </c>
      <c r="D38" s="45">
        <v>2.1909000000000001</v>
      </c>
      <c r="E38" s="46">
        <f>E37</f>
        <v>12522745.778611662</v>
      </c>
      <c r="F38" s="46">
        <f>F37</f>
        <v>33370.10574138326</v>
      </c>
      <c r="G38" s="42"/>
    </row>
    <row r="39" spans="1:8" x14ac:dyDescent="0.2">
      <c r="A39" s="156" t="s">
        <v>228</v>
      </c>
      <c r="C39" s="44"/>
      <c r="D39" s="45"/>
      <c r="E39" s="46"/>
      <c r="F39" s="46"/>
      <c r="G39" s="42"/>
    </row>
    <row r="40" spans="1:8" x14ac:dyDescent="0.2">
      <c r="A40" s="31" t="s">
        <v>28</v>
      </c>
      <c r="B40" s="31" t="s">
        <v>29</v>
      </c>
      <c r="C40" s="31" t="s">
        <v>30</v>
      </c>
      <c r="D40" s="31">
        <v>1.34E-2</v>
      </c>
      <c r="E40" s="43">
        <v>439097043.41427279</v>
      </c>
      <c r="F40" s="31">
        <v>0</v>
      </c>
      <c r="G40" s="42">
        <f>G17</f>
        <v>1.0415000000000001</v>
      </c>
      <c r="H40" s="43">
        <f t="shared" ref="H40:H43" si="2">E40*G40</f>
        <v>457319570.71596515</v>
      </c>
    </row>
    <row r="41" spans="1:8" x14ac:dyDescent="0.2">
      <c r="A41" s="31" t="s">
        <v>28</v>
      </c>
      <c r="B41" s="31" t="s">
        <v>31</v>
      </c>
      <c r="C41" s="31" t="s">
        <v>30</v>
      </c>
      <c r="D41" s="31">
        <v>0.01</v>
      </c>
      <c r="E41" s="148">
        <f>E40</f>
        <v>439097043.41427279</v>
      </c>
      <c r="F41" s="31">
        <v>0</v>
      </c>
      <c r="G41" s="42">
        <f>G18</f>
        <v>1.0415000000000001</v>
      </c>
      <c r="H41" s="43">
        <f t="shared" si="2"/>
        <v>457319570.71596515</v>
      </c>
    </row>
    <row r="42" spans="1:8" x14ac:dyDescent="0.2">
      <c r="A42" s="31" t="s">
        <v>33</v>
      </c>
      <c r="B42" s="31" t="s">
        <v>29</v>
      </c>
      <c r="C42" s="31" t="s">
        <v>30</v>
      </c>
      <c r="D42" s="31">
        <v>1.23E-2</v>
      </c>
      <c r="E42" s="148">
        <v>92220583.34207429</v>
      </c>
      <c r="F42" s="31">
        <v>0</v>
      </c>
      <c r="G42" s="42">
        <f>G19</f>
        <v>1.0415000000000001</v>
      </c>
      <c r="H42" s="43">
        <f t="shared" si="2"/>
        <v>96047737.550770387</v>
      </c>
    </row>
    <row r="43" spans="1:8" x14ac:dyDescent="0.2">
      <c r="A43" s="31" t="s">
        <v>33</v>
      </c>
      <c r="B43" s="31" t="s">
        <v>31</v>
      </c>
      <c r="C43" s="31" t="s">
        <v>30</v>
      </c>
      <c r="D43" s="31">
        <v>9.4000000000000004E-3</v>
      </c>
      <c r="E43" s="148">
        <v>92220583.34207429</v>
      </c>
      <c r="F43" s="31">
        <v>0</v>
      </c>
      <c r="G43" s="42">
        <f>G20</f>
        <v>1.0415000000000001</v>
      </c>
      <c r="H43" s="43">
        <f t="shared" si="2"/>
        <v>96047737.550770387</v>
      </c>
    </row>
    <row r="44" spans="1:8" x14ac:dyDescent="0.2">
      <c r="A44" s="31" t="s">
        <v>95</v>
      </c>
      <c r="B44" s="31" t="s">
        <v>29</v>
      </c>
      <c r="C44" s="31" t="s">
        <v>35</v>
      </c>
      <c r="D44" s="31">
        <v>4.8532000000000002</v>
      </c>
      <c r="E44" s="148">
        <v>355327794.1971488</v>
      </c>
      <c r="F44" s="43">
        <v>854127.9288579307</v>
      </c>
      <c r="G44" s="31">
        <v>0</v>
      </c>
      <c r="H44" s="31">
        <v>0</v>
      </c>
    </row>
    <row r="45" spans="1:8" x14ac:dyDescent="0.2">
      <c r="A45" s="31" t="s">
        <v>95</v>
      </c>
      <c r="B45" s="31" t="s">
        <v>31</v>
      </c>
      <c r="C45" s="31" t="s">
        <v>35</v>
      </c>
      <c r="D45" s="31">
        <v>3.57</v>
      </c>
      <c r="E45" s="148">
        <f>E44</f>
        <v>355327794.1971488</v>
      </c>
      <c r="F45" s="43">
        <f>F44</f>
        <v>854127.9288579307</v>
      </c>
      <c r="G45" s="31">
        <v>0</v>
      </c>
      <c r="H45" s="31">
        <v>0</v>
      </c>
    </row>
    <row r="46" spans="1:8" x14ac:dyDescent="0.2">
      <c r="A46" s="31" t="s">
        <v>95</v>
      </c>
      <c r="B46" s="31" t="s">
        <v>36</v>
      </c>
      <c r="C46" s="31" t="s">
        <v>35</v>
      </c>
      <c r="D46" s="31">
        <v>0.82504400000000011</v>
      </c>
      <c r="E46" s="148">
        <f>E25/F25*F46</f>
        <v>539041.38237270224</v>
      </c>
      <c r="F46" s="148">
        <v>4533.6883751365367</v>
      </c>
      <c r="G46" s="31">
        <v>0</v>
      </c>
      <c r="H46" s="31">
        <v>0</v>
      </c>
    </row>
    <row r="47" spans="1:8" x14ac:dyDescent="0.2">
      <c r="A47" s="31" t="s">
        <v>95</v>
      </c>
      <c r="B47" s="31" t="s">
        <v>37</v>
      </c>
      <c r="C47" s="31" t="s">
        <v>35</v>
      </c>
      <c r="D47" s="31">
        <v>0.6069</v>
      </c>
      <c r="E47" s="148">
        <f>E46</f>
        <v>539041.38237270224</v>
      </c>
      <c r="F47" s="150">
        <f>F46</f>
        <v>4533.6883751365367</v>
      </c>
      <c r="G47" s="31">
        <v>0</v>
      </c>
      <c r="H47" s="31">
        <v>0</v>
      </c>
    </row>
    <row r="48" spans="1:8" x14ac:dyDescent="0.2">
      <c r="A48" s="31" t="s">
        <v>38</v>
      </c>
      <c r="B48" s="31" t="s">
        <v>29</v>
      </c>
      <c r="C48" s="31" t="s">
        <v>30</v>
      </c>
      <c r="E48" s="148">
        <v>121483640.89527072</v>
      </c>
      <c r="F48" s="43">
        <v>225033.19018294194</v>
      </c>
    </row>
    <row r="49" spans="1:8" x14ac:dyDescent="0.2">
      <c r="A49" s="31" t="s">
        <v>38</v>
      </c>
      <c r="B49" s="31" t="s">
        <v>39</v>
      </c>
      <c r="C49" s="31" t="s">
        <v>30</v>
      </c>
      <c r="E49" s="148">
        <f>E48</f>
        <v>121483640.89527072</v>
      </c>
      <c r="F49" s="43">
        <f>F48</f>
        <v>225033.19018294194</v>
      </c>
    </row>
    <row r="50" spans="1:8" x14ac:dyDescent="0.2">
      <c r="A50" s="31" t="s">
        <v>38</v>
      </c>
      <c r="B50" s="31" t="s">
        <v>36</v>
      </c>
      <c r="C50" s="31" t="s">
        <v>35</v>
      </c>
      <c r="E50" s="148"/>
    </row>
    <row r="51" spans="1:8" x14ac:dyDescent="0.2">
      <c r="A51" s="31" t="s">
        <v>38</v>
      </c>
      <c r="B51" s="31" t="s">
        <v>40</v>
      </c>
      <c r="C51" s="31" t="s">
        <v>35</v>
      </c>
      <c r="E51" s="148"/>
    </row>
    <row r="52" spans="1:8" x14ac:dyDescent="0.2">
      <c r="A52" s="31" t="s">
        <v>42</v>
      </c>
      <c r="B52" s="31" t="s">
        <v>29</v>
      </c>
      <c r="C52" s="31" t="s">
        <v>30</v>
      </c>
      <c r="D52" s="31">
        <v>1.23E-2</v>
      </c>
      <c r="E52" s="148">
        <v>1946357.3976916517</v>
      </c>
      <c r="F52" s="31">
        <v>0</v>
      </c>
      <c r="G52" s="42">
        <f>G33</f>
        <v>1.0415000000000001</v>
      </c>
      <c r="H52" s="43">
        <f t="shared" ref="H52:H53" si="3">E52*G52</f>
        <v>2027131.2296958554</v>
      </c>
    </row>
    <row r="53" spans="1:8" x14ac:dyDescent="0.2">
      <c r="A53" s="31" t="s">
        <v>42</v>
      </c>
      <c r="B53" s="31" t="s">
        <v>31</v>
      </c>
      <c r="C53" s="31" t="s">
        <v>30</v>
      </c>
      <c r="D53" s="31">
        <v>9.4000000000000004E-3</v>
      </c>
      <c r="E53" s="148">
        <f>E52</f>
        <v>1946357.3976916517</v>
      </c>
      <c r="F53" s="31">
        <v>0</v>
      </c>
      <c r="G53" s="42">
        <f>G34</f>
        <v>1.0415000000000001</v>
      </c>
      <c r="H53" s="43">
        <f t="shared" si="3"/>
        <v>2027131.2296958554</v>
      </c>
    </row>
    <row r="54" spans="1:8" x14ac:dyDescent="0.2">
      <c r="A54" s="31" t="s">
        <v>43</v>
      </c>
      <c r="B54" s="31" t="s">
        <v>29</v>
      </c>
      <c r="C54" s="31" t="s">
        <v>35</v>
      </c>
      <c r="D54" s="31">
        <v>3.6781000000000001</v>
      </c>
      <c r="E54" s="148">
        <v>32072.390050082573</v>
      </c>
      <c r="F54" s="43">
        <v>94.092822393385603</v>
      </c>
      <c r="G54" s="31">
        <v>0</v>
      </c>
      <c r="H54" s="31">
        <v>0</v>
      </c>
    </row>
    <row r="55" spans="1:8" x14ac:dyDescent="0.2">
      <c r="A55" s="31" t="s">
        <v>43</v>
      </c>
      <c r="B55" s="31" t="s">
        <v>31</v>
      </c>
      <c r="C55" s="31" t="s">
        <v>35</v>
      </c>
      <c r="D55" s="31">
        <v>2.8176999999999999</v>
      </c>
      <c r="E55" s="148">
        <f>E54</f>
        <v>32072.390050082573</v>
      </c>
      <c r="F55" s="43">
        <f>F54</f>
        <v>94.092822393385603</v>
      </c>
      <c r="G55" s="31">
        <v>0</v>
      </c>
      <c r="H55" s="31">
        <v>0</v>
      </c>
    </row>
    <row r="56" spans="1:8" x14ac:dyDescent="0.2">
      <c r="A56" s="31" t="s">
        <v>44</v>
      </c>
      <c r="B56" s="31" t="s">
        <v>29</v>
      </c>
      <c r="C56" s="31" t="s">
        <v>35</v>
      </c>
      <c r="D56" s="31">
        <v>3.6602999999999999</v>
      </c>
      <c r="E56" s="148">
        <v>3895092.3168111197</v>
      </c>
      <c r="F56" s="43">
        <v>10319.947790490745</v>
      </c>
      <c r="G56" s="31">
        <v>0</v>
      </c>
      <c r="H56" s="31">
        <v>0</v>
      </c>
    </row>
    <row r="57" spans="1:8" x14ac:dyDescent="0.2">
      <c r="A57" s="31" t="s">
        <v>44</v>
      </c>
      <c r="B57" s="31" t="s">
        <v>31</v>
      </c>
      <c r="C57" s="31" t="s">
        <v>35</v>
      </c>
      <c r="D57" s="31">
        <v>2.76</v>
      </c>
      <c r="E57" s="148">
        <f>E56</f>
        <v>3895092.3168111197</v>
      </c>
      <c r="F57" s="43">
        <f>F56</f>
        <v>10319.947790490745</v>
      </c>
      <c r="G57" s="31">
        <v>0</v>
      </c>
      <c r="H57" s="31">
        <v>0</v>
      </c>
    </row>
    <row r="58" spans="1:8" x14ac:dyDescent="0.2">
      <c r="C58" s="44"/>
      <c r="D58" s="44"/>
    </row>
    <row r="59" spans="1:8" x14ac:dyDescent="0.2">
      <c r="C59" s="44"/>
      <c r="D59" s="44"/>
    </row>
  </sheetData>
  <mergeCells count="1">
    <mergeCell ref="A13:H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03E6D-72CA-416E-862B-96AEAC313ACD}">
  <dimension ref="A1:AZ59"/>
  <sheetViews>
    <sheetView topLeftCell="A13" workbookViewId="0">
      <selection activeCell="G17" sqref="G17:G38"/>
    </sheetView>
  </sheetViews>
  <sheetFormatPr defaultColWidth="13.7109375" defaultRowHeight="12.75" x14ac:dyDescent="0.2"/>
  <cols>
    <col min="1" max="1" width="65.28515625" style="31" customWidth="1"/>
    <col min="2" max="2" width="76" style="31" bestFit="1" customWidth="1"/>
    <col min="3" max="3" width="6.42578125" style="31" bestFit="1" customWidth="1"/>
    <col min="4" max="4" width="10.5703125" style="31" customWidth="1"/>
    <col min="5" max="5" width="18.28515625" style="31" customWidth="1"/>
    <col min="6" max="6" width="14" style="31" customWidth="1"/>
    <col min="7" max="7" width="13.7109375" style="31"/>
    <col min="8" max="8" width="14.5703125" style="31" customWidth="1"/>
    <col min="9" max="16384" width="13.7109375" style="31"/>
  </cols>
  <sheetData>
    <row r="1" spans="1:52" x14ac:dyDescent="0.2">
      <c r="AZ1" s="32">
        <v>1</v>
      </c>
    </row>
    <row r="13" spans="1:52" ht="33" customHeight="1" thickBot="1" x14ac:dyDescent="0.25">
      <c r="A13" s="249" t="s">
        <v>18</v>
      </c>
      <c r="B13" s="249"/>
      <c r="C13" s="249"/>
      <c r="D13" s="249"/>
      <c r="E13" s="249"/>
      <c r="F13" s="249"/>
      <c r="G13" s="249"/>
      <c r="H13" s="249"/>
      <c r="I13" s="33"/>
      <c r="J13" s="33"/>
      <c r="K13" s="33"/>
      <c r="L13" s="33"/>
    </row>
    <row r="14" spans="1:52" ht="18.75" thickBot="1" x14ac:dyDescent="0.3">
      <c r="A14" s="34" t="s">
        <v>19</v>
      </c>
      <c r="B14" s="35">
        <v>0.17</v>
      </c>
    </row>
    <row r="15" spans="1:52" ht="45" x14ac:dyDescent="0.25">
      <c r="A15" s="36" t="s">
        <v>20</v>
      </c>
      <c r="B15" s="36" t="s">
        <v>21</v>
      </c>
      <c r="C15" s="37" t="s">
        <v>22</v>
      </c>
      <c r="D15" s="38" t="s">
        <v>23</v>
      </c>
      <c r="E15" s="39" t="s">
        <v>24</v>
      </c>
      <c r="F15" s="39" t="s">
        <v>25</v>
      </c>
      <c r="G15" s="40" t="s">
        <v>26</v>
      </c>
      <c r="H15" s="41" t="s">
        <v>27</v>
      </c>
      <c r="I15" s="41"/>
    </row>
    <row r="16" spans="1:52" x14ac:dyDescent="0.2">
      <c r="D16" s="42"/>
      <c r="E16" s="43"/>
      <c r="F16" s="43"/>
      <c r="G16" s="42"/>
    </row>
    <row r="17" spans="1:8" x14ac:dyDescent="0.2">
      <c r="A17" s="31" t="s">
        <v>28</v>
      </c>
      <c r="B17" s="31" t="s">
        <v>29</v>
      </c>
      <c r="C17" s="44" t="s">
        <v>30</v>
      </c>
      <c r="D17" s="45">
        <v>1.1299999999999999E-2</v>
      </c>
      <c r="E17" s="46">
        <v>1610606554.0853345</v>
      </c>
      <c r="F17" s="46">
        <v>0</v>
      </c>
      <c r="G17" s="47">
        <v>1.0415000000000001</v>
      </c>
      <c r="H17" s="43">
        <f>E17*G17</f>
        <v>1677446726.0798762</v>
      </c>
    </row>
    <row r="18" spans="1:8" x14ac:dyDescent="0.2">
      <c r="A18" s="31" t="s">
        <v>28</v>
      </c>
      <c r="B18" s="31" t="s">
        <v>31</v>
      </c>
      <c r="C18" s="44" t="s">
        <v>30</v>
      </c>
      <c r="D18" s="45">
        <v>7.7000000000000002E-3</v>
      </c>
      <c r="E18" s="46">
        <f>E17</f>
        <v>1610606554.0853345</v>
      </c>
      <c r="F18" s="46">
        <v>0</v>
      </c>
      <c r="G18" s="47">
        <f>G17</f>
        <v>1.0415000000000001</v>
      </c>
      <c r="H18" s="43">
        <f t="shared" ref="H18:H22" si="0">E18*G18</f>
        <v>1677446726.0798762</v>
      </c>
    </row>
    <row r="19" spans="1:8" x14ac:dyDescent="0.2">
      <c r="A19" s="31" t="s">
        <v>32</v>
      </c>
      <c r="B19" s="31" t="s">
        <v>29</v>
      </c>
      <c r="C19" s="44" t="s">
        <v>30</v>
      </c>
      <c r="D19" s="45">
        <v>1.18E-2</v>
      </c>
      <c r="E19" s="46">
        <v>14035998.008814186</v>
      </c>
      <c r="F19" s="46">
        <v>0</v>
      </c>
      <c r="G19" s="47">
        <v>1.0415000000000001</v>
      </c>
      <c r="H19" s="43">
        <f t="shared" si="0"/>
        <v>14618491.926179975</v>
      </c>
    </row>
    <row r="20" spans="1:8" x14ac:dyDescent="0.2">
      <c r="A20" s="31" t="s">
        <v>32</v>
      </c>
      <c r="B20" s="31" t="s">
        <v>31</v>
      </c>
      <c r="C20" s="44" t="s">
        <v>30</v>
      </c>
      <c r="D20" s="45">
        <v>9.9000000000000008E-3</v>
      </c>
      <c r="E20" s="46">
        <f>E19</f>
        <v>14035998.008814186</v>
      </c>
      <c r="F20" s="46">
        <v>0</v>
      </c>
      <c r="G20" s="47">
        <f>G19</f>
        <v>1.0415000000000001</v>
      </c>
      <c r="H20" s="43">
        <f t="shared" si="0"/>
        <v>14618491.926179975</v>
      </c>
    </row>
    <row r="21" spans="1:8" x14ac:dyDescent="0.2">
      <c r="A21" s="31" t="s">
        <v>33</v>
      </c>
      <c r="B21" s="31" t="s">
        <v>29</v>
      </c>
      <c r="C21" s="44" t="s">
        <v>30</v>
      </c>
      <c r="D21" s="45">
        <v>1.03E-2</v>
      </c>
      <c r="E21" s="46">
        <v>375831277.10050917</v>
      </c>
      <c r="F21" s="46">
        <v>0</v>
      </c>
      <c r="G21" s="47">
        <v>1.0415000000000001</v>
      </c>
      <c r="H21" s="43">
        <f t="shared" si="0"/>
        <v>391428275.10018033</v>
      </c>
    </row>
    <row r="22" spans="1:8" x14ac:dyDescent="0.2">
      <c r="A22" s="31" t="s">
        <v>33</v>
      </c>
      <c r="B22" s="31" t="s">
        <v>31</v>
      </c>
      <c r="C22" s="44" t="s">
        <v>30</v>
      </c>
      <c r="D22" s="45">
        <v>7.1999999999999998E-3</v>
      </c>
      <c r="E22" s="46">
        <f>E21</f>
        <v>375831277.10050917</v>
      </c>
      <c r="F22" s="46">
        <v>0</v>
      </c>
      <c r="G22" s="47">
        <f>G21</f>
        <v>1.0415000000000001</v>
      </c>
      <c r="H22" s="43">
        <f t="shared" si="0"/>
        <v>391428275.10018033</v>
      </c>
    </row>
    <row r="23" spans="1:8" x14ac:dyDescent="0.2">
      <c r="A23" s="31" t="s">
        <v>34</v>
      </c>
      <c r="B23" s="31" t="s">
        <v>29</v>
      </c>
      <c r="C23" s="44" t="s">
        <v>35</v>
      </c>
      <c r="D23" s="45">
        <v>5.0382999999999996</v>
      </c>
      <c r="E23" s="48">
        <v>1380886734.2877371</v>
      </c>
      <c r="F23" s="49">
        <v>3335041.9128304431</v>
      </c>
      <c r="G23" s="42"/>
    </row>
    <row r="24" spans="1:8" x14ac:dyDescent="0.2">
      <c r="A24" s="31" t="s">
        <v>34</v>
      </c>
      <c r="B24" s="31" t="s">
        <v>31</v>
      </c>
      <c r="C24" s="44" t="s">
        <v>35</v>
      </c>
      <c r="D24" s="45">
        <v>3.3349000000000002</v>
      </c>
      <c r="E24" s="50">
        <f>E23</f>
        <v>1380886734.2877371</v>
      </c>
      <c r="F24" s="51">
        <f>F23</f>
        <v>3335041.9128304431</v>
      </c>
      <c r="G24" s="42"/>
    </row>
    <row r="25" spans="1:8" x14ac:dyDescent="0.2">
      <c r="A25" s="31" t="s">
        <v>34</v>
      </c>
      <c r="B25" s="31" t="s">
        <v>36</v>
      </c>
      <c r="C25" s="44" t="s">
        <v>35</v>
      </c>
      <c r="D25" s="45">
        <f>D23*$B$14</f>
        <v>0.85651100000000002</v>
      </c>
      <c r="E25" s="52">
        <f>'3. RRR Data 2027'!E25/'3. RRR Data 2027'!F25*'3. RRR Data 2028'!F25</f>
        <v>2991213.9670354971</v>
      </c>
      <c r="F25" s="53">
        <v>25158.053599154682</v>
      </c>
      <c r="G25" s="42"/>
    </row>
    <row r="26" spans="1:8" x14ac:dyDescent="0.2">
      <c r="A26" s="31" t="s">
        <v>34</v>
      </c>
      <c r="B26" s="31" t="s">
        <v>37</v>
      </c>
      <c r="C26" s="44" t="s">
        <v>35</v>
      </c>
      <c r="D26" s="45">
        <f>D24*$B$14</f>
        <v>0.56693300000000002</v>
      </c>
      <c r="E26" s="48">
        <f>E25</f>
        <v>2991213.9670354971</v>
      </c>
      <c r="F26" s="49">
        <f>F25</f>
        <v>25158.053599154682</v>
      </c>
      <c r="G26" s="42"/>
    </row>
    <row r="27" spans="1:8" x14ac:dyDescent="0.2">
      <c r="A27" s="31" t="s">
        <v>38</v>
      </c>
      <c r="B27" s="31" t="s">
        <v>29</v>
      </c>
      <c r="C27" s="44" t="s">
        <v>35</v>
      </c>
      <c r="D27" s="45">
        <v>5.5510000000000002</v>
      </c>
      <c r="E27" s="48">
        <v>321145352.97253454</v>
      </c>
      <c r="F27" s="49">
        <v>663860.07872149907</v>
      </c>
      <c r="G27" s="42"/>
    </row>
    <row r="28" spans="1:8" x14ac:dyDescent="0.2">
      <c r="A28" s="31" t="s">
        <v>38</v>
      </c>
      <c r="B28" s="31" t="s">
        <v>39</v>
      </c>
      <c r="C28" s="44" t="s">
        <v>35</v>
      </c>
      <c r="D28" s="45">
        <v>3.6625000000000001</v>
      </c>
      <c r="E28" s="50">
        <f>E27</f>
        <v>321145352.97253454</v>
      </c>
      <c r="F28" s="51">
        <f>F27</f>
        <v>663860.07872149907</v>
      </c>
      <c r="G28" s="42"/>
    </row>
    <row r="29" spans="1:8" x14ac:dyDescent="0.2">
      <c r="A29" s="31" t="s">
        <v>38</v>
      </c>
      <c r="B29" s="31" t="s">
        <v>36</v>
      </c>
      <c r="C29" s="44" t="s">
        <v>35</v>
      </c>
      <c r="D29" s="45">
        <f>D27*$B$14</f>
        <v>0.94367000000000012</v>
      </c>
      <c r="E29" s="52">
        <v>0</v>
      </c>
      <c r="F29" s="53">
        <v>0</v>
      </c>
      <c r="G29" s="42"/>
    </row>
    <row r="30" spans="1:8" x14ac:dyDescent="0.2">
      <c r="A30" s="31" t="s">
        <v>38</v>
      </c>
      <c r="B30" s="31" t="s">
        <v>40</v>
      </c>
      <c r="C30" s="44" t="s">
        <v>35</v>
      </c>
      <c r="D30" s="45">
        <f>D28*$B$14</f>
        <v>0.6226250000000001</v>
      </c>
      <c r="E30" s="50">
        <f>E29</f>
        <v>0</v>
      </c>
      <c r="F30" s="51">
        <v>0</v>
      </c>
      <c r="G30" s="42"/>
    </row>
    <row r="31" spans="1:8" x14ac:dyDescent="0.2">
      <c r="A31" s="31" t="s">
        <v>41</v>
      </c>
      <c r="B31" s="31" t="s">
        <v>29</v>
      </c>
      <c r="C31" s="44" t="s">
        <v>35</v>
      </c>
      <c r="D31" s="45">
        <v>5.5510000000000002</v>
      </c>
      <c r="E31" s="46">
        <v>501277598.92863512</v>
      </c>
      <c r="F31" s="46">
        <v>866937.22022196359</v>
      </c>
      <c r="G31" s="42"/>
    </row>
    <row r="32" spans="1:8" x14ac:dyDescent="0.2">
      <c r="A32" s="31" t="s">
        <v>41</v>
      </c>
      <c r="B32" s="31" t="s">
        <v>39</v>
      </c>
      <c r="C32" s="44" t="s">
        <v>35</v>
      </c>
      <c r="D32" s="45">
        <v>3.6625000000000001</v>
      </c>
      <c r="E32" s="46">
        <f>E31</f>
        <v>501277598.92863512</v>
      </c>
      <c r="F32" s="46">
        <f>F31</f>
        <v>866937.22022196359</v>
      </c>
      <c r="G32" s="42"/>
    </row>
    <row r="33" spans="1:8" x14ac:dyDescent="0.2">
      <c r="A33" s="31" t="s">
        <v>42</v>
      </c>
      <c r="B33" s="31" t="s">
        <v>29</v>
      </c>
      <c r="C33" s="44" t="s">
        <v>30</v>
      </c>
      <c r="D33" s="45">
        <v>1.03E-2</v>
      </c>
      <c r="E33" s="46">
        <v>6338277.6406470798</v>
      </c>
      <c r="F33" s="46">
        <v>0</v>
      </c>
      <c r="G33" s="47">
        <v>1.0415000000000001</v>
      </c>
      <c r="H33" s="43">
        <f t="shared" ref="H33:H34" si="1">E33*G33</f>
        <v>6601316.1627339339</v>
      </c>
    </row>
    <row r="34" spans="1:8" x14ac:dyDescent="0.2">
      <c r="A34" s="31" t="s">
        <v>42</v>
      </c>
      <c r="B34" s="31" t="s">
        <v>31</v>
      </c>
      <c r="C34" s="44" t="s">
        <v>30</v>
      </c>
      <c r="D34" s="45">
        <v>7.1999999999999998E-3</v>
      </c>
      <c r="E34" s="46">
        <f>E33</f>
        <v>6338277.6406470798</v>
      </c>
      <c r="F34" s="46">
        <v>0</v>
      </c>
      <c r="G34" s="47">
        <f>G33</f>
        <v>1.0415000000000001</v>
      </c>
      <c r="H34" s="43">
        <f t="shared" si="1"/>
        <v>6601316.1627339339</v>
      </c>
    </row>
    <row r="35" spans="1:8" x14ac:dyDescent="0.2">
      <c r="A35" s="31" t="s">
        <v>43</v>
      </c>
      <c r="B35" s="31" t="s">
        <v>29</v>
      </c>
      <c r="C35" s="44" t="s">
        <v>35</v>
      </c>
      <c r="D35" s="45">
        <v>3.1425999999999998</v>
      </c>
      <c r="E35" s="46">
        <v>234924.03774205741</v>
      </c>
      <c r="F35" s="46">
        <v>656.84709227034318</v>
      </c>
      <c r="G35" s="42"/>
    </row>
    <row r="36" spans="1:8" x14ac:dyDescent="0.2">
      <c r="A36" s="31" t="s">
        <v>43</v>
      </c>
      <c r="B36" s="31" t="s">
        <v>31</v>
      </c>
      <c r="C36" s="44" t="s">
        <v>35</v>
      </c>
      <c r="D36" s="45">
        <v>2.0966999999999998</v>
      </c>
      <c r="E36" s="46">
        <f>E35</f>
        <v>234924.03774205741</v>
      </c>
      <c r="F36" s="46">
        <f>F35</f>
        <v>656.84709227034318</v>
      </c>
      <c r="G36" s="42"/>
    </row>
    <row r="37" spans="1:8" x14ac:dyDescent="0.2">
      <c r="A37" s="31" t="s">
        <v>44</v>
      </c>
      <c r="B37" s="31" t="s">
        <v>29</v>
      </c>
      <c r="C37" s="44" t="s">
        <v>35</v>
      </c>
      <c r="D37" s="45">
        <v>3.3089</v>
      </c>
      <c r="E37" s="46">
        <v>16610958.930065624</v>
      </c>
      <c r="F37" s="46">
        <v>44203.689722153795</v>
      </c>
      <c r="G37" s="42"/>
    </row>
    <row r="38" spans="1:8" x14ac:dyDescent="0.2">
      <c r="A38" s="31" t="s">
        <v>44</v>
      </c>
      <c r="B38" s="31" t="s">
        <v>31</v>
      </c>
      <c r="C38" s="44" t="s">
        <v>35</v>
      </c>
      <c r="D38" s="45">
        <v>2.1909000000000001</v>
      </c>
      <c r="E38" s="46">
        <f>E37</f>
        <v>16610958.930065624</v>
      </c>
      <c r="F38" s="46">
        <f>F37</f>
        <v>44203.689722153795</v>
      </c>
      <c r="G38" s="42"/>
    </row>
    <row r="39" spans="1:8" x14ac:dyDescent="0.2">
      <c r="C39" s="44"/>
      <c r="D39" s="45"/>
      <c r="E39" s="46"/>
      <c r="F39" s="46"/>
      <c r="G39" s="42"/>
    </row>
    <row r="40" spans="1:8" x14ac:dyDescent="0.2">
      <c r="E40" s="43"/>
      <c r="G40" s="42"/>
      <c r="H40" s="43"/>
    </row>
    <row r="41" spans="1:8" x14ac:dyDescent="0.2">
      <c r="E41" s="148"/>
      <c r="G41" s="42"/>
      <c r="H41" s="43"/>
    </row>
    <row r="42" spans="1:8" x14ac:dyDescent="0.2">
      <c r="E42" s="148"/>
      <c r="G42" s="42"/>
      <c r="H42" s="43"/>
    </row>
    <row r="43" spans="1:8" x14ac:dyDescent="0.2">
      <c r="E43" s="148"/>
      <c r="G43" s="42"/>
      <c r="H43" s="43"/>
    </row>
    <row r="44" spans="1:8" x14ac:dyDescent="0.2">
      <c r="E44" s="148"/>
      <c r="F44" s="43"/>
    </row>
    <row r="45" spans="1:8" x14ac:dyDescent="0.2">
      <c r="E45" s="148"/>
      <c r="F45" s="43"/>
    </row>
    <row r="46" spans="1:8" x14ac:dyDescent="0.2">
      <c r="E46" s="148"/>
    </row>
    <row r="47" spans="1:8" x14ac:dyDescent="0.2">
      <c r="E47" s="148"/>
    </row>
    <row r="48" spans="1:8" x14ac:dyDescent="0.2">
      <c r="E48" s="148"/>
      <c r="F48" s="43"/>
    </row>
    <row r="49" spans="3:8" x14ac:dyDescent="0.2">
      <c r="E49" s="148"/>
      <c r="F49" s="43"/>
    </row>
    <row r="50" spans="3:8" x14ac:dyDescent="0.2">
      <c r="E50" s="148"/>
    </row>
    <row r="51" spans="3:8" x14ac:dyDescent="0.2">
      <c r="E51" s="148"/>
    </row>
    <row r="52" spans="3:8" x14ac:dyDescent="0.2">
      <c r="E52" s="148"/>
      <c r="G52" s="42"/>
      <c r="H52" s="43"/>
    </row>
    <row r="53" spans="3:8" x14ac:dyDescent="0.2">
      <c r="E53" s="148"/>
      <c r="G53" s="42"/>
      <c r="H53" s="43"/>
    </row>
    <row r="54" spans="3:8" x14ac:dyDescent="0.2">
      <c r="E54" s="148"/>
      <c r="F54" s="43"/>
    </row>
    <row r="55" spans="3:8" x14ac:dyDescent="0.2">
      <c r="E55" s="148"/>
      <c r="F55" s="43"/>
    </row>
    <row r="56" spans="3:8" x14ac:dyDescent="0.2">
      <c r="E56" s="148"/>
      <c r="F56" s="43"/>
    </row>
    <row r="57" spans="3:8" x14ac:dyDescent="0.2">
      <c r="E57" s="148"/>
      <c r="F57" s="43"/>
    </row>
    <row r="58" spans="3:8" x14ac:dyDescent="0.2">
      <c r="C58" s="44"/>
      <c r="D58" s="44"/>
    </row>
    <row r="59" spans="3:8" x14ac:dyDescent="0.2">
      <c r="C59" s="44"/>
      <c r="D59" s="44"/>
    </row>
  </sheetData>
  <mergeCells count="1">
    <mergeCell ref="A13:H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63375-8AB5-48B7-99F2-0ED4A404BB87}">
  <dimension ref="A1:AZ59"/>
  <sheetViews>
    <sheetView topLeftCell="A14" workbookViewId="0">
      <selection activeCell="A44" sqref="A44"/>
    </sheetView>
  </sheetViews>
  <sheetFormatPr defaultColWidth="13.7109375" defaultRowHeight="12.75" x14ac:dyDescent="0.2"/>
  <cols>
    <col min="1" max="1" width="65.28515625" style="31" customWidth="1"/>
    <col min="2" max="2" width="76" style="31" bestFit="1" customWidth="1"/>
    <col min="3" max="3" width="6.42578125" style="31" bestFit="1" customWidth="1"/>
    <col min="4" max="4" width="10.5703125" style="31" customWidth="1"/>
    <col min="5" max="5" width="18.28515625" style="31" customWidth="1"/>
    <col min="6" max="6" width="14" style="31" customWidth="1"/>
    <col min="7" max="7" width="13.7109375" style="31"/>
    <col min="8" max="8" width="14.5703125" style="31" customWidth="1"/>
    <col min="9" max="16384" width="13.7109375" style="31"/>
  </cols>
  <sheetData>
    <row r="1" spans="1:52" x14ac:dyDescent="0.2">
      <c r="AZ1" s="32">
        <v>1</v>
      </c>
    </row>
    <row r="13" spans="1:52" ht="33" customHeight="1" thickBot="1" x14ac:dyDescent="0.25">
      <c r="A13" s="249" t="s">
        <v>18</v>
      </c>
      <c r="B13" s="249"/>
      <c r="C13" s="249"/>
      <c r="D13" s="249"/>
      <c r="E13" s="249"/>
      <c r="F13" s="249"/>
      <c r="G13" s="249"/>
      <c r="H13" s="249"/>
      <c r="I13" s="33"/>
      <c r="J13" s="33"/>
      <c r="K13" s="33"/>
      <c r="L13" s="33"/>
    </row>
    <row r="14" spans="1:52" ht="18.75" thickBot="1" x14ac:dyDescent="0.3">
      <c r="A14" s="34" t="s">
        <v>19</v>
      </c>
      <c r="B14" s="35">
        <v>0.17</v>
      </c>
    </row>
    <row r="15" spans="1:52" ht="45" x14ac:dyDescent="0.25">
      <c r="A15" s="36" t="s">
        <v>20</v>
      </c>
      <c r="B15" s="36" t="s">
        <v>21</v>
      </c>
      <c r="C15" s="37" t="s">
        <v>22</v>
      </c>
      <c r="D15" s="38" t="s">
        <v>23</v>
      </c>
      <c r="E15" s="39" t="s">
        <v>24</v>
      </c>
      <c r="F15" s="39" t="s">
        <v>25</v>
      </c>
      <c r="G15" s="40" t="s">
        <v>26</v>
      </c>
      <c r="H15" s="41" t="s">
        <v>27</v>
      </c>
      <c r="I15" s="41"/>
    </row>
    <row r="16" spans="1:52" x14ac:dyDescent="0.2">
      <c r="D16" s="42"/>
      <c r="E16" s="43"/>
      <c r="F16" s="43"/>
      <c r="G16" s="42"/>
    </row>
    <row r="17" spans="1:8" x14ac:dyDescent="0.2">
      <c r="A17" s="31" t="s">
        <v>28</v>
      </c>
      <c r="B17" s="31" t="s">
        <v>29</v>
      </c>
      <c r="C17" s="44" t="s">
        <v>30</v>
      </c>
      <c r="D17" s="45">
        <v>1.1299999999999999E-2</v>
      </c>
      <c r="E17" s="46">
        <v>1641331700.1724854</v>
      </c>
      <c r="F17" s="46">
        <v>0</v>
      </c>
      <c r="G17" s="47">
        <v>1.0415000000000001</v>
      </c>
      <c r="H17" s="43">
        <f>E17*G17</f>
        <v>1709446965.7296436</v>
      </c>
    </row>
    <row r="18" spans="1:8" x14ac:dyDescent="0.2">
      <c r="A18" s="31" t="s">
        <v>28</v>
      </c>
      <c r="B18" s="31" t="s">
        <v>31</v>
      </c>
      <c r="C18" s="44" t="s">
        <v>30</v>
      </c>
      <c r="D18" s="45">
        <v>7.7000000000000002E-3</v>
      </c>
      <c r="E18" s="46">
        <f>E17</f>
        <v>1641331700.1724854</v>
      </c>
      <c r="F18" s="46">
        <v>0</v>
      </c>
      <c r="G18" s="47">
        <f>G17</f>
        <v>1.0415000000000001</v>
      </c>
      <c r="H18" s="43">
        <f t="shared" ref="H18:H22" si="0">E18*G18</f>
        <v>1709446965.7296436</v>
      </c>
    </row>
    <row r="19" spans="1:8" x14ac:dyDescent="0.2">
      <c r="A19" s="31" t="s">
        <v>32</v>
      </c>
      <c r="B19" s="31" t="s">
        <v>29</v>
      </c>
      <c r="C19" s="44" t="s">
        <v>30</v>
      </c>
      <c r="D19" s="45">
        <v>1.18E-2</v>
      </c>
      <c r="E19" s="46">
        <v>14476769.158850323</v>
      </c>
      <c r="F19" s="46">
        <v>0</v>
      </c>
      <c r="G19" s="47">
        <v>1.0415000000000001</v>
      </c>
      <c r="H19" s="43">
        <f t="shared" si="0"/>
        <v>15077555.078942614</v>
      </c>
    </row>
    <row r="20" spans="1:8" x14ac:dyDescent="0.2">
      <c r="A20" s="31" t="s">
        <v>32</v>
      </c>
      <c r="B20" s="31" t="s">
        <v>31</v>
      </c>
      <c r="C20" s="44" t="s">
        <v>30</v>
      </c>
      <c r="D20" s="45">
        <v>9.9000000000000008E-3</v>
      </c>
      <c r="E20" s="46">
        <f>E19</f>
        <v>14476769.158850323</v>
      </c>
      <c r="F20" s="46">
        <v>0</v>
      </c>
      <c r="G20" s="47">
        <f>G19</f>
        <v>1.0415000000000001</v>
      </c>
      <c r="H20" s="43">
        <f t="shared" si="0"/>
        <v>15077555.078942614</v>
      </c>
    </row>
    <row r="21" spans="1:8" x14ac:dyDescent="0.2">
      <c r="A21" s="31" t="s">
        <v>33</v>
      </c>
      <c r="B21" s="31" t="s">
        <v>29</v>
      </c>
      <c r="C21" s="44" t="s">
        <v>30</v>
      </c>
      <c r="D21" s="45">
        <v>1.03E-2</v>
      </c>
      <c r="E21" s="46">
        <v>376353639.19765615</v>
      </c>
      <c r="F21" s="46">
        <v>0</v>
      </c>
      <c r="G21" s="47">
        <v>1.0415000000000001</v>
      </c>
      <c r="H21" s="43">
        <f t="shared" si="0"/>
        <v>391972315.22435892</v>
      </c>
    </row>
    <row r="22" spans="1:8" x14ac:dyDescent="0.2">
      <c r="A22" s="31" t="s">
        <v>33</v>
      </c>
      <c r="B22" s="31" t="s">
        <v>31</v>
      </c>
      <c r="C22" s="44" t="s">
        <v>30</v>
      </c>
      <c r="D22" s="45">
        <v>7.1999999999999998E-3</v>
      </c>
      <c r="E22" s="46">
        <f>E21</f>
        <v>376353639.19765615</v>
      </c>
      <c r="F22" s="46">
        <v>0</v>
      </c>
      <c r="G22" s="47">
        <f>G21</f>
        <v>1.0415000000000001</v>
      </c>
      <c r="H22" s="43">
        <f t="shared" si="0"/>
        <v>391972315.22435892</v>
      </c>
    </row>
    <row r="23" spans="1:8" x14ac:dyDescent="0.2">
      <c r="A23" s="31" t="s">
        <v>34</v>
      </c>
      <c r="B23" s="31" t="s">
        <v>29</v>
      </c>
      <c r="C23" s="44" t="s">
        <v>35</v>
      </c>
      <c r="D23" s="45">
        <v>5.0382999999999996</v>
      </c>
      <c r="E23" s="48">
        <v>1388503736.3965275</v>
      </c>
      <c r="F23" s="49">
        <v>3367387.7509962656</v>
      </c>
      <c r="G23" s="42"/>
    </row>
    <row r="24" spans="1:8" x14ac:dyDescent="0.2">
      <c r="A24" s="31" t="s">
        <v>34</v>
      </c>
      <c r="B24" s="31" t="s">
        <v>31</v>
      </c>
      <c r="C24" s="44" t="s">
        <v>35</v>
      </c>
      <c r="D24" s="45">
        <v>3.3349000000000002</v>
      </c>
      <c r="E24" s="50">
        <f>E23</f>
        <v>1388503736.3965275</v>
      </c>
      <c r="F24" s="51">
        <f>F23</f>
        <v>3367387.7509962656</v>
      </c>
      <c r="G24" s="42"/>
    </row>
    <row r="25" spans="1:8" x14ac:dyDescent="0.2">
      <c r="A25" s="31" t="s">
        <v>34</v>
      </c>
      <c r="B25" s="31" t="s">
        <v>36</v>
      </c>
      <c r="C25" s="44" t="s">
        <v>35</v>
      </c>
      <c r="D25" s="45">
        <f>D23*$B$14</f>
        <v>0.85651100000000002</v>
      </c>
      <c r="E25" s="52">
        <f>'3. RRR Data 2027'!E25/'3. RRR Data 2027'!F25*'3. RRR Data 2028'!F25</f>
        <v>2991213.9670354971</v>
      </c>
      <c r="F25" s="53">
        <v>30937.373638579218</v>
      </c>
      <c r="G25" s="42"/>
    </row>
    <row r="26" spans="1:8" x14ac:dyDescent="0.2">
      <c r="A26" s="31" t="s">
        <v>34</v>
      </c>
      <c r="B26" s="31" t="s">
        <v>37</v>
      </c>
      <c r="C26" s="44" t="s">
        <v>35</v>
      </c>
      <c r="D26" s="45">
        <f>D24*$B$14</f>
        <v>0.56693300000000002</v>
      </c>
      <c r="E26" s="48">
        <f>E25</f>
        <v>2991213.9670354971</v>
      </c>
      <c r="F26" s="49">
        <f>F25</f>
        <v>30937.373638579218</v>
      </c>
      <c r="G26" s="42"/>
    </row>
    <row r="27" spans="1:8" x14ac:dyDescent="0.2">
      <c r="A27" s="31" t="s">
        <v>38</v>
      </c>
      <c r="B27" s="31" t="s">
        <v>29</v>
      </c>
      <c r="C27" s="44" t="s">
        <v>35</v>
      </c>
      <c r="D27" s="45">
        <v>5.5510000000000002</v>
      </c>
      <c r="E27" s="48">
        <v>329918802.46772367</v>
      </c>
      <c r="F27" s="49">
        <v>685951.7162830272</v>
      </c>
      <c r="G27" s="42"/>
    </row>
    <row r="28" spans="1:8" x14ac:dyDescent="0.2">
      <c r="A28" s="31" t="s">
        <v>38</v>
      </c>
      <c r="B28" s="31" t="s">
        <v>39</v>
      </c>
      <c r="C28" s="44" t="s">
        <v>35</v>
      </c>
      <c r="D28" s="45">
        <v>3.6625000000000001</v>
      </c>
      <c r="E28" s="50">
        <f>E27</f>
        <v>329918802.46772367</v>
      </c>
      <c r="F28" s="51">
        <f>F27</f>
        <v>685951.7162830272</v>
      </c>
      <c r="G28" s="42"/>
    </row>
    <row r="29" spans="1:8" x14ac:dyDescent="0.2">
      <c r="A29" s="31" t="s">
        <v>38</v>
      </c>
      <c r="B29" s="31" t="s">
        <v>36</v>
      </c>
      <c r="C29" s="44" t="s">
        <v>35</v>
      </c>
      <c r="D29" s="45">
        <f>D27*$B$14</f>
        <v>0.94367000000000012</v>
      </c>
      <c r="E29" s="52">
        <v>0</v>
      </c>
      <c r="F29" s="53">
        <v>0</v>
      </c>
      <c r="G29" s="42"/>
    </row>
    <row r="30" spans="1:8" x14ac:dyDescent="0.2">
      <c r="A30" s="31" t="s">
        <v>38</v>
      </c>
      <c r="B30" s="31" t="s">
        <v>40</v>
      </c>
      <c r="C30" s="44" t="s">
        <v>35</v>
      </c>
      <c r="D30" s="45">
        <f>D28*$B$14</f>
        <v>0.6226250000000001</v>
      </c>
      <c r="E30" s="50">
        <f>E29</f>
        <v>0</v>
      </c>
      <c r="F30" s="51">
        <v>0</v>
      </c>
      <c r="G30" s="42"/>
    </row>
    <row r="31" spans="1:8" x14ac:dyDescent="0.2">
      <c r="A31" s="31" t="s">
        <v>41</v>
      </c>
      <c r="B31" s="31" t="s">
        <v>29</v>
      </c>
      <c r="C31" s="44" t="s">
        <v>35</v>
      </c>
      <c r="D31" s="45">
        <v>5.5510000000000002</v>
      </c>
      <c r="E31" s="46">
        <v>570944946.26759028</v>
      </c>
      <c r="F31" s="46">
        <v>994908.69007255079</v>
      </c>
      <c r="G31" s="42"/>
    </row>
    <row r="32" spans="1:8" x14ac:dyDescent="0.2">
      <c r="A32" s="31" t="s">
        <v>41</v>
      </c>
      <c r="B32" s="31" t="s">
        <v>39</v>
      </c>
      <c r="C32" s="44" t="s">
        <v>35</v>
      </c>
      <c r="D32" s="45">
        <v>3.6625000000000001</v>
      </c>
      <c r="E32" s="46">
        <f>E31</f>
        <v>570944946.26759028</v>
      </c>
      <c r="F32" s="46">
        <f>F31</f>
        <v>994908.69007255079</v>
      </c>
      <c r="G32" s="42"/>
    </row>
    <row r="33" spans="1:8" x14ac:dyDescent="0.2">
      <c r="A33" s="31" t="s">
        <v>42</v>
      </c>
      <c r="B33" s="31" t="s">
        <v>29</v>
      </c>
      <c r="C33" s="44" t="s">
        <v>30</v>
      </c>
      <c r="D33" s="45">
        <v>1.03E-2</v>
      </c>
      <c r="E33" s="46">
        <v>6287908.5442271214</v>
      </c>
      <c r="F33" s="46">
        <v>0</v>
      </c>
      <c r="G33" s="47">
        <v>1.0415000000000001</v>
      </c>
      <c r="H33" s="43">
        <f t="shared" ref="H33:H34" si="1">E33*G33</f>
        <v>6548856.7488125479</v>
      </c>
    </row>
    <row r="34" spans="1:8" x14ac:dyDescent="0.2">
      <c r="A34" s="31" t="s">
        <v>42</v>
      </c>
      <c r="B34" s="31" t="s">
        <v>31</v>
      </c>
      <c r="C34" s="44" t="s">
        <v>30</v>
      </c>
      <c r="D34" s="45">
        <v>7.1999999999999998E-3</v>
      </c>
      <c r="E34" s="46">
        <f>E33</f>
        <v>6287908.5442271214</v>
      </c>
      <c r="F34" s="46">
        <v>0</v>
      </c>
      <c r="G34" s="47">
        <f>G33</f>
        <v>1.0415000000000001</v>
      </c>
      <c r="H34" s="43">
        <f t="shared" si="1"/>
        <v>6548856.7488125479</v>
      </c>
    </row>
    <row r="35" spans="1:8" x14ac:dyDescent="0.2">
      <c r="A35" s="31" t="s">
        <v>43</v>
      </c>
      <c r="B35" s="31" t="s">
        <v>29</v>
      </c>
      <c r="C35" s="44" t="s">
        <v>35</v>
      </c>
      <c r="D35" s="45">
        <v>3.1425999999999998</v>
      </c>
      <c r="E35" s="46">
        <v>231930.05962108122</v>
      </c>
      <c r="F35" s="46">
        <v>648.61106870302569</v>
      </c>
      <c r="G35" s="42"/>
    </row>
    <row r="36" spans="1:8" x14ac:dyDescent="0.2">
      <c r="A36" s="31" t="s">
        <v>43</v>
      </c>
      <c r="B36" s="31" t="s">
        <v>31</v>
      </c>
      <c r="C36" s="44" t="s">
        <v>35</v>
      </c>
      <c r="D36" s="45">
        <v>2.0966999999999998</v>
      </c>
      <c r="E36" s="46">
        <f>E35</f>
        <v>231930.05962108122</v>
      </c>
      <c r="F36" s="46">
        <f>F35</f>
        <v>648.61106870302569</v>
      </c>
      <c r="G36" s="42"/>
    </row>
    <row r="37" spans="1:8" x14ac:dyDescent="0.2">
      <c r="A37" s="31" t="s">
        <v>44</v>
      </c>
      <c r="B37" s="31" t="s">
        <v>29</v>
      </c>
      <c r="C37" s="44" t="s">
        <v>35</v>
      </c>
      <c r="D37" s="45">
        <v>3.3089</v>
      </c>
      <c r="E37" s="46">
        <v>16806467.67506345</v>
      </c>
      <c r="F37" s="46">
        <v>44723.672843158871</v>
      </c>
      <c r="G37" s="42"/>
    </row>
    <row r="38" spans="1:8" x14ac:dyDescent="0.2">
      <c r="A38" s="31" t="s">
        <v>44</v>
      </c>
      <c r="B38" s="31" t="s">
        <v>31</v>
      </c>
      <c r="C38" s="44" t="s">
        <v>35</v>
      </c>
      <c r="D38" s="45">
        <v>2.1909000000000001</v>
      </c>
      <c r="E38" s="46">
        <f>E37</f>
        <v>16806467.67506345</v>
      </c>
      <c r="F38" s="46">
        <f>F37</f>
        <v>44723.672843158871</v>
      </c>
      <c r="G38" s="42"/>
    </row>
    <row r="39" spans="1:8" x14ac:dyDescent="0.2">
      <c r="C39" s="44"/>
      <c r="D39" s="45"/>
      <c r="E39" s="46"/>
      <c r="F39" s="46"/>
      <c r="G39" s="42"/>
    </row>
    <row r="40" spans="1:8" x14ac:dyDescent="0.2">
      <c r="E40" s="43"/>
      <c r="G40" s="42"/>
      <c r="H40" s="43"/>
    </row>
    <row r="41" spans="1:8" x14ac:dyDescent="0.2">
      <c r="E41" s="148"/>
      <c r="G41" s="42"/>
      <c r="H41" s="43"/>
    </row>
    <row r="42" spans="1:8" x14ac:dyDescent="0.2">
      <c r="E42" s="148"/>
      <c r="G42" s="42"/>
      <c r="H42" s="43"/>
    </row>
    <row r="43" spans="1:8" x14ac:dyDescent="0.2">
      <c r="E43" s="148"/>
      <c r="G43" s="42"/>
      <c r="H43" s="43"/>
    </row>
    <row r="44" spans="1:8" x14ac:dyDescent="0.2">
      <c r="E44" s="148"/>
      <c r="F44" s="43"/>
    </row>
    <row r="45" spans="1:8" x14ac:dyDescent="0.2">
      <c r="E45" s="148"/>
      <c r="F45" s="43"/>
    </row>
    <row r="46" spans="1:8" x14ac:dyDescent="0.2">
      <c r="E46" s="148"/>
    </row>
    <row r="47" spans="1:8" x14ac:dyDescent="0.2">
      <c r="E47" s="148"/>
    </row>
    <row r="48" spans="1:8" x14ac:dyDescent="0.2">
      <c r="C48" s="44"/>
      <c r="E48" s="148"/>
      <c r="F48" s="43"/>
    </row>
    <row r="49" spans="3:8" x14ac:dyDescent="0.2">
      <c r="C49" s="44"/>
      <c r="E49" s="148"/>
    </row>
    <row r="50" spans="3:8" x14ac:dyDescent="0.2">
      <c r="C50" s="44"/>
      <c r="E50" s="148"/>
    </row>
    <row r="51" spans="3:8" x14ac:dyDescent="0.2">
      <c r="C51" s="44"/>
      <c r="E51" s="148"/>
    </row>
    <row r="52" spans="3:8" x14ac:dyDescent="0.2">
      <c r="E52" s="148"/>
      <c r="G52" s="42"/>
      <c r="H52" s="43"/>
    </row>
    <row r="53" spans="3:8" x14ac:dyDescent="0.2">
      <c r="E53" s="148"/>
      <c r="G53" s="42"/>
      <c r="H53" s="43"/>
    </row>
    <row r="54" spans="3:8" x14ac:dyDescent="0.2">
      <c r="E54" s="148"/>
      <c r="F54" s="43"/>
    </row>
    <row r="55" spans="3:8" x14ac:dyDescent="0.2">
      <c r="E55" s="148"/>
      <c r="F55" s="43"/>
    </row>
    <row r="56" spans="3:8" x14ac:dyDescent="0.2">
      <c r="E56" s="148"/>
      <c r="F56" s="43"/>
    </row>
    <row r="57" spans="3:8" x14ac:dyDescent="0.2">
      <c r="E57" s="148"/>
      <c r="F57" s="43"/>
    </row>
    <row r="58" spans="3:8" x14ac:dyDescent="0.2">
      <c r="C58" s="44"/>
      <c r="D58" s="44"/>
    </row>
    <row r="59" spans="3:8" x14ac:dyDescent="0.2">
      <c r="C59" s="44"/>
      <c r="D59" s="44"/>
    </row>
  </sheetData>
  <mergeCells count="1">
    <mergeCell ref="A13:H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34CA-6B04-450B-BAFF-5EAB6DDAE950}">
  <dimension ref="A1:AZ55"/>
  <sheetViews>
    <sheetView topLeftCell="A13" workbookViewId="0">
      <selection activeCell="E25" sqref="E25"/>
    </sheetView>
  </sheetViews>
  <sheetFormatPr defaultColWidth="13.7109375" defaultRowHeight="12.75" x14ac:dyDescent="0.2"/>
  <cols>
    <col min="1" max="1" width="65.28515625" style="31" customWidth="1"/>
    <col min="2" max="2" width="76" style="31" bestFit="1" customWidth="1"/>
    <col min="3" max="3" width="6.42578125" style="31" bestFit="1" customWidth="1"/>
    <col min="4" max="4" width="10.5703125" style="31" customWidth="1"/>
    <col min="5" max="5" width="18.28515625" style="31" customWidth="1"/>
    <col min="6" max="6" width="14" style="31" customWidth="1"/>
    <col min="7" max="7" width="13.7109375" style="31"/>
    <col min="8" max="8" width="14.5703125" style="31" customWidth="1"/>
    <col min="9" max="16384" width="13.7109375" style="31"/>
  </cols>
  <sheetData>
    <row r="1" spans="1:52" x14ac:dyDescent="0.2">
      <c r="AZ1" s="32">
        <v>1</v>
      </c>
    </row>
    <row r="13" spans="1:52" ht="33" customHeight="1" thickBot="1" x14ac:dyDescent="0.25">
      <c r="A13" s="249" t="s">
        <v>18</v>
      </c>
      <c r="B13" s="249"/>
      <c r="C13" s="249"/>
      <c r="D13" s="249"/>
      <c r="E13" s="249"/>
      <c r="F13" s="249"/>
      <c r="G13" s="249"/>
      <c r="H13" s="249"/>
      <c r="I13" s="33"/>
      <c r="J13" s="33"/>
      <c r="K13" s="33"/>
      <c r="L13" s="33"/>
    </row>
    <row r="14" spans="1:52" ht="18.75" thickBot="1" x14ac:dyDescent="0.3">
      <c r="A14" s="34" t="s">
        <v>19</v>
      </c>
      <c r="B14" s="35">
        <v>0.17</v>
      </c>
    </row>
    <row r="15" spans="1:52" ht="45" x14ac:dyDescent="0.25">
      <c r="A15" s="36" t="s">
        <v>20</v>
      </c>
      <c r="B15" s="36" t="s">
        <v>21</v>
      </c>
      <c r="C15" s="37" t="s">
        <v>22</v>
      </c>
      <c r="D15" s="38" t="s">
        <v>23</v>
      </c>
      <c r="E15" s="39" t="s">
        <v>24</v>
      </c>
      <c r="F15" s="39" t="s">
        <v>25</v>
      </c>
      <c r="G15" s="40" t="s">
        <v>26</v>
      </c>
      <c r="H15" s="41" t="s">
        <v>27</v>
      </c>
      <c r="I15" s="41"/>
    </row>
    <row r="16" spans="1:52" x14ac:dyDescent="0.2">
      <c r="D16" s="42"/>
      <c r="E16" s="43"/>
      <c r="F16" s="43"/>
      <c r="G16" s="42"/>
    </row>
    <row r="17" spans="1:8" x14ac:dyDescent="0.2">
      <c r="A17" s="31" t="s">
        <v>28</v>
      </c>
      <c r="B17" s="31" t="s">
        <v>29</v>
      </c>
      <c r="C17" s="44" t="s">
        <v>30</v>
      </c>
      <c r="D17" s="45">
        <v>1.1299999999999999E-2</v>
      </c>
      <c r="E17" s="46">
        <v>1680304198.1259534</v>
      </c>
      <c r="F17" s="46">
        <v>0</v>
      </c>
      <c r="G17" s="47">
        <v>1.0415000000000001</v>
      </c>
      <c r="H17" s="43">
        <f>E17*G17</f>
        <v>1750036822.3481808</v>
      </c>
    </row>
    <row r="18" spans="1:8" x14ac:dyDescent="0.2">
      <c r="A18" s="31" t="s">
        <v>28</v>
      </c>
      <c r="B18" s="31" t="s">
        <v>31</v>
      </c>
      <c r="C18" s="44" t="s">
        <v>30</v>
      </c>
      <c r="D18" s="45">
        <v>7.7000000000000002E-3</v>
      </c>
      <c r="E18" s="46">
        <f>E17</f>
        <v>1680304198.1259534</v>
      </c>
      <c r="F18" s="46">
        <v>0</v>
      </c>
      <c r="G18" s="47">
        <f>G17</f>
        <v>1.0415000000000001</v>
      </c>
      <c r="H18" s="43">
        <f t="shared" ref="H18:H22" si="0">E18*G18</f>
        <v>1750036822.3481808</v>
      </c>
    </row>
    <row r="19" spans="1:8" x14ac:dyDescent="0.2">
      <c r="A19" s="31" t="s">
        <v>32</v>
      </c>
      <c r="B19" s="31" t="s">
        <v>29</v>
      </c>
      <c r="C19" s="44" t="s">
        <v>30</v>
      </c>
      <c r="D19" s="45">
        <v>1.18E-2</v>
      </c>
      <c r="E19" s="46">
        <v>14995359.212779585</v>
      </c>
      <c r="F19" s="46">
        <v>0</v>
      </c>
      <c r="G19" s="47">
        <v>1.0415000000000001</v>
      </c>
      <c r="H19" s="43">
        <f t="shared" si="0"/>
        <v>15617666.62010994</v>
      </c>
    </row>
    <row r="20" spans="1:8" x14ac:dyDescent="0.2">
      <c r="A20" s="31" t="s">
        <v>32</v>
      </c>
      <c r="B20" s="31" t="s">
        <v>31</v>
      </c>
      <c r="C20" s="44" t="s">
        <v>30</v>
      </c>
      <c r="D20" s="45">
        <v>9.9000000000000008E-3</v>
      </c>
      <c r="E20" s="46">
        <f>E19</f>
        <v>14995359.212779585</v>
      </c>
      <c r="F20" s="46">
        <v>0</v>
      </c>
      <c r="G20" s="47">
        <f>G19</f>
        <v>1.0415000000000001</v>
      </c>
      <c r="H20" s="43">
        <f t="shared" si="0"/>
        <v>15617666.62010994</v>
      </c>
    </row>
    <row r="21" spans="1:8" x14ac:dyDescent="0.2">
      <c r="A21" s="31" t="s">
        <v>33</v>
      </c>
      <c r="B21" s="31" t="s">
        <v>29</v>
      </c>
      <c r="C21" s="44" t="s">
        <v>30</v>
      </c>
      <c r="D21" s="45">
        <v>1.03E-2</v>
      </c>
      <c r="E21" s="46">
        <v>377216432.00193262</v>
      </c>
      <c r="F21" s="46">
        <v>0</v>
      </c>
      <c r="G21" s="47">
        <v>1.0415000000000001</v>
      </c>
      <c r="H21" s="43">
        <f t="shared" si="0"/>
        <v>392870913.93001288</v>
      </c>
    </row>
    <row r="22" spans="1:8" x14ac:dyDescent="0.2">
      <c r="A22" s="31" t="s">
        <v>33</v>
      </c>
      <c r="B22" s="31" t="s">
        <v>31</v>
      </c>
      <c r="C22" s="44" t="s">
        <v>30</v>
      </c>
      <c r="D22" s="45">
        <v>7.1999999999999998E-3</v>
      </c>
      <c r="E22" s="46">
        <f>E21</f>
        <v>377216432.00193262</v>
      </c>
      <c r="F22" s="46">
        <v>0</v>
      </c>
      <c r="G22" s="47">
        <f>G21</f>
        <v>1.0415000000000001</v>
      </c>
      <c r="H22" s="43">
        <f t="shared" si="0"/>
        <v>392870913.93001288</v>
      </c>
    </row>
    <row r="23" spans="1:8" x14ac:dyDescent="0.2">
      <c r="A23" s="31" t="s">
        <v>34</v>
      </c>
      <c r="B23" s="31" t="s">
        <v>29</v>
      </c>
      <c r="C23" s="44" t="s">
        <v>35</v>
      </c>
      <c r="D23" s="45">
        <v>5.0382999999999996</v>
      </c>
      <c r="E23" s="48">
        <v>1387974824.9599769</v>
      </c>
      <c r="F23" s="49">
        <v>3376924.3660485805</v>
      </c>
      <c r="G23" s="42"/>
    </row>
    <row r="24" spans="1:8" x14ac:dyDescent="0.2">
      <c r="A24" s="31" t="s">
        <v>34</v>
      </c>
      <c r="B24" s="31" t="s">
        <v>31</v>
      </c>
      <c r="C24" s="44" t="s">
        <v>35</v>
      </c>
      <c r="D24" s="45">
        <v>3.3349000000000002</v>
      </c>
      <c r="E24" s="50">
        <f>E23</f>
        <v>1387974824.9599769</v>
      </c>
      <c r="F24" s="51">
        <f>F23</f>
        <v>3376924.3660485805</v>
      </c>
      <c r="G24" s="42"/>
    </row>
    <row r="25" spans="1:8" x14ac:dyDescent="0.2">
      <c r="A25" s="31" t="s">
        <v>34</v>
      </c>
      <c r="B25" s="31" t="s">
        <v>36</v>
      </c>
      <c r="C25" s="44" t="s">
        <v>35</v>
      </c>
      <c r="D25" s="45">
        <f>D23*$B$14</f>
        <v>0.85651100000000002</v>
      </c>
      <c r="E25" s="52">
        <v>1436779</v>
      </c>
      <c r="F25" s="53">
        <v>37461.240867341046</v>
      </c>
      <c r="G25" s="42"/>
    </row>
    <row r="26" spans="1:8" x14ac:dyDescent="0.2">
      <c r="A26" s="31" t="s">
        <v>34</v>
      </c>
      <c r="B26" s="31" t="s">
        <v>37</v>
      </c>
      <c r="C26" s="44" t="s">
        <v>35</v>
      </c>
      <c r="D26" s="45">
        <f>D24*$B$14</f>
        <v>0.56693300000000002</v>
      </c>
      <c r="E26" s="48">
        <f>E25</f>
        <v>1436779</v>
      </c>
      <c r="F26" s="49">
        <f>F25</f>
        <v>37461.240867341046</v>
      </c>
      <c r="G26" s="42"/>
    </row>
    <row r="27" spans="1:8" x14ac:dyDescent="0.2">
      <c r="A27" s="31" t="s">
        <v>38</v>
      </c>
      <c r="B27" s="31" t="s">
        <v>29</v>
      </c>
      <c r="C27" s="44" t="s">
        <v>35</v>
      </c>
      <c r="D27" s="45">
        <v>5.5510000000000002</v>
      </c>
      <c r="E27" s="48">
        <v>342231261.79042077</v>
      </c>
      <c r="F27" s="49">
        <v>714881.78302287427</v>
      </c>
      <c r="G27" s="42"/>
    </row>
    <row r="28" spans="1:8" x14ac:dyDescent="0.2">
      <c r="A28" s="31" t="s">
        <v>38</v>
      </c>
      <c r="B28" s="31" t="s">
        <v>39</v>
      </c>
      <c r="C28" s="44" t="s">
        <v>35</v>
      </c>
      <c r="D28" s="45">
        <v>3.6625000000000001</v>
      </c>
      <c r="E28" s="50">
        <f>E27</f>
        <v>342231261.79042077</v>
      </c>
      <c r="F28" s="51">
        <f>F27</f>
        <v>714881.78302287427</v>
      </c>
      <c r="G28" s="42"/>
    </row>
    <row r="29" spans="1:8" x14ac:dyDescent="0.2">
      <c r="A29" s="31" t="s">
        <v>38</v>
      </c>
      <c r="B29" s="31" t="s">
        <v>36</v>
      </c>
      <c r="C29" s="44" t="s">
        <v>35</v>
      </c>
      <c r="D29" s="45">
        <f>D27*$B$14</f>
        <v>0.94367000000000012</v>
      </c>
      <c r="E29" s="52">
        <v>0</v>
      </c>
      <c r="F29" s="53">
        <v>0</v>
      </c>
      <c r="G29" s="42"/>
    </row>
    <row r="30" spans="1:8" x14ac:dyDescent="0.2">
      <c r="A30" s="31" t="s">
        <v>38</v>
      </c>
      <c r="B30" s="31" t="s">
        <v>40</v>
      </c>
      <c r="C30" s="44" t="s">
        <v>35</v>
      </c>
      <c r="D30" s="45">
        <f>D28*$B$14</f>
        <v>0.6226250000000001</v>
      </c>
      <c r="E30" s="50">
        <f>E29</f>
        <v>0</v>
      </c>
      <c r="F30" s="51">
        <v>0</v>
      </c>
      <c r="G30" s="42"/>
    </row>
    <row r="31" spans="1:8" x14ac:dyDescent="0.2">
      <c r="A31" s="31" t="s">
        <v>41</v>
      </c>
      <c r="B31" s="31" t="s">
        <v>29</v>
      </c>
      <c r="C31" s="44" t="s">
        <v>35</v>
      </c>
      <c r="D31" s="45">
        <v>5.5510000000000002</v>
      </c>
      <c r="E31" s="46">
        <v>595286465.87812722</v>
      </c>
      <c r="F31" s="46">
        <v>1044584.2129462288</v>
      </c>
      <c r="G31" s="42"/>
    </row>
    <row r="32" spans="1:8" x14ac:dyDescent="0.2">
      <c r="A32" s="31" t="s">
        <v>41</v>
      </c>
      <c r="B32" s="31" t="s">
        <v>39</v>
      </c>
      <c r="C32" s="44" t="s">
        <v>35</v>
      </c>
      <c r="D32" s="45">
        <v>3.6625000000000001</v>
      </c>
      <c r="E32" s="46">
        <f>E31</f>
        <v>595286465.87812722</v>
      </c>
      <c r="F32" s="46">
        <f>F31</f>
        <v>1044584.2129462288</v>
      </c>
      <c r="G32" s="42"/>
    </row>
    <row r="33" spans="1:8" x14ac:dyDescent="0.2">
      <c r="A33" s="31" t="s">
        <v>42</v>
      </c>
      <c r="B33" s="31" t="s">
        <v>29</v>
      </c>
      <c r="C33" s="44" t="s">
        <v>30</v>
      </c>
      <c r="D33" s="45">
        <v>1.03E-2</v>
      </c>
      <c r="E33" s="46">
        <v>6238426.3587479033</v>
      </c>
      <c r="F33" s="46">
        <v>0</v>
      </c>
      <c r="G33" s="47">
        <v>1.0415000000000001</v>
      </c>
      <c r="H33" s="43">
        <f t="shared" ref="H33:H34" si="1">E33*G33</f>
        <v>6497321.0526359417</v>
      </c>
    </row>
    <row r="34" spans="1:8" x14ac:dyDescent="0.2">
      <c r="A34" s="31" t="s">
        <v>42</v>
      </c>
      <c r="B34" s="31" t="s">
        <v>31</v>
      </c>
      <c r="C34" s="44" t="s">
        <v>30</v>
      </c>
      <c r="D34" s="45">
        <v>7.1999999999999998E-3</v>
      </c>
      <c r="E34" s="46">
        <f>E33</f>
        <v>6238426.3587479033</v>
      </c>
      <c r="F34" s="46">
        <v>0</v>
      </c>
      <c r="G34" s="47">
        <f>G33</f>
        <v>1.0415000000000001</v>
      </c>
      <c r="H34" s="43">
        <f t="shared" si="1"/>
        <v>6497321.0526359417</v>
      </c>
    </row>
    <row r="35" spans="1:8" x14ac:dyDescent="0.2">
      <c r="A35" s="31" t="s">
        <v>43</v>
      </c>
      <c r="B35" s="31" t="s">
        <v>29</v>
      </c>
      <c r="C35" s="44" t="s">
        <v>35</v>
      </c>
      <c r="D35" s="45">
        <v>3.1425999999999998</v>
      </c>
      <c r="E35" s="46">
        <v>228999.74874430057</v>
      </c>
      <c r="F35" s="46">
        <v>640.55256450629076</v>
      </c>
      <c r="G35" s="42"/>
    </row>
    <row r="36" spans="1:8" x14ac:dyDescent="0.2">
      <c r="A36" s="31" t="s">
        <v>43</v>
      </c>
      <c r="B36" s="31" t="s">
        <v>31</v>
      </c>
      <c r="C36" s="44" t="s">
        <v>35</v>
      </c>
      <c r="D36" s="45">
        <v>2.0966999999999998</v>
      </c>
      <c r="E36" s="46">
        <f>E35</f>
        <v>228999.74874430057</v>
      </c>
      <c r="F36" s="46">
        <f>F35</f>
        <v>640.55256450629076</v>
      </c>
      <c r="G36" s="42"/>
    </row>
    <row r="37" spans="1:8" x14ac:dyDescent="0.2">
      <c r="A37" s="31" t="s">
        <v>44</v>
      </c>
      <c r="B37" s="31" t="s">
        <v>29</v>
      </c>
      <c r="C37" s="44" t="s">
        <v>35</v>
      </c>
      <c r="D37" s="45">
        <v>3.3089</v>
      </c>
      <c r="E37" s="46">
        <v>17004395.53625169</v>
      </c>
      <c r="F37" s="46">
        <v>45250.085781823676</v>
      </c>
      <c r="G37" s="42"/>
    </row>
    <row r="38" spans="1:8" x14ac:dyDescent="0.2">
      <c r="A38" s="31" t="s">
        <v>44</v>
      </c>
      <c r="B38" s="31" t="s">
        <v>31</v>
      </c>
      <c r="C38" s="44" t="s">
        <v>35</v>
      </c>
      <c r="D38" s="45">
        <v>2.1909000000000001</v>
      </c>
      <c r="E38" s="46">
        <f>E37</f>
        <v>17004395.53625169</v>
      </c>
      <c r="F38" s="46">
        <f>F37</f>
        <v>45250.085781823676</v>
      </c>
      <c r="G38" s="42"/>
    </row>
    <row r="39" spans="1:8" x14ac:dyDescent="0.2">
      <c r="C39" s="44"/>
      <c r="D39" s="45"/>
      <c r="E39" s="46"/>
      <c r="F39" s="46"/>
      <c r="G39" s="42"/>
    </row>
    <row r="40" spans="1:8" x14ac:dyDescent="0.2">
      <c r="E40" s="43"/>
      <c r="G40" s="42"/>
      <c r="H40" s="43"/>
    </row>
    <row r="41" spans="1:8" x14ac:dyDescent="0.2">
      <c r="E41" s="148"/>
      <c r="G41" s="42"/>
      <c r="H41" s="43"/>
    </row>
    <row r="42" spans="1:8" x14ac:dyDescent="0.2">
      <c r="E42" s="148"/>
      <c r="G42" s="42"/>
      <c r="H42" s="43"/>
    </row>
    <row r="43" spans="1:8" x14ac:dyDescent="0.2">
      <c r="E43" s="148"/>
      <c r="G43" s="42"/>
      <c r="H43" s="43"/>
    </row>
    <row r="44" spans="1:8" x14ac:dyDescent="0.2">
      <c r="E44" s="148"/>
      <c r="F44" s="43"/>
    </row>
    <row r="45" spans="1:8" x14ac:dyDescent="0.2">
      <c r="E45" s="148"/>
      <c r="F45" s="43"/>
    </row>
    <row r="46" spans="1:8" x14ac:dyDescent="0.2">
      <c r="E46" s="148"/>
    </row>
    <row r="47" spans="1:8" x14ac:dyDescent="0.2">
      <c r="E47" s="148"/>
    </row>
    <row r="48" spans="1:8" x14ac:dyDescent="0.2">
      <c r="E48" s="148"/>
      <c r="G48" s="42"/>
      <c r="H48" s="43"/>
    </row>
    <row r="49" spans="3:8" x14ac:dyDescent="0.2">
      <c r="E49" s="148"/>
      <c r="G49" s="42"/>
      <c r="H49" s="43"/>
    </row>
    <row r="50" spans="3:8" x14ac:dyDescent="0.2">
      <c r="E50" s="148"/>
      <c r="F50" s="43"/>
    </row>
    <row r="51" spans="3:8" x14ac:dyDescent="0.2">
      <c r="E51" s="148"/>
      <c r="F51" s="43"/>
    </row>
    <row r="52" spans="3:8" x14ac:dyDescent="0.2">
      <c r="E52" s="148"/>
      <c r="F52" s="43"/>
    </row>
    <row r="53" spans="3:8" x14ac:dyDescent="0.2">
      <c r="E53" s="148"/>
      <c r="F53" s="43"/>
    </row>
    <row r="54" spans="3:8" x14ac:dyDescent="0.2">
      <c r="C54" s="44"/>
      <c r="D54" s="44"/>
    </row>
    <row r="55" spans="3:8" x14ac:dyDescent="0.2">
      <c r="C55" s="44"/>
      <c r="D55" s="44"/>
    </row>
  </sheetData>
  <mergeCells count="1">
    <mergeCell ref="A13:H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CC4C0-878B-46A5-99B2-28563CC0EB42}">
  <dimension ref="A1:AZ55"/>
  <sheetViews>
    <sheetView topLeftCell="A7" workbookViewId="0">
      <selection activeCell="B42" sqref="B42"/>
    </sheetView>
  </sheetViews>
  <sheetFormatPr defaultColWidth="13.7109375" defaultRowHeight="12.75" x14ac:dyDescent="0.2"/>
  <cols>
    <col min="1" max="1" width="65.28515625" style="31" customWidth="1"/>
    <col min="2" max="2" width="76" style="31" bestFit="1" customWidth="1"/>
    <col min="3" max="3" width="6.42578125" style="31" bestFit="1" customWidth="1"/>
    <col min="4" max="4" width="10.5703125" style="31" customWidth="1"/>
    <col min="5" max="5" width="18.28515625" style="31" customWidth="1"/>
    <col min="6" max="6" width="14" style="31" customWidth="1"/>
    <col min="7" max="7" width="13.7109375" style="31"/>
    <col min="8" max="8" width="14.5703125" style="31" customWidth="1"/>
    <col min="9" max="16384" width="13.7109375" style="31"/>
  </cols>
  <sheetData>
    <row r="1" spans="1:52" x14ac:dyDescent="0.2">
      <c r="AZ1" s="32">
        <v>1</v>
      </c>
    </row>
    <row r="13" spans="1:52" ht="33" customHeight="1" thickBot="1" x14ac:dyDescent="0.25">
      <c r="A13" s="249" t="s">
        <v>18</v>
      </c>
      <c r="B13" s="249"/>
      <c r="C13" s="249"/>
      <c r="D13" s="249"/>
      <c r="E13" s="249"/>
      <c r="F13" s="249"/>
      <c r="G13" s="249"/>
      <c r="H13" s="249"/>
      <c r="I13" s="33"/>
      <c r="J13" s="33"/>
      <c r="K13" s="33"/>
      <c r="L13" s="33"/>
    </row>
    <row r="14" spans="1:52" ht="18.75" thickBot="1" x14ac:dyDescent="0.3">
      <c r="A14" s="34" t="s">
        <v>19</v>
      </c>
      <c r="B14" s="35">
        <v>0.17</v>
      </c>
    </row>
    <row r="15" spans="1:52" ht="45" x14ac:dyDescent="0.25">
      <c r="A15" s="36" t="s">
        <v>20</v>
      </c>
      <c r="B15" s="36" t="s">
        <v>21</v>
      </c>
      <c r="C15" s="37" t="s">
        <v>22</v>
      </c>
      <c r="D15" s="38" t="s">
        <v>23</v>
      </c>
      <c r="E15" s="39" t="s">
        <v>24</v>
      </c>
      <c r="F15" s="39" t="s">
        <v>25</v>
      </c>
      <c r="G15" s="40" t="s">
        <v>26</v>
      </c>
      <c r="H15" s="41" t="s">
        <v>27</v>
      </c>
      <c r="I15" s="41"/>
    </row>
    <row r="16" spans="1:52" x14ac:dyDescent="0.2">
      <c r="D16" s="42"/>
      <c r="E16" s="43"/>
      <c r="F16" s="43"/>
      <c r="G16" s="42"/>
    </row>
    <row r="17" spans="1:8" x14ac:dyDescent="0.2">
      <c r="A17" s="31" t="s">
        <v>28</v>
      </c>
      <c r="B17" s="31" t="s">
        <v>29</v>
      </c>
      <c r="C17" s="44" t="s">
        <v>30</v>
      </c>
      <c r="D17" s="45">
        <v>1.1299999999999999E-2</v>
      </c>
      <c r="E17" s="46">
        <v>1718981173.4150651</v>
      </c>
      <c r="F17" s="46">
        <v>0</v>
      </c>
      <c r="G17" s="47">
        <v>1.0415000000000001</v>
      </c>
      <c r="H17" s="43">
        <f>E17*G17</f>
        <v>1790318892.1117904</v>
      </c>
    </row>
    <row r="18" spans="1:8" x14ac:dyDescent="0.2">
      <c r="A18" s="31" t="s">
        <v>28</v>
      </c>
      <c r="B18" s="31" t="s">
        <v>31</v>
      </c>
      <c r="C18" s="44" t="s">
        <v>30</v>
      </c>
      <c r="D18" s="45">
        <v>7.7000000000000002E-3</v>
      </c>
      <c r="E18" s="46">
        <f>E17</f>
        <v>1718981173.4150651</v>
      </c>
      <c r="F18" s="46">
        <v>0</v>
      </c>
      <c r="G18" s="47">
        <f>G17</f>
        <v>1.0415000000000001</v>
      </c>
      <c r="H18" s="43">
        <f t="shared" ref="H18:H22" si="0">E18*G18</f>
        <v>1790318892.1117904</v>
      </c>
    </row>
    <row r="19" spans="1:8" x14ac:dyDescent="0.2">
      <c r="A19" s="31" t="s">
        <v>32</v>
      </c>
      <c r="B19" s="31" t="s">
        <v>29</v>
      </c>
      <c r="C19" s="44" t="s">
        <v>30</v>
      </c>
      <c r="D19" s="45">
        <v>1.18E-2</v>
      </c>
      <c r="E19" s="46">
        <v>15451103.337147947</v>
      </c>
      <c r="F19" s="46">
        <v>0</v>
      </c>
      <c r="G19" s="47">
        <v>1.0415000000000001</v>
      </c>
      <c r="H19" s="43">
        <f t="shared" si="0"/>
        <v>16092324.12563959</v>
      </c>
    </row>
    <row r="20" spans="1:8" x14ac:dyDescent="0.2">
      <c r="A20" s="31" t="s">
        <v>32</v>
      </c>
      <c r="B20" s="31" t="s">
        <v>31</v>
      </c>
      <c r="C20" s="44" t="s">
        <v>30</v>
      </c>
      <c r="D20" s="45">
        <v>9.9000000000000008E-3</v>
      </c>
      <c r="E20" s="46">
        <f>E19</f>
        <v>15451103.337147947</v>
      </c>
      <c r="F20" s="46">
        <v>0</v>
      </c>
      <c r="G20" s="47">
        <f>G19</f>
        <v>1.0415000000000001</v>
      </c>
      <c r="H20" s="43">
        <f t="shared" si="0"/>
        <v>16092324.12563959</v>
      </c>
    </row>
    <row r="21" spans="1:8" x14ac:dyDescent="0.2">
      <c r="A21" s="31" t="s">
        <v>33</v>
      </c>
      <c r="B21" s="31" t="s">
        <v>29</v>
      </c>
      <c r="C21" s="44" t="s">
        <v>30</v>
      </c>
      <c r="D21" s="45">
        <v>1.03E-2</v>
      </c>
      <c r="E21" s="46">
        <v>379702546.86592543</v>
      </c>
      <c r="F21" s="46">
        <v>0</v>
      </c>
      <c r="G21" s="47">
        <v>1.0415000000000001</v>
      </c>
      <c r="H21" s="43">
        <f t="shared" si="0"/>
        <v>395460202.56086135</v>
      </c>
    </row>
    <row r="22" spans="1:8" x14ac:dyDescent="0.2">
      <c r="A22" s="31" t="s">
        <v>33</v>
      </c>
      <c r="B22" s="31" t="s">
        <v>31</v>
      </c>
      <c r="C22" s="44" t="s">
        <v>30</v>
      </c>
      <c r="D22" s="45">
        <v>7.1999999999999998E-3</v>
      </c>
      <c r="E22" s="46">
        <f>E21</f>
        <v>379702546.86592543</v>
      </c>
      <c r="F22" s="46">
        <v>0</v>
      </c>
      <c r="G22" s="47">
        <f>G21</f>
        <v>1.0415000000000001</v>
      </c>
      <c r="H22" s="43">
        <f t="shared" si="0"/>
        <v>395460202.56086135</v>
      </c>
    </row>
    <row r="23" spans="1:8" x14ac:dyDescent="0.2">
      <c r="A23" s="31" t="s">
        <v>34</v>
      </c>
      <c r="B23" s="31" t="s">
        <v>29</v>
      </c>
      <c r="C23" s="44" t="s">
        <v>35</v>
      </c>
      <c r="D23" s="45">
        <v>5.0382999999999996</v>
      </c>
      <c r="E23" s="48">
        <v>1393201069.9864466</v>
      </c>
      <c r="F23" s="49">
        <v>3403195.4286894421</v>
      </c>
      <c r="G23" s="42"/>
    </row>
    <row r="24" spans="1:8" x14ac:dyDescent="0.2">
      <c r="A24" s="31" t="s">
        <v>34</v>
      </c>
      <c r="B24" s="31" t="s">
        <v>31</v>
      </c>
      <c r="C24" s="44" t="s">
        <v>35</v>
      </c>
      <c r="D24" s="45">
        <v>3.3349000000000002</v>
      </c>
      <c r="E24" s="50">
        <f>E23</f>
        <v>1393201069.9864466</v>
      </c>
      <c r="F24" s="51">
        <f>F23</f>
        <v>3403195.4286894421</v>
      </c>
      <c r="G24" s="42"/>
    </row>
    <row r="25" spans="1:8" x14ac:dyDescent="0.2">
      <c r="A25" s="31" t="s">
        <v>34</v>
      </c>
      <c r="B25" s="31" t="s">
        <v>36</v>
      </c>
      <c r="C25" s="44" t="s">
        <v>35</v>
      </c>
      <c r="D25" s="45">
        <f>D23*$B$14</f>
        <v>0.85651100000000002</v>
      </c>
      <c r="E25" s="52">
        <v>1436779</v>
      </c>
      <c r="F25" s="53">
        <v>44432.573221991399</v>
      </c>
      <c r="G25" s="42"/>
    </row>
    <row r="26" spans="1:8" x14ac:dyDescent="0.2">
      <c r="A26" s="31" t="s">
        <v>34</v>
      </c>
      <c r="B26" s="31" t="s">
        <v>37</v>
      </c>
      <c r="C26" s="44" t="s">
        <v>35</v>
      </c>
      <c r="D26" s="45">
        <f>D24*$B$14</f>
        <v>0.56693300000000002</v>
      </c>
      <c r="E26" s="48">
        <f>E25</f>
        <v>1436779</v>
      </c>
      <c r="F26" s="49">
        <f>F25</f>
        <v>44432.573221991399</v>
      </c>
      <c r="G26" s="42"/>
    </row>
    <row r="27" spans="1:8" x14ac:dyDescent="0.2">
      <c r="A27" s="31" t="s">
        <v>38</v>
      </c>
      <c r="B27" s="31" t="s">
        <v>29</v>
      </c>
      <c r="C27" s="44" t="s">
        <v>35</v>
      </c>
      <c r="D27" s="45">
        <v>5.5510000000000002</v>
      </c>
      <c r="E27" s="48">
        <v>355799331.76136017</v>
      </c>
      <c r="F27" s="49">
        <v>746467.9006503236</v>
      </c>
      <c r="G27" s="42"/>
    </row>
    <row r="28" spans="1:8" x14ac:dyDescent="0.2">
      <c r="A28" s="31" t="s">
        <v>38</v>
      </c>
      <c r="B28" s="31" t="s">
        <v>39</v>
      </c>
      <c r="C28" s="44" t="s">
        <v>35</v>
      </c>
      <c r="D28" s="45">
        <v>3.6625000000000001</v>
      </c>
      <c r="E28" s="50">
        <f>E27</f>
        <v>355799331.76136017</v>
      </c>
      <c r="F28" s="51">
        <f>F27</f>
        <v>746467.9006503236</v>
      </c>
      <c r="G28" s="42"/>
    </row>
    <row r="29" spans="1:8" x14ac:dyDescent="0.2">
      <c r="A29" s="31" t="s">
        <v>38</v>
      </c>
      <c r="B29" s="31" t="s">
        <v>36</v>
      </c>
      <c r="C29" s="44" t="s">
        <v>35</v>
      </c>
      <c r="D29" s="45">
        <f>D27*$B$14</f>
        <v>0.94367000000000012</v>
      </c>
      <c r="E29" s="52">
        <v>0</v>
      </c>
      <c r="F29" s="53">
        <v>0</v>
      </c>
      <c r="G29" s="42"/>
    </row>
    <row r="30" spans="1:8" x14ac:dyDescent="0.2">
      <c r="A30" s="31" t="s">
        <v>38</v>
      </c>
      <c r="B30" s="31" t="s">
        <v>40</v>
      </c>
      <c r="C30" s="44" t="s">
        <v>35</v>
      </c>
      <c r="D30" s="45">
        <f>D28*$B$14</f>
        <v>0.6226250000000001</v>
      </c>
      <c r="E30" s="50">
        <f>E29</f>
        <v>0</v>
      </c>
      <c r="F30" s="51">
        <v>0</v>
      </c>
      <c r="G30" s="42"/>
    </row>
    <row r="31" spans="1:8" x14ac:dyDescent="0.2">
      <c r="A31" s="31" t="s">
        <v>41</v>
      </c>
      <c r="B31" s="31" t="s">
        <v>29</v>
      </c>
      <c r="C31" s="44" t="s">
        <v>35</v>
      </c>
      <c r="D31" s="45">
        <v>5.5510000000000002</v>
      </c>
      <c r="E31" s="46">
        <v>605876118.45883048</v>
      </c>
      <c r="F31" s="46">
        <v>1070183.945594792</v>
      </c>
      <c r="G31" s="42"/>
    </row>
    <row r="32" spans="1:8" x14ac:dyDescent="0.2">
      <c r="A32" s="31" t="s">
        <v>41</v>
      </c>
      <c r="B32" s="31" t="s">
        <v>39</v>
      </c>
      <c r="C32" s="44" t="s">
        <v>35</v>
      </c>
      <c r="D32" s="45">
        <v>3.6625000000000001</v>
      </c>
      <c r="E32" s="46">
        <f>E31</f>
        <v>605876118.45883048</v>
      </c>
      <c r="F32" s="46">
        <f>F31</f>
        <v>1070183.945594792</v>
      </c>
      <c r="G32" s="42"/>
    </row>
    <row r="33" spans="1:8" x14ac:dyDescent="0.2">
      <c r="A33" s="31" t="s">
        <v>42</v>
      </c>
      <c r="B33" s="31" t="s">
        <v>29</v>
      </c>
      <c r="C33" s="44" t="s">
        <v>30</v>
      </c>
      <c r="D33" s="45">
        <v>1.03E-2</v>
      </c>
      <c r="E33" s="46">
        <v>6189819.8339463407</v>
      </c>
      <c r="F33" s="46">
        <v>0</v>
      </c>
      <c r="G33" s="47">
        <v>1.0415000000000001</v>
      </c>
      <c r="H33" s="43">
        <f t="shared" ref="H33:H34" si="1">E33*G33</f>
        <v>6446697.3570551146</v>
      </c>
    </row>
    <row r="34" spans="1:8" x14ac:dyDescent="0.2">
      <c r="A34" s="31" t="s">
        <v>42</v>
      </c>
      <c r="B34" s="31" t="s">
        <v>31</v>
      </c>
      <c r="C34" s="44" t="s">
        <v>30</v>
      </c>
      <c r="D34" s="45">
        <v>7.1999999999999998E-3</v>
      </c>
      <c r="E34" s="46">
        <f>E33</f>
        <v>6189819.8339463407</v>
      </c>
      <c r="F34" s="46">
        <v>0</v>
      </c>
      <c r="G34" s="47">
        <f>G33</f>
        <v>1.0415000000000001</v>
      </c>
      <c r="H34" s="43">
        <f t="shared" si="1"/>
        <v>6446697.3570551146</v>
      </c>
    </row>
    <row r="35" spans="1:8" x14ac:dyDescent="0.2">
      <c r="A35" s="31" t="s">
        <v>43</v>
      </c>
      <c r="B35" s="31" t="s">
        <v>29</v>
      </c>
      <c r="C35" s="44" t="s">
        <v>35</v>
      </c>
      <c r="D35" s="45">
        <v>3.1425999999999998</v>
      </c>
      <c r="E35" s="46">
        <v>226132.20042956769</v>
      </c>
      <c r="F35" s="46">
        <v>632.66908232300091</v>
      </c>
      <c r="G35" s="42"/>
    </row>
    <row r="36" spans="1:8" x14ac:dyDescent="0.2">
      <c r="A36" s="31" t="s">
        <v>43</v>
      </c>
      <c r="B36" s="31" t="s">
        <v>31</v>
      </c>
      <c r="C36" s="44" t="s">
        <v>35</v>
      </c>
      <c r="D36" s="45">
        <v>2.0966999999999998</v>
      </c>
      <c r="E36" s="46">
        <f>E35</f>
        <v>226132.20042956769</v>
      </c>
      <c r="F36" s="46">
        <f>F35</f>
        <v>632.66908232300091</v>
      </c>
      <c r="G36" s="42"/>
    </row>
    <row r="37" spans="1:8" x14ac:dyDescent="0.2">
      <c r="A37" s="31" t="s">
        <v>44</v>
      </c>
      <c r="B37" s="31" t="s">
        <v>29</v>
      </c>
      <c r="C37" s="44" t="s">
        <v>35</v>
      </c>
      <c r="D37" s="45">
        <v>3.3089</v>
      </c>
      <c r="E37" s="46">
        <v>17204774.150358506</v>
      </c>
      <c r="F37" s="46">
        <v>45783.012568858583</v>
      </c>
      <c r="G37" s="42"/>
    </row>
    <row r="38" spans="1:8" x14ac:dyDescent="0.2">
      <c r="A38" s="31" t="s">
        <v>44</v>
      </c>
      <c r="B38" s="31" t="s">
        <v>31</v>
      </c>
      <c r="C38" s="44" t="s">
        <v>35</v>
      </c>
      <c r="D38" s="45">
        <v>2.1909000000000001</v>
      </c>
      <c r="E38" s="46">
        <f>E37</f>
        <v>17204774.150358506</v>
      </c>
      <c r="F38" s="46">
        <f>F37</f>
        <v>45783.012568858583</v>
      </c>
      <c r="G38" s="42"/>
    </row>
    <row r="39" spans="1:8" x14ac:dyDescent="0.2">
      <c r="C39" s="44"/>
      <c r="D39" s="45"/>
      <c r="E39" s="46"/>
      <c r="F39" s="46"/>
      <c r="G39" s="42"/>
    </row>
    <row r="40" spans="1:8" x14ac:dyDescent="0.2">
      <c r="E40" s="43"/>
      <c r="G40" s="42"/>
      <c r="H40" s="43"/>
    </row>
    <row r="41" spans="1:8" x14ac:dyDescent="0.2">
      <c r="E41" s="148"/>
      <c r="G41" s="42"/>
      <c r="H41" s="43"/>
    </row>
    <row r="42" spans="1:8" x14ac:dyDescent="0.2">
      <c r="E42" s="148"/>
      <c r="G42" s="42"/>
      <c r="H42" s="43"/>
    </row>
    <row r="43" spans="1:8" x14ac:dyDescent="0.2">
      <c r="E43" s="148"/>
      <c r="G43" s="42"/>
      <c r="H43" s="43"/>
    </row>
    <row r="44" spans="1:8" x14ac:dyDescent="0.2">
      <c r="E44" s="148"/>
      <c r="F44" s="43"/>
    </row>
    <row r="45" spans="1:8" x14ac:dyDescent="0.2">
      <c r="E45" s="148"/>
      <c r="F45" s="43"/>
    </row>
    <row r="46" spans="1:8" x14ac:dyDescent="0.2">
      <c r="E46" s="148"/>
    </row>
    <row r="47" spans="1:8" x14ac:dyDescent="0.2">
      <c r="E47" s="148"/>
    </row>
    <row r="48" spans="1:8" x14ac:dyDescent="0.2">
      <c r="E48" s="148"/>
      <c r="G48" s="42"/>
      <c r="H48" s="43"/>
    </row>
    <row r="49" spans="3:8" x14ac:dyDescent="0.2">
      <c r="E49" s="148"/>
      <c r="G49" s="42"/>
      <c r="H49" s="43"/>
    </row>
    <row r="50" spans="3:8" x14ac:dyDescent="0.2">
      <c r="E50" s="148"/>
      <c r="F50" s="43"/>
    </row>
    <row r="51" spans="3:8" x14ac:dyDescent="0.2">
      <c r="E51" s="148"/>
      <c r="F51" s="43"/>
    </row>
    <row r="52" spans="3:8" x14ac:dyDescent="0.2">
      <c r="E52" s="148"/>
      <c r="F52" s="43"/>
    </row>
    <row r="53" spans="3:8" x14ac:dyDescent="0.2">
      <c r="E53" s="148"/>
      <c r="F53" s="43"/>
    </row>
    <row r="54" spans="3:8" x14ac:dyDescent="0.2">
      <c r="C54" s="44"/>
      <c r="D54" s="44"/>
    </row>
    <row r="55" spans="3:8" x14ac:dyDescent="0.2">
      <c r="C55" s="44"/>
      <c r="D55" s="44"/>
    </row>
  </sheetData>
  <mergeCells count="1">
    <mergeCell ref="A13:H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D733-60B8-436C-AE01-6D98DFDD0719}">
  <dimension ref="B9:AA74"/>
  <sheetViews>
    <sheetView workbookViewId="0">
      <selection activeCell="J36" sqref="J36"/>
    </sheetView>
  </sheetViews>
  <sheetFormatPr defaultColWidth="9.28515625" defaultRowHeight="12.75" x14ac:dyDescent="0.2"/>
  <cols>
    <col min="1" max="1" width="11.7109375" style="31" customWidth="1"/>
    <col min="2" max="2" width="69" style="31" customWidth="1"/>
    <col min="3" max="3" width="15.42578125" style="31" customWidth="1"/>
    <col min="4" max="4" width="2.85546875" style="31" customWidth="1"/>
    <col min="5" max="5" width="22.7109375" style="31" customWidth="1"/>
    <col min="6" max="6" width="0.140625" style="31" customWidth="1"/>
    <col min="7" max="7" width="20.28515625" style="31" customWidth="1"/>
    <col min="8" max="8" width="2.28515625" style="31" customWidth="1"/>
    <col min="9" max="10" width="20.28515625" style="31" customWidth="1"/>
    <col min="11" max="11" width="17.42578125" style="31" customWidth="1"/>
    <col min="12" max="12" width="24.5703125" style="31" customWidth="1"/>
    <col min="13" max="18" width="15.28515625" style="31" customWidth="1"/>
    <col min="19" max="19" width="9.28515625" style="31"/>
    <col min="20" max="20" width="19.5703125" style="31" bestFit="1" customWidth="1"/>
    <col min="21" max="16384" width="9.28515625" style="31"/>
  </cols>
  <sheetData>
    <row r="9" spans="2:27" x14ac:dyDescent="0.2">
      <c r="U9" s="31" t="s">
        <v>196</v>
      </c>
    </row>
    <row r="11" spans="2:27" ht="15" x14ac:dyDescent="0.25">
      <c r="S11" s="196"/>
      <c r="T11" s="197"/>
      <c r="U11" s="197">
        <v>2023</v>
      </c>
      <c r="V11" s="197">
        <v>2024</v>
      </c>
      <c r="W11" s="197">
        <v>2025</v>
      </c>
      <c r="X11" s="197">
        <v>2026</v>
      </c>
      <c r="Y11" s="198">
        <v>2027</v>
      </c>
    </row>
    <row r="12" spans="2:27" ht="15" x14ac:dyDescent="0.25">
      <c r="S12" s="199"/>
      <c r="T12" t="s">
        <v>96</v>
      </c>
      <c r="U12" s="200">
        <v>1869</v>
      </c>
      <c r="V12" s="200">
        <v>2017.3</v>
      </c>
      <c r="W12" s="200">
        <v>2113</v>
      </c>
      <c r="X12" s="200">
        <v>2223.4</v>
      </c>
      <c r="Y12" s="201">
        <v>2308</v>
      </c>
      <c r="AA12" s="31" t="s">
        <v>226</v>
      </c>
    </row>
    <row r="13" spans="2:27" ht="15" x14ac:dyDescent="0.25">
      <c r="S13" s="199"/>
      <c r="T13"/>
      <c r="U13"/>
      <c r="V13"/>
      <c r="W13"/>
      <c r="X13"/>
      <c r="Y13" s="202"/>
    </row>
    <row r="14" spans="2:27" ht="15" x14ac:dyDescent="0.25">
      <c r="S14" s="199"/>
      <c r="T14" t="s">
        <v>2</v>
      </c>
      <c r="U14">
        <v>1113.4000000000001</v>
      </c>
      <c r="V14">
        <v>1202.5999999999999</v>
      </c>
      <c r="W14">
        <v>1260.2</v>
      </c>
      <c r="X14">
        <v>1326.8</v>
      </c>
      <c r="Y14" s="202">
        <v>1378</v>
      </c>
    </row>
    <row r="15" spans="2:27" ht="15.75" x14ac:dyDescent="0.25">
      <c r="B15" s="54"/>
      <c r="C15" s="55"/>
      <c r="F15" s="55"/>
      <c r="H15" s="55"/>
      <c r="L15" s="55"/>
      <c r="M15" s="133" t="s">
        <v>195</v>
      </c>
      <c r="S15" s="199" t="s">
        <v>97</v>
      </c>
      <c r="T15" t="s">
        <v>98</v>
      </c>
      <c r="U15">
        <v>196.1</v>
      </c>
      <c r="V15">
        <v>211.4</v>
      </c>
      <c r="W15">
        <v>221.3</v>
      </c>
      <c r="X15">
        <v>232.6</v>
      </c>
      <c r="Y15" s="202">
        <v>241.4</v>
      </c>
    </row>
    <row r="16" spans="2:27" ht="15" x14ac:dyDescent="0.25">
      <c r="S16" s="199"/>
      <c r="T16" t="s">
        <v>99</v>
      </c>
      <c r="U16">
        <v>559.4</v>
      </c>
      <c r="V16">
        <v>603.20000000000005</v>
      </c>
      <c r="W16">
        <v>631.5</v>
      </c>
      <c r="X16">
        <v>663.9</v>
      </c>
      <c r="Y16" s="202">
        <v>688.7</v>
      </c>
    </row>
    <row r="17" spans="2:27" ht="15.75" x14ac:dyDescent="0.25">
      <c r="B17" s="56"/>
      <c r="C17" s="56"/>
      <c r="D17" s="57"/>
      <c r="E17" s="57"/>
      <c r="F17" s="58"/>
      <c r="G17" s="56"/>
      <c r="H17" s="58"/>
      <c r="I17" s="56"/>
      <c r="J17" s="56"/>
      <c r="K17" s="56"/>
      <c r="S17" s="199"/>
      <c r="T17"/>
      <c r="U17"/>
      <c r="V17"/>
      <c r="W17"/>
      <c r="X17"/>
      <c r="Y17" s="202"/>
    </row>
    <row r="18" spans="2:27" ht="29.25" customHeight="1" x14ac:dyDescent="0.25">
      <c r="B18" s="59" t="s">
        <v>45</v>
      </c>
      <c r="C18" s="60" t="s">
        <v>22</v>
      </c>
      <c r="D18" s="61"/>
      <c r="E18" s="60" t="s">
        <v>46</v>
      </c>
      <c r="F18"/>
      <c r="G18" s="60" t="s">
        <v>47</v>
      </c>
      <c r="H18" s="62"/>
      <c r="I18" s="60" t="s">
        <v>48</v>
      </c>
      <c r="J18" s="60" t="s">
        <v>49</v>
      </c>
      <c r="K18" s="61"/>
      <c r="L18" s="60">
        <v>2026</v>
      </c>
      <c r="M18" s="60">
        <v>2027</v>
      </c>
      <c r="N18" s="60">
        <f>M18+1</f>
        <v>2028</v>
      </c>
      <c r="O18" s="60">
        <f t="shared" ref="O18:Q18" si="0">N18+1</f>
        <v>2029</v>
      </c>
      <c r="P18" s="60">
        <f t="shared" si="0"/>
        <v>2030</v>
      </c>
      <c r="Q18" s="60">
        <f t="shared" si="0"/>
        <v>2031</v>
      </c>
      <c r="S18" s="199"/>
      <c r="T18" t="s">
        <v>2</v>
      </c>
      <c r="U18" s="203">
        <v>19399</v>
      </c>
      <c r="V18" s="203">
        <v>19449</v>
      </c>
      <c r="W18" s="203">
        <v>19204</v>
      </c>
      <c r="X18" s="203">
        <v>19124</v>
      </c>
      <c r="Y18" s="204">
        <v>19194</v>
      </c>
    </row>
    <row r="19" spans="2:27" ht="15.75" x14ac:dyDescent="0.25">
      <c r="B19" s="61"/>
      <c r="C19" s="61"/>
      <c r="D19" s="61"/>
      <c r="E19" s="61"/>
      <c r="F19" s="61"/>
      <c r="G19" s="61"/>
      <c r="H19" s="61"/>
      <c r="I19" s="61"/>
      <c r="J19" s="61"/>
      <c r="K19" s="61"/>
      <c r="L19" s="61"/>
      <c r="S19" s="199" t="s">
        <v>100</v>
      </c>
      <c r="T19" t="s">
        <v>98</v>
      </c>
      <c r="U19" s="203">
        <v>18830</v>
      </c>
      <c r="V19" s="203">
        <v>18879</v>
      </c>
      <c r="W19" s="203">
        <v>18642</v>
      </c>
      <c r="X19" s="203">
        <v>18565</v>
      </c>
      <c r="Y19" s="204">
        <v>18633</v>
      </c>
    </row>
    <row r="20" spans="2:27" ht="15.75" x14ac:dyDescent="0.25">
      <c r="B20" s="63" t="s">
        <v>21</v>
      </c>
      <c r="C20" s="63"/>
      <c r="D20" s="64"/>
      <c r="E20" s="255" t="s">
        <v>23</v>
      </c>
      <c r="F20" s="256"/>
      <c r="G20" s="256"/>
      <c r="H20" s="65"/>
      <c r="I20" s="255" t="s">
        <v>23</v>
      </c>
      <c r="J20" s="255"/>
      <c r="K20" s="64"/>
      <c r="L20" s="65" t="s">
        <v>23</v>
      </c>
      <c r="S20" s="199"/>
      <c r="T20" t="s">
        <v>99</v>
      </c>
      <c r="U20" s="203">
        <v>16018</v>
      </c>
      <c r="V20" s="203">
        <v>16059</v>
      </c>
      <c r="W20" s="203">
        <v>15858</v>
      </c>
      <c r="X20" s="203">
        <v>15792</v>
      </c>
      <c r="Y20" s="204">
        <v>15850</v>
      </c>
    </row>
    <row r="21" spans="2:27" ht="15" customHeight="1" x14ac:dyDescent="0.25">
      <c r="B21" s="61"/>
      <c r="C21" s="61"/>
      <c r="D21" s="61"/>
      <c r="E21" s="61"/>
      <c r="F21" s="61"/>
      <c r="G21" s="61"/>
      <c r="H21" s="61"/>
      <c r="I21" s="61"/>
      <c r="J21" s="61"/>
      <c r="K21" s="61"/>
      <c r="L21" s="61"/>
      <c r="S21" s="199"/>
      <c r="T21"/>
      <c r="U21"/>
      <c r="V21"/>
      <c r="W21"/>
      <c r="X21"/>
      <c r="Y21" s="202"/>
      <c r="AA21" s="31" t="s">
        <v>197</v>
      </c>
    </row>
    <row r="22" spans="2:27" ht="15.4" customHeight="1" x14ac:dyDescent="0.25">
      <c r="B22" s="66" t="s">
        <v>50</v>
      </c>
      <c r="C22" s="67" t="s">
        <v>51</v>
      </c>
      <c r="D22" s="68"/>
      <c r="E22" s="69">
        <v>5.78</v>
      </c>
      <c r="F22" s="70"/>
      <c r="G22" s="69">
        <v>6.12</v>
      </c>
      <c r="H22" s="71"/>
      <c r="I22" s="69">
        <v>6.37</v>
      </c>
      <c r="J22" s="69">
        <v>6.37</v>
      </c>
      <c r="K22" s="145"/>
      <c r="L22" s="72">
        <f>'4a. Forecast 2026 UTR'!I30</f>
        <v>6.4067368248038639</v>
      </c>
      <c r="M22" s="152">
        <f>L22*($AA$23)</f>
        <v>6.7761775321957245</v>
      </c>
      <c r="N22" s="152">
        <f t="shared" ref="N22:Q22" si="1">M22*($AA$23)</f>
        <v>7.1669218204916403</v>
      </c>
      <c r="O22" s="152">
        <f t="shared" si="1"/>
        <v>7.5801981481431433</v>
      </c>
      <c r="P22" s="152">
        <f t="shared" si="1"/>
        <v>8.0173058119351879</v>
      </c>
      <c r="Q22" s="152">
        <f t="shared" si="1"/>
        <v>8.4796190318369415</v>
      </c>
      <c r="S22" s="199"/>
      <c r="T22" t="s">
        <v>2</v>
      </c>
      <c r="U22" s="217">
        <f>U14/U18/12*1000</f>
        <v>4.7828925889650673</v>
      </c>
      <c r="V22" s="217">
        <f>V14/V18/12*1000</f>
        <v>5.1527927742643147</v>
      </c>
      <c r="W22" s="217">
        <f>W14/W18/12*1000</f>
        <v>5.4684787891411517</v>
      </c>
      <c r="X22" s="217">
        <f>X14/X18/12*1000</f>
        <v>5.7815659206581609</v>
      </c>
      <c r="Y22" s="205">
        <f>Y14/Y18/12*1000</f>
        <v>5.9827723941509499</v>
      </c>
    </row>
    <row r="23" spans="2:27" ht="15.75" x14ac:dyDescent="0.25">
      <c r="B23" s="68"/>
      <c r="C23" s="68"/>
      <c r="D23" s="68"/>
      <c r="E23" s="73"/>
      <c r="F23" s="64"/>
      <c r="G23" s="73"/>
      <c r="H23" s="74"/>
      <c r="I23" s="73"/>
      <c r="J23" s="73"/>
      <c r="K23" s="145"/>
      <c r="L23" s="73"/>
      <c r="S23" s="199" t="s">
        <v>101</v>
      </c>
      <c r="T23"/>
      <c r="U23"/>
      <c r="V23" s="206">
        <f>V22/U22</f>
        <v>1.0773381752608597</v>
      </c>
      <c r="W23" s="206">
        <f t="shared" ref="W23:Y23" si="2">W22/V22</f>
        <v>1.0612650321304467</v>
      </c>
      <c r="X23" s="206">
        <f t="shared" si="2"/>
        <v>1.0572530576764256</v>
      </c>
      <c r="Y23" s="207">
        <f t="shared" si="2"/>
        <v>1.0348013801544416</v>
      </c>
      <c r="AA23" s="151">
        <f>AVERAGE(V23:Y23)</f>
        <v>1.0576644113055433</v>
      </c>
    </row>
    <row r="24" spans="2:27" ht="15.4" customHeight="1" x14ac:dyDescent="0.25">
      <c r="B24" s="66" t="s">
        <v>52</v>
      </c>
      <c r="C24" s="67" t="s">
        <v>51</v>
      </c>
      <c r="D24" s="68"/>
      <c r="E24" s="69">
        <v>0.95</v>
      </c>
      <c r="F24" s="70"/>
      <c r="G24" s="69">
        <v>0.95</v>
      </c>
      <c r="H24" s="71"/>
      <c r="I24" s="69">
        <v>1</v>
      </c>
      <c r="J24" s="69">
        <v>1</v>
      </c>
      <c r="K24" s="145"/>
      <c r="L24" s="72">
        <f>'4a. Forecast 2026 UTR'!J30</f>
        <v>1.026711930254592</v>
      </c>
      <c r="M24" s="152">
        <f>L24*($AA$25)</f>
        <v>1.0844207510896613</v>
      </c>
      <c r="N24" s="152">
        <f t="shared" ref="N24:Q24" si="3">M24*($AA$25)</f>
        <v>1.1453732354140098</v>
      </c>
      <c r="O24" s="152">
        <f t="shared" si="3"/>
        <v>1.2097517011589249</v>
      </c>
      <c r="P24" s="152">
        <f t="shared" si="3"/>
        <v>1.2777487138748378</v>
      </c>
      <c r="Q24" s="152">
        <f t="shared" si="3"/>
        <v>1.3495676627234783</v>
      </c>
      <c r="S24" s="199"/>
      <c r="T24" t="s">
        <v>98</v>
      </c>
      <c r="U24" s="217">
        <f t="shared" ref="U24:Y24" si="4">U15/U19/12*1000</f>
        <v>0.86785271729509639</v>
      </c>
      <c r="V24" s="217">
        <f t="shared" si="4"/>
        <v>0.93313558274626129</v>
      </c>
      <c r="W24" s="217">
        <f t="shared" si="4"/>
        <v>0.9892536566176735</v>
      </c>
      <c r="X24" s="217">
        <f t="shared" si="4"/>
        <v>1.044079360804381</v>
      </c>
      <c r="Y24" s="205">
        <f t="shared" si="4"/>
        <v>1.0796257535912985</v>
      </c>
    </row>
    <row r="25" spans="2:27" ht="15.75" x14ac:dyDescent="0.25">
      <c r="B25" s="68"/>
      <c r="C25" s="68"/>
      <c r="D25" s="68"/>
      <c r="E25" s="73"/>
      <c r="F25" s="64"/>
      <c r="G25" s="73"/>
      <c r="H25" s="74"/>
      <c r="I25" s="73"/>
      <c r="J25" s="73"/>
      <c r="K25" s="145"/>
      <c r="L25" s="73"/>
      <c r="S25" s="199"/>
      <c r="V25" s="206">
        <f>V24/U24</f>
        <v>1.0752234384362327</v>
      </c>
      <c r="W25" s="206">
        <f t="shared" ref="W25" si="5">W24/V24</f>
        <v>1.0601392497607411</v>
      </c>
      <c r="X25" s="206">
        <f t="shared" ref="X25" si="6">X24/W24</f>
        <v>1.0554212802954506</v>
      </c>
      <c r="Y25" s="207">
        <f t="shared" ref="Y25" si="7">Y24/X24</f>
        <v>1.0340456809332308</v>
      </c>
      <c r="AA25" s="151">
        <f>AVERAGE(V25:Y25)</f>
        <v>1.0562074123564138</v>
      </c>
    </row>
    <row r="26" spans="2:27" ht="15.4" customHeight="1" x14ac:dyDescent="0.25">
      <c r="B26" s="66" t="s">
        <v>53</v>
      </c>
      <c r="C26" s="67" t="s">
        <v>51</v>
      </c>
      <c r="D26" s="68"/>
      <c r="E26" s="69">
        <v>3.21</v>
      </c>
      <c r="F26" s="70"/>
      <c r="G26" s="69">
        <v>3.21</v>
      </c>
      <c r="H26" s="71"/>
      <c r="I26" s="69">
        <v>3.39</v>
      </c>
      <c r="J26" s="69">
        <v>3.39</v>
      </c>
      <c r="K26" s="145"/>
      <c r="L26" s="72">
        <f>'4a. Forecast 2026 UTR'!K30</f>
        <v>3.4729310443507568</v>
      </c>
      <c r="M26" s="152">
        <f>L26*($AA$27)</f>
        <v>3.668275155099344</v>
      </c>
      <c r="N26" s="152">
        <f t="shared" ref="N26:Q26" si="8">M26*($AA$27)</f>
        <v>3.8746069074442788</v>
      </c>
      <c r="O26" s="152">
        <f t="shared" si="8"/>
        <v>4.0925443300908402</v>
      </c>
      <c r="P26" s="152">
        <f>O26*($AA$27)</f>
        <v>4.3227402143889746</v>
      </c>
      <c r="Q26" s="152">
        <f t="shared" si="8"/>
        <v>4.5658840696493748</v>
      </c>
      <c r="S26" s="199"/>
      <c r="T26" t="s">
        <v>99</v>
      </c>
      <c r="U26" s="217">
        <f>U16/U20/12*1000</f>
        <v>2.9102676155991176</v>
      </c>
      <c r="V26" s="217">
        <f>V16/V20/12*1000</f>
        <v>3.1301243331880357</v>
      </c>
      <c r="W26" s="217">
        <f>W16/W20/12*1000</f>
        <v>3.3185143145415563</v>
      </c>
      <c r="X26" s="217">
        <f>X16/X20/12*1000</f>
        <v>3.5033561296859168</v>
      </c>
      <c r="Y26" s="205">
        <f>Y16/Y20/12*1000</f>
        <v>3.6209253417455312</v>
      </c>
    </row>
    <row r="27" spans="2:27" ht="15.75" x14ac:dyDescent="0.25">
      <c r="B27" s="61"/>
      <c r="C27" s="61"/>
      <c r="D27" s="61"/>
      <c r="E27" s="61"/>
      <c r="F27" s="61"/>
      <c r="G27" s="61"/>
      <c r="H27" s="61"/>
      <c r="I27" s="61"/>
      <c r="J27" s="61"/>
      <c r="K27" s="61"/>
      <c r="L27" s="61"/>
      <c r="S27" s="199"/>
      <c r="T27" s="218"/>
      <c r="U27" s="217"/>
      <c r="V27" s="206">
        <f>V26/U26</f>
        <v>1.0755451891813934</v>
      </c>
      <c r="W27" s="206">
        <f t="shared" ref="W27" si="9">W26/V26</f>
        <v>1.0601861016688896</v>
      </c>
      <c r="X27" s="206">
        <f t="shared" ref="X27" si="10">X26/W26</f>
        <v>1.0557001711080145</v>
      </c>
      <c r="Y27" s="207">
        <f t="shared" ref="Y27" si="11">Y26/X26</f>
        <v>1.0335590238923711</v>
      </c>
      <c r="AA27" s="151">
        <f>AVERAGE(V27:Y27)</f>
        <v>1.0562476214626673</v>
      </c>
    </row>
    <row r="28" spans="2:27" ht="15.75" x14ac:dyDescent="0.25">
      <c r="B28" s="61"/>
      <c r="C28" s="61"/>
      <c r="D28" s="61"/>
      <c r="E28" s="61"/>
      <c r="F28" s="61"/>
      <c r="G28" s="61"/>
      <c r="H28" s="61"/>
      <c r="I28" s="61"/>
      <c r="J28" s="61"/>
      <c r="K28" s="61"/>
      <c r="L28" s="61"/>
      <c r="S28" s="199"/>
      <c r="T28"/>
      <c r="U28"/>
      <c r="V28" s="208">
        <f>(V24+V26)/(U24+U26)</f>
        <v>1.0754712814617138</v>
      </c>
      <c r="W28" s="208">
        <f t="shared" ref="W28:Y28" si="12">(W24+W26)/(V24+V26)</f>
        <v>1.0601753420365951</v>
      </c>
      <c r="X28" s="208">
        <f t="shared" si="12"/>
        <v>1.0556361254681441</v>
      </c>
      <c r="Y28" s="209">
        <f t="shared" si="12"/>
        <v>1.0336707590831649</v>
      </c>
      <c r="AA28" s="151">
        <f>AVERAGE(V28:Y28)</f>
        <v>1.0562383770124044</v>
      </c>
    </row>
    <row r="29" spans="2:27" ht="28.5" customHeight="1" x14ac:dyDescent="0.25">
      <c r="B29" s="59" t="s">
        <v>54</v>
      </c>
      <c r="C29" s="60" t="s">
        <v>22</v>
      </c>
      <c r="D29" s="61"/>
      <c r="E29" s="264">
        <v>2024</v>
      </c>
      <c r="F29" s="264"/>
      <c r="G29" s="264"/>
      <c r="H29" s="62"/>
      <c r="I29" s="264">
        <v>2025</v>
      </c>
      <c r="J29" s="264"/>
      <c r="K29" s="61"/>
      <c r="L29" s="60">
        <v>2026</v>
      </c>
      <c r="S29" s="199"/>
      <c r="T29" t="s">
        <v>5</v>
      </c>
      <c r="U29" s="217">
        <f>U24+U22+U26</f>
        <v>8.5610129218592803</v>
      </c>
      <c r="V29" s="217">
        <f>V24+V22+V26</f>
        <v>9.2160526901986124</v>
      </c>
      <c r="W29" s="217">
        <f t="shared" ref="W29:Y29" si="13">W24+W22+W26</f>
        <v>9.7762467603003813</v>
      </c>
      <c r="X29" s="217">
        <f t="shared" si="13"/>
        <v>10.329001411148459</v>
      </c>
      <c r="Y29" s="205">
        <f t="shared" si="13"/>
        <v>10.68332348948778</v>
      </c>
    </row>
    <row r="30" spans="2:27" ht="15.75" customHeight="1" x14ac:dyDescent="0.25">
      <c r="B30" s="75"/>
      <c r="C30" s="76"/>
      <c r="D30" s="61"/>
      <c r="E30" s="77"/>
      <c r="F30" s="77"/>
      <c r="G30" s="78"/>
      <c r="H30" s="79"/>
      <c r="I30" s="80"/>
      <c r="J30" s="61"/>
      <c r="K30" s="80"/>
      <c r="L30" s="61"/>
      <c r="S30" s="210"/>
      <c r="T30" s="211"/>
      <c r="U30" s="211"/>
      <c r="V30" s="212">
        <f>V29/U29</f>
        <v>1.0765142833351864</v>
      </c>
      <c r="W30" s="212">
        <f t="shared" ref="W30" si="14">W29/V29</f>
        <v>1.0607845993217402</v>
      </c>
      <c r="X30" s="212">
        <f>X29/W29</f>
        <v>1.0565405788541178</v>
      </c>
      <c r="Y30" s="213">
        <f t="shared" ref="Y30" si="15">Y29/X29</f>
        <v>1.0343036140896338</v>
      </c>
      <c r="AA30" s="151">
        <f>AVERAGE(V30:Y30)</f>
        <v>1.0570357689001695</v>
      </c>
    </row>
    <row r="31" spans="2:27" ht="3" customHeight="1" x14ac:dyDescent="0.25">
      <c r="B31" s="80"/>
      <c r="C31" s="76"/>
      <c r="D31" s="61"/>
      <c r="E31" s="61"/>
      <c r="F31" s="80"/>
      <c r="G31" s="80"/>
      <c r="H31" s="81"/>
      <c r="I31" s="80"/>
      <c r="J31" s="61"/>
      <c r="K31" s="80"/>
      <c r="L31" s="61"/>
    </row>
    <row r="32" spans="2:27" ht="3" customHeight="1" x14ac:dyDescent="0.2">
      <c r="B32" s="61"/>
      <c r="C32" s="61"/>
      <c r="D32" s="61"/>
      <c r="E32" s="61"/>
      <c r="F32" s="80"/>
      <c r="G32" s="61"/>
      <c r="H32" s="61"/>
      <c r="I32" s="61"/>
      <c r="J32" s="61"/>
      <c r="K32" s="61"/>
      <c r="L32" s="61"/>
    </row>
    <row r="33" spans="2:27" ht="15.75" x14ac:dyDescent="0.25">
      <c r="B33" s="63" t="s">
        <v>21</v>
      </c>
      <c r="C33" s="63"/>
      <c r="D33" s="64"/>
      <c r="E33" s="255" t="s">
        <v>23</v>
      </c>
      <c r="F33" s="255"/>
      <c r="G33" s="255"/>
      <c r="H33" s="65"/>
      <c r="I33" s="255" t="s">
        <v>23</v>
      </c>
      <c r="J33" s="255"/>
      <c r="K33" s="61"/>
      <c r="L33" s="65" t="s">
        <v>23</v>
      </c>
    </row>
    <row r="34" spans="2:27" ht="15" x14ac:dyDescent="0.2">
      <c r="B34" s="61"/>
      <c r="C34" s="61"/>
      <c r="D34" s="61"/>
      <c r="E34" s="61"/>
      <c r="F34" s="61"/>
      <c r="G34" s="61"/>
      <c r="H34" s="61"/>
      <c r="I34" s="61"/>
      <c r="J34" s="61"/>
      <c r="K34" s="61"/>
      <c r="L34" s="61"/>
    </row>
    <row r="35" spans="2:27" ht="15.4" customHeight="1" x14ac:dyDescent="0.25">
      <c r="B35" s="66" t="s">
        <v>50</v>
      </c>
      <c r="C35" s="67" t="s">
        <v>51</v>
      </c>
      <c r="D35" s="68"/>
      <c r="E35" s="260">
        <v>4.9103000000000003</v>
      </c>
      <c r="F35" s="260"/>
      <c r="G35" s="260"/>
      <c r="H35" s="82"/>
      <c r="I35" s="261">
        <v>5.3280000000000003</v>
      </c>
      <c r="J35" s="261"/>
      <c r="K35" s="145"/>
      <c r="L35" s="83">
        <f>L22/J22*I35</f>
        <v>5.3587274415313946</v>
      </c>
      <c r="M35" s="153">
        <f>L35*($AA$23)</f>
        <v>5.6677353047941628</v>
      </c>
      <c r="N35" s="153">
        <f t="shared" ref="N35:Q35" si="16">M35*($AA$23)</f>
        <v>5.9945619245807622</v>
      </c>
      <c r="O35" s="153">
        <f t="shared" si="16"/>
        <v>6.3402348089963372</v>
      </c>
      <c r="P35" s="153">
        <f t="shared" si="16"/>
        <v>6.7058407167960246</v>
      </c>
      <c r="Q35" s="153">
        <f t="shared" si="16"/>
        <v>7.0925290740388105</v>
      </c>
      <c r="V35" s="149"/>
      <c r="W35" s="149"/>
      <c r="AA35" s="151"/>
    </row>
    <row r="36" spans="2:27" ht="15.75" x14ac:dyDescent="0.25">
      <c r="B36" s="80"/>
      <c r="C36" s="80"/>
      <c r="D36" s="80"/>
      <c r="E36" s="262"/>
      <c r="F36" s="262"/>
      <c r="G36" s="262"/>
      <c r="H36" s="84"/>
      <c r="I36" s="80"/>
      <c r="J36" s="84"/>
      <c r="K36" s="145"/>
      <c r="L36" s="84"/>
      <c r="M36" s="153"/>
      <c r="N36" s="153"/>
      <c r="O36" s="153"/>
      <c r="P36" s="153"/>
      <c r="Q36" s="153"/>
    </row>
    <row r="37" spans="2:27" ht="15.4" customHeight="1" x14ac:dyDescent="0.25">
      <c r="B37" s="66" t="s">
        <v>52</v>
      </c>
      <c r="C37" s="67" t="s">
        <v>51</v>
      </c>
      <c r="D37" s="68"/>
      <c r="E37" s="263">
        <v>0.65369999999999995</v>
      </c>
      <c r="F37" s="263"/>
      <c r="G37" s="263"/>
      <c r="H37" s="82"/>
      <c r="I37" s="261">
        <v>0.68820000000000003</v>
      </c>
      <c r="J37" s="261"/>
      <c r="K37" s="145"/>
      <c r="L37" s="83">
        <f>L24/J24*I37</f>
        <v>0.70658315040121022</v>
      </c>
      <c r="M37" s="153">
        <f>L37*($AA$25)</f>
        <v>0.74629836089990498</v>
      </c>
      <c r="N37" s="153">
        <f t="shared" ref="N37:Q37" si="17">M37*($AA$25)</f>
        <v>0.7882458606119217</v>
      </c>
      <c r="O37" s="153">
        <f t="shared" si="17"/>
        <v>0.8325511207375722</v>
      </c>
      <c r="P37" s="153">
        <f t="shared" si="17"/>
        <v>0.87934666488866342</v>
      </c>
      <c r="Q37" s="153">
        <f t="shared" si="17"/>
        <v>0.92877246548629777</v>
      </c>
      <c r="V37" s="149"/>
      <c r="W37" s="149"/>
      <c r="AA37" s="151"/>
    </row>
    <row r="38" spans="2:27" ht="15.75" x14ac:dyDescent="0.25">
      <c r="B38" s="80"/>
      <c r="C38" s="80"/>
      <c r="D38" s="80"/>
      <c r="E38" s="262"/>
      <c r="F38" s="262"/>
      <c r="G38" s="262"/>
      <c r="H38" s="84"/>
      <c r="I38" s="80"/>
      <c r="J38" s="84"/>
      <c r="K38" s="145"/>
      <c r="L38" s="84"/>
      <c r="M38" s="153"/>
      <c r="N38" s="153"/>
      <c r="O38" s="153"/>
      <c r="P38" s="153"/>
      <c r="Q38" s="153"/>
    </row>
    <row r="39" spans="2:27" ht="15.4" customHeight="1" x14ac:dyDescent="0.25">
      <c r="B39" s="66" t="s">
        <v>53</v>
      </c>
      <c r="C39" s="67" t="s">
        <v>51</v>
      </c>
      <c r="D39" s="68"/>
      <c r="E39" s="263">
        <v>3.3041</v>
      </c>
      <c r="F39" s="263"/>
      <c r="G39" s="263"/>
      <c r="H39" s="82"/>
      <c r="I39" s="261">
        <v>3.4893999999999998</v>
      </c>
      <c r="J39" s="261"/>
      <c r="K39" s="145"/>
      <c r="L39" s="83">
        <f>L26/J26*I39</f>
        <v>3.5747627097809822</v>
      </c>
      <c r="M39" s="153">
        <f>L39*($AA$27)</f>
        <v>3.7758346094996016</v>
      </c>
      <c r="N39" s="153">
        <f t="shared" ref="N39:Q39" si="18">M39*($AA$27)</f>
        <v>3.9882163253203733</v>
      </c>
      <c r="O39" s="153">
        <f t="shared" si="18"/>
        <v>4.2125440074982237</v>
      </c>
      <c r="P39" s="153">
        <f t="shared" si="18"/>
        <v>4.4494895882268111</v>
      </c>
      <c r="Q39" s="153">
        <f t="shared" si="18"/>
        <v>4.699762794287472</v>
      </c>
      <c r="V39" s="149"/>
      <c r="W39" s="149"/>
      <c r="AA39" s="151"/>
    </row>
    <row r="40" spans="2:27" ht="15.75" x14ac:dyDescent="0.25">
      <c r="B40" s="80"/>
      <c r="C40" s="80"/>
      <c r="D40" s="80"/>
      <c r="E40" s="262"/>
      <c r="F40" s="262"/>
      <c r="G40" s="262"/>
      <c r="H40" s="73"/>
      <c r="I40" s="80"/>
      <c r="J40" s="84"/>
      <c r="K40" s="145"/>
      <c r="L40" s="84"/>
      <c r="M40" s="153"/>
      <c r="N40" s="153"/>
      <c r="O40" s="153"/>
      <c r="P40" s="153"/>
      <c r="Q40" s="153"/>
    </row>
    <row r="41" spans="2:27" ht="15.4" customHeight="1" x14ac:dyDescent="0.25">
      <c r="B41" s="66" t="s">
        <v>55</v>
      </c>
      <c r="C41" s="67" t="s">
        <v>51</v>
      </c>
      <c r="D41" s="68"/>
      <c r="E41" s="263">
        <v>3.9578000000000002</v>
      </c>
      <c r="F41" s="263"/>
      <c r="G41" s="263"/>
      <c r="H41" s="82">
        <v>3.0055000000000001</v>
      </c>
      <c r="I41" s="261">
        <v>4.1776</v>
      </c>
      <c r="J41" s="261"/>
      <c r="K41" s="145"/>
      <c r="L41" s="83">
        <f>L37+L39</f>
        <v>4.2813458601821921</v>
      </c>
      <c r="M41" s="153">
        <f>M39+M37</f>
        <v>4.5221329703995066</v>
      </c>
      <c r="N41" s="153">
        <f t="shared" ref="N41:Q41" si="19">N39+N37</f>
        <v>4.7764621859322949</v>
      </c>
      <c r="O41" s="153">
        <f t="shared" si="19"/>
        <v>5.0450951282357961</v>
      </c>
      <c r="P41" s="153">
        <f t="shared" si="19"/>
        <v>5.3288362531154743</v>
      </c>
      <c r="Q41" s="153">
        <f t="shared" si="19"/>
        <v>5.6285352597737699</v>
      </c>
    </row>
    <row r="42" spans="2:27" ht="15.75" x14ac:dyDescent="0.25">
      <c r="B42" s="85"/>
      <c r="C42" s="85"/>
      <c r="D42"/>
      <c r="E42"/>
      <c r="F42" s="73"/>
      <c r="G42"/>
      <c r="H42" s="73"/>
      <c r="I42"/>
      <c r="J42"/>
      <c r="K42"/>
      <c r="L42" s="84"/>
    </row>
    <row r="43" spans="2:27" ht="15" x14ac:dyDescent="0.25">
      <c r="B43"/>
      <c r="C43"/>
      <c r="D43"/>
      <c r="E43"/>
      <c r="F43"/>
      <c r="G43"/>
      <c r="H43"/>
      <c r="I43"/>
      <c r="J43"/>
      <c r="K43"/>
      <c r="L43"/>
    </row>
    <row r="44" spans="2:27" ht="26.25" customHeight="1" x14ac:dyDescent="0.25">
      <c r="B44" s="86" t="s">
        <v>56</v>
      </c>
      <c r="C44" s="87" t="s">
        <v>22</v>
      </c>
      <c r="D44"/>
      <c r="E44" s="258">
        <f>E29</f>
        <v>2024</v>
      </c>
      <c r="F44" s="258"/>
      <c r="G44" s="258"/>
      <c r="H44" s="62"/>
      <c r="I44" s="259">
        <f>I29</f>
        <v>2025</v>
      </c>
      <c r="J44" s="259"/>
      <c r="K44" s="61"/>
      <c r="L44" s="88">
        <f>L29</f>
        <v>2026</v>
      </c>
    </row>
    <row r="45" spans="2:27" ht="15.75" x14ac:dyDescent="0.25">
      <c r="B45" s="75"/>
      <c r="C45" s="89"/>
      <c r="D45"/>
      <c r="E45"/>
      <c r="F45" s="85"/>
      <c r="G45" s="85"/>
      <c r="H45" s="85"/>
      <c r="I45" s="85"/>
      <c r="J45" s="85"/>
      <c r="K45" s="85"/>
      <c r="L45"/>
    </row>
    <row r="46" spans="2:27" ht="3" customHeight="1" x14ac:dyDescent="0.25">
      <c r="B46" s="85"/>
      <c r="C46" s="89"/>
      <c r="D46"/>
      <c r="E46"/>
      <c r="F46" s="81"/>
      <c r="G46" s="85"/>
      <c r="H46" s="81"/>
      <c r="I46" s="85"/>
      <c r="J46" s="85"/>
      <c r="K46" s="85"/>
      <c r="L46"/>
    </row>
    <row r="47" spans="2:27" ht="3" customHeight="1" x14ac:dyDescent="0.25">
      <c r="B47"/>
      <c r="C47"/>
      <c r="D47"/>
      <c r="E47"/>
      <c r="F47"/>
      <c r="G47"/>
      <c r="H47"/>
      <c r="I47"/>
      <c r="J47"/>
      <c r="K47"/>
      <c r="L47"/>
    </row>
    <row r="48" spans="2:27" ht="15.75" x14ac:dyDescent="0.25">
      <c r="B48" s="63" t="s">
        <v>21</v>
      </c>
      <c r="C48" s="63"/>
      <c r="D48" s="90"/>
      <c r="E48" s="255" t="s">
        <v>23</v>
      </c>
      <c r="F48" s="255"/>
      <c r="G48" s="255"/>
      <c r="H48" s="255" t="s">
        <v>23</v>
      </c>
      <c r="I48" s="256"/>
      <c r="J48" s="256"/>
      <c r="K48" s="61"/>
      <c r="L48" s="65" t="s">
        <v>23</v>
      </c>
    </row>
    <row r="49" spans="2:12" ht="15" x14ac:dyDescent="0.2">
      <c r="B49" s="91"/>
      <c r="C49" s="91"/>
      <c r="D49" s="91"/>
      <c r="E49" s="91"/>
      <c r="F49" s="91"/>
      <c r="G49" s="61"/>
      <c r="H49" s="61"/>
      <c r="I49" s="61"/>
      <c r="J49" s="61"/>
      <c r="K49" s="61"/>
      <c r="L49" s="61"/>
    </row>
    <row r="50" spans="2:12" ht="16.5" x14ac:dyDescent="0.25">
      <c r="B50" s="92" t="s">
        <v>50</v>
      </c>
      <c r="C50" s="93" t="s">
        <v>51</v>
      </c>
      <c r="D50" s="94"/>
      <c r="E50" s="257"/>
      <c r="F50" s="257"/>
      <c r="G50" s="257"/>
      <c r="H50" s="71"/>
      <c r="I50" s="251"/>
      <c r="J50" s="251"/>
      <c r="K50" s="80"/>
      <c r="L50" s="72"/>
    </row>
    <row r="51" spans="2:12" ht="15.75" x14ac:dyDescent="0.25">
      <c r="B51" s="95"/>
      <c r="C51" s="95"/>
      <c r="D51" s="95"/>
      <c r="E51" s="95"/>
      <c r="F51" s="95"/>
      <c r="G51" s="80"/>
      <c r="H51" s="73"/>
      <c r="I51" s="80"/>
      <c r="J51" s="80"/>
      <c r="K51" s="80"/>
      <c r="L51" s="73"/>
    </row>
    <row r="52" spans="2:12" ht="16.5" x14ac:dyDescent="0.25">
      <c r="B52" s="92" t="s">
        <v>52</v>
      </c>
      <c r="C52" s="93" t="s">
        <v>51</v>
      </c>
      <c r="D52" s="94"/>
      <c r="E52" s="257"/>
      <c r="F52" s="257"/>
      <c r="G52" s="257"/>
      <c r="H52" s="71"/>
      <c r="I52" s="251"/>
      <c r="J52" s="251"/>
      <c r="K52" s="80"/>
      <c r="L52" s="72"/>
    </row>
    <row r="53" spans="2:12" ht="15.75" x14ac:dyDescent="0.25">
      <c r="B53" s="95"/>
      <c r="C53" s="95"/>
      <c r="D53" s="95"/>
      <c r="E53" s="95"/>
      <c r="F53" s="95"/>
      <c r="G53" s="80"/>
      <c r="H53" s="73"/>
      <c r="I53" s="80"/>
      <c r="J53" s="80"/>
      <c r="K53" s="80"/>
      <c r="L53" s="73"/>
    </row>
    <row r="54" spans="2:12" ht="16.5" x14ac:dyDescent="0.25">
      <c r="B54" s="92" t="s">
        <v>53</v>
      </c>
      <c r="C54" s="93" t="s">
        <v>51</v>
      </c>
      <c r="D54" s="94"/>
      <c r="E54" s="257"/>
      <c r="F54" s="257"/>
      <c r="G54" s="257"/>
      <c r="H54" s="71"/>
      <c r="I54" s="251"/>
      <c r="J54" s="251"/>
      <c r="K54" s="80"/>
      <c r="L54" s="72"/>
    </row>
    <row r="55" spans="2:12" ht="15.75" x14ac:dyDescent="0.25">
      <c r="B55" s="95"/>
      <c r="C55" s="95"/>
      <c r="D55" s="95"/>
      <c r="E55" s="95"/>
      <c r="F55" s="95"/>
      <c r="G55" s="80"/>
      <c r="H55" s="73"/>
      <c r="I55" s="80"/>
      <c r="J55" s="80"/>
      <c r="K55" s="80"/>
      <c r="L55" s="73"/>
    </row>
    <row r="56" spans="2:12" ht="16.5" x14ac:dyDescent="0.25">
      <c r="B56" s="92" t="s">
        <v>55</v>
      </c>
      <c r="C56" s="93" t="s">
        <v>51</v>
      </c>
      <c r="D56" s="94"/>
      <c r="E56" s="253">
        <f>E54+E52</f>
        <v>0</v>
      </c>
      <c r="F56" s="253"/>
      <c r="G56" s="253"/>
      <c r="H56" s="73">
        <f>H54+H52</f>
        <v>0</v>
      </c>
      <c r="I56" s="253">
        <f>I54+I52</f>
        <v>0</v>
      </c>
      <c r="J56" s="253"/>
      <c r="K56" s="80"/>
      <c r="L56" s="73">
        <f>L54+L52</f>
        <v>0</v>
      </c>
    </row>
    <row r="57" spans="2:12" ht="15.75" x14ac:dyDescent="0.25">
      <c r="B57" s="85"/>
      <c r="C57" s="85"/>
      <c r="D57"/>
      <c r="E57"/>
      <c r="F57" s="73"/>
      <c r="G57"/>
      <c r="H57" s="73"/>
      <c r="I57"/>
      <c r="J57"/>
      <c r="K57"/>
      <c r="L57"/>
    </row>
    <row r="58" spans="2:12" ht="15" x14ac:dyDescent="0.25">
      <c r="B58"/>
      <c r="C58"/>
      <c r="D58"/>
      <c r="E58"/>
      <c r="F58"/>
      <c r="G58"/>
      <c r="H58"/>
      <c r="I58"/>
      <c r="J58"/>
      <c r="K58"/>
      <c r="L58"/>
    </row>
    <row r="59" spans="2:12" ht="27" customHeight="1" x14ac:dyDescent="0.25">
      <c r="B59" s="86" t="s">
        <v>57</v>
      </c>
      <c r="C59" s="87" t="s">
        <v>22</v>
      </c>
      <c r="D59"/>
      <c r="E59" s="258">
        <f>E29</f>
        <v>2024</v>
      </c>
      <c r="F59" s="258"/>
      <c r="G59" s="258"/>
      <c r="H59" s="62"/>
      <c r="I59" s="259">
        <f>I29</f>
        <v>2025</v>
      </c>
      <c r="J59" s="259"/>
      <c r="K59" s="61"/>
      <c r="L59" s="88">
        <f>L29</f>
        <v>2026</v>
      </c>
    </row>
    <row r="60" spans="2:12" ht="15.75" x14ac:dyDescent="0.25">
      <c r="B60" s="75"/>
      <c r="C60" s="89"/>
      <c r="D60"/>
      <c r="E60"/>
      <c r="F60" s="85"/>
      <c r="G60" s="85"/>
      <c r="H60" s="85"/>
      <c r="I60" s="85"/>
      <c r="J60" s="85"/>
      <c r="K60" s="85"/>
      <c r="L60"/>
    </row>
    <row r="61" spans="2:12" ht="3" customHeight="1" x14ac:dyDescent="0.25">
      <c r="B61" s="85"/>
      <c r="C61" s="89"/>
      <c r="D61"/>
      <c r="E61"/>
      <c r="F61" s="81"/>
      <c r="G61" s="85"/>
      <c r="H61" s="81"/>
      <c r="I61" s="85"/>
      <c r="J61" s="85"/>
      <c r="K61" s="85"/>
      <c r="L61"/>
    </row>
    <row r="62" spans="2:12" ht="3" customHeight="1" x14ac:dyDescent="0.25">
      <c r="B62"/>
      <c r="C62"/>
      <c r="D62"/>
      <c r="E62"/>
      <c r="F62"/>
      <c r="G62"/>
      <c r="H62"/>
      <c r="I62"/>
      <c r="J62"/>
      <c r="K62"/>
      <c r="L62"/>
    </row>
    <row r="63" spans="2:12" ht="15.75" x14ac:dyDescent="0.25">
      <c r="B63" s="63" t="s">
        <v>21</v>
      </c>
      <c r="C63" s="63"/>
      <c r="D63" s="64"/>
      <c r="E63" s="255" t="s">
        <v>23</v>
      </c>
      <c r="F63" s="255"/>
      <c r="G63" s="255"/>
      <c r="H63" s="255" t="s">
        <v>23</v>
      </c>
      <c r="I63" s="256"/>
      <c r="J63" s="256"/>
      <c r="K63" s="61"/>
      <c r="L63" s="65" t="s">
        <v>23</v>
      </c>
    </row>
    <row r="64" spans="2:12" ht="15" x14ac:dyDescent="0.2">
      <c r="B64" s="61"/>
      <c r="C64" s="61"/>
      <c r="D64" s="61"/>
      <c r="E64" s="61"/>
      <c r="F64" s="61"/>
      <c r="G64" s="61"/>
      <c r="H64" s="61"/>
      <c r="I64" s="61"/>
      <c r="J64" s="61"/>
      <c r="K64" s="61"/>
      <c r="L64" s="61"/>
    </row>
    <row r="65" spans="2:12" ht="15.75" x14ac:dyDescent="0.25">
      <c r="B65" s="66" t="s">
        <v>50</v>
      </c>
      <c r="C65" s="67" t="s">
        <v>51</v>
      </c>
      <c r="D65" s="68"/>
      <c r="E65" s="252"/>
      <c r="F65" s="252"/>
      <c r="G65" s="252"/>
      <c r="H65" s="71"/>
      <c r="I65" s="251"/>
      <c r="J65" s="251"/>
      <c r="K65" s="80"/>
      <c r="L65" s="72"/>
    </row>
    <row r="66" spans="2:12" ht="15.75" x14ac:dyDescent="0.25">
      <c r="B66" s="80"/>
      <c r="C66" s="80"/>
      <c r="D66" s="80"/>
      <c r="E66" s="80"/>
      <c r="F66" s="80"/>
      <c r="G66" s="80"/>
      <c r="H66" s="73"/>
      <c r="I66" s="80"/>
      <c r="J66" s="80"/>
      <c r="K66" s="80"/>
      <c r="L66" s="73"/>
    </row>
    <row r="67" spans="2:12" ht="15.75" x14ac:dyDescent="0.25">
      <c r="B67" s="66" t="s">
        <v>52</v>
      </c>
      <c r="C67" s="67" t="s">
        <v>51</v>
      </c>
      <c r="D67" s="68"/>
      <c r="E67" s="252"/>
      <c r="F67" s="252"/>
      <c r="G67" s="252"/>
      <c r="H67" s="71"/>
      <c r="I67" s="251"/>
      <c r="J67" s="251"/>
      <c r="K67" s="80"/>
      <c r="L67" s="72"/>
    </row>
    <row r="68" spans="2:12" ht="15.75" x14ac:dyDescent="0.25">
      <c r="B68" s="80"/>
      <c r="C68" s="80"/>
      <c r="D68" s="80"/>
      <c r="E68" s="80"/>
      <c r="F68" s="80"/>
      <c r="G68" s="80"/>
      <c r="H68" s="73"/>
      <c r="I68" s="80"/>
      <c r="J68" s="80"/>
      <c r="K68" s="80"/>
      <c r="L68" s="73"/>
    </row>
    <row r="69" spans="2:12" ht="15.75" x14ac:dyDescent="0.25">
      <c r="B69" s="66" t="s">
        <v>53</v>
      </c>
      <c r="C69" s="67" t="s">
        <v>51</v>
      </c>
      <c r="D69" s="68"/>
      <c r="E69" s="252"/>
      <c r="F69" s="252"/>
      <c r="G69" s="252"/>
      <c r="H69" s="71"/>
      <c r="I69" s="251"/>
      <c r="J69" s="251"/>
      <c r="K69" s="80"/>
      <c r="L69" s="72"/>
    </row>
    <row r="70" spans="2:12" ht="15.75" x14ac:dyDescent="0.25">
      <c r="B70" s="80"/>
      <c r="C70" s="80"/>
      <c r="D70" s="80"/>
      <c r="E70" s="80"/>
      <c r="F70" s="80"/>
      <c r="G70" s="80"/>
      <c r="H70" s="73"/>
      <c r="I70" s="80"/>
      <c r="J70" s="80"/>
      <c r="K70" s="80"/>
      <c r="L70" s="73"/>
    </row>
    <row r="71" spans="2:12" ht="15.75" x14ac:dyDescent="0.25">
      <c r="B71" s="66" t="s">
        <v>55</v>
      </c>
      <c r="C71" s="67" t="s">
        <v>51</v>
      </c>
      <c r="D71" s="68"/>
      <c r="E71" s="253">
        <f>E69+E67</f>
        <v>0</v>
      </c>
      <c r="F71" s="253"/>
      <c r="G71" s="253"/>
      <c r="H71" s="73">
        <f>H69+H67</f>
        <v>0</v>
      </c>
      <c r="I71" s="253">
        <f>J69+J67</f>
        <v>0</v>
      </c>
      <c r="J71" s="253"/>
      <c r="K71" s="80"/>
      <c r="L71" s="73">
        <f>L69+L67</f>
        <v>0</v>
      </c>
    </row>
    <row r="72" spans="2:12" ht="15.75" x14ac:dyDescent="0.25">
      <c r="B72" s="85"/>
      <c r="C72" s="85"/>
      <c r="D72"/>
      <c r="E72"/>
      <c r="F72" s="73"/>
      <c r="G72"/>
      <c r="H72" s="73"/>
      <c r="I72"/>
      <c r="J72"/>
      <c r="K72"/>
      <c r="L72"/>
    </row>
    <row r="73" spans="2:12" ht="15.75" x14ac:dyDescent="0.2">
      <c r="B73" s="61"/>
      <c r="C73" s="61"/>
      <c r="D73" s="61"/>
      <c r="E73" s="254" t="str">
        <f>"Historical " &amp;E59</f>
        <v>Historical 2024</v>
      </c>
      <c r="F73" s="254"/>
      <c r="G73" s="254"/>
      <c r="H73" s="96"/>
      <c r="I73" s="254" t="str">
        <f>"Current " &amp;I59</f>
        <v>Current 2025</v>
      </c>
      <c r="J73" s="254"/>
      <c r="K73" s="96"/>
      <c r="L73" s="96" t="str">
        <f>"Forecast " &amp;L59</f>
        <v>Forecast 2026</v>
      </c>
    </row>
    <row r="74" spans="2:12" ht="31.5" x14ac:dyDescent="0.25">
      <c r="B74" s="97" t="s">
        <v>58</v>
      </c>
      <c r="C74" s="98" t="s">
        <v>59</v>
      </c>
      <c r="D74" s="61"/>
      <c r="E74" s="250"/>
      <c r="F74" s="250"/>
      <c r="G74" s="250"/>
      <c r="H74" s="71"/>
      <c r="I74" s="251"/>
      <c r="J74" s="251"/>
      <c r="K74" s="99"/>
      <c r="L74" s="100"/>
    </row>
  </sheetData>
  <mergeCells count="45">
    <mergeCell ref="E20:G20"/>
    <mergeCell ref="I20:J20"/>
    <mergeCell ref="E29:G29"/>
    <mergeCell ref="I29:J29"/>
    <mergeCell ref="E33:G33"/>
    <mergeCell ref="I33:J33"/>
    <mergeCell ref="E44:G44"/>
    <mergeCell ref="I44:J44"/>
    <mergeCell ref="E35:G35"/>
    <mergeCell ref="I35:J35"/>
    <mergeCell ref="E36:G36"/>
    <mergeCell ref="E37:G37"/>
    <mergeCell ref="I37:J37"/>
    <mergeCell ref="E38:G38"/>
    <mergeCell ref="E39:G39"/>
    <mergeCell ref="I39:J39"/>
    <mergeCell ref="E40:G40"/>
    <mergeCell ref="E41:G41"/>
    <mergeCell ref="I41:J41"/>
    <mergeCell ref="E48:G48"/>
    <mergeCell ref="H48:J48"/>
    <mergeCell ref="E50:G50"/>
    <mergeCell ref="I50:J50"/>
    <mergeCell ref="E52:G52"/>
    <mergeCell ref="I52:J52"/>
    <mergeCell ref="E54:G54"/>
    <mergeCell ref="I54:J54"/>
    <mergeCell ref="E56:G56"/>
    <mergeCell ref="I56:J56"/>
    <mergeCell ref="E59:G59"/>
    <mergeCell ref="I59:J59"/>
    <mergeCell ref="E63:G63"/>
    <mergeCell ref="H63:J63"/>
    <mergeCell ref="E65:G65"/>
    <mergeCell ref="I65:J65"/>
    <mergeCell ref="E67:G67"/>
    <mergeCell ref="I67:J67"/>
    <mergeCell ref="E74:G74"/>
    <mergeCell ref="I74:J74"/>
    <mergeCell ref="E69:G69"/>
    <mergeCell ref="I69:J69"/>
    <mergeCell ref="E71:G71"/>
    <mergeCell ref="I71:J71"/>
    <mergeCell ref="E73:G73"/>
    <mergeCell ref="I73:J7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E79F-FBCC-4EC8-BD1D-DAD79EA0CBE5}">
  <sheetPr codeName="Sheet1"/>
  <dimension ref="B1:L32"/>
  <sheetViews>
    <sheetView workbookViewId="0">
      <selection activeCell="F15" sqref="F15"/>
    </sheetView>
  </sheetViews>
  <sheetFormatPr defaultRowHeight="15" x14ac:dyDescent="0.25"/>
  <cols>
    <col min="2" max="2" width="26.140625" bestFit="1" customWidth="1"/>
    <col min="3" max="3" width="34.5703125" bestFit="1" customWidth="1"/>
    <col min="4" max="6" width="19.5703125" customWidth="1"/>
    <col min="8" max="8" width="13.7109375" bestFit="1" customWidth="1"/>
    <col min="9" max="9" width="22" customWidth="1"/>
    <col min="10" max="10" width="14.28515625" bestFit="1" customWidth="1"/>
    <col min="11" max="11" width="23.28515625" bestFit="1" customWidth="1"/>
    <col min="12" max="12" width="15.140625" bestFit="1" customWidth="1"/>
  </cols>
  <sheetData>
    <row r="1" spans="2:12" ht="15.75" thickBot="1" x14ac:dyDescent="0.3"/>
    <row r="2" spans="2:12" x14ac:dyDescent="0.25">
      <c r="B2" s="1" t="s">
        <v>0</v>
      </c>
      <c r="C2" s="265" t="s">
        <v>1</v>
      </c>
      <c r="D2" s="265"/>
      <c r="E2" s="265"/>
      <c r="F2" s="266"/>
      <c r="H2" s="1" t="s">
        <v>0</v>
      </c>
      <c r="I2" s="265" t="s">
        <v>1</v>
      </c>
      <c r="J2" s="265"/>
      <c r="K2" s="265"/>
      <c r="L2" s="266"/>
    </row>
    <row r="3" spans="2:12" x14ac:dyDescent="0.25">
      <c r="B3" s="7"/>
      <c r="C3" s="8" t="s">
        <v>2</v>
      </c>
      <c r="D3" s="8" t="s">
        <v>3</v>
      </c>
      <c r="E3" s="8" t="s">
        <v>4</v>
      </c>
      <c r="F3" s="9" t="s">
        <v>5</v>
      </c>
      <c r="H3" s="7"/>
      <c r="I3" s="8" t="s">
        <v>2</v>
      </c>
      <c r="J3" s="8" t="s">
        <v>3</v>
      </c>
      <c r="K3" s="8" t="s">
        <v>4</v>
      </c>
      <c r="L3" s="9" t="s">
        <v>5</v>
      </c>
    </row>
    <row r="4" spans="2:12" x14ac:dyDescent="0.25">
      <c r="B4" s="10"/>
      <c r="C4" s="11"/>
      <c r="D4" s="12"/>
      <c r="E4" s="12"/>
      <c r="F4" s="13"/>
      <c r="H4" s="10"/>
      <c r="I4" s="11"/>
      <c r="J4" s="12"/>
      <c r="K4" s="12"/>
      <c r="L4" s="13"/>
    </row>
    <row r="5" spans="2:12" x14ac:dyDescent="0.25">
      <c r="B5" s="10" t="s">
        <v>6</v>
      </c>
      <c r="C5" s="14">
        <v>4788179</v>
      </c>
      <c r="D5" s="14">
        <v>830384</v>
      </c>
      <c r="E5" s="14">
        <v>2369529</v>
      </c>
      <c r="F5" s="15">
        <f t="shared" ref="F5:F13" si="0">SUM(C5:E5)</f>
        <v>7988092</v>
      </c>
      <c r="H5" s="10" t="s">
        <v>6</v>
      </c>
      <c r="I5" s="4">
        <v>6256434</v>
      </c>
      <c r="J5" s="4">
        <v>1085015</v>
      </c>
      <c r="K5" s="4">
        <v>3096125</v>
      </c>
      <c r="L5" s="15">
        <f t="shared" ref="L5:L13" si="1">SUM(I5:K5)</f>
        <v>10437574</v>
      </c>
    </row>
    <row r="6" spans="2:12" x14ac:dyDescent="0.25">
      <c r="B6" s="10" t="s">
        <v>7</v>
      </c>
      <c r="C6" s="14">
        <v>2785600</v>
      </c>
      <c r="D6" s="14">
        <v>483089</v>
      </c>
      <c r="E6" s="14">
        <v>1378511</v>
      </c>
      <c r="F6" s="15">
        <f t="shared" si="0"/>
        <v>4647200</v>
      </c>
      <c r="H6" s="10" t="s">
        <v>7</v>
      </c>
      <c r="I6" s="14">
        <f>C6*(1.035-0.03)</f>
        <v>2799527.9999999995</v>
      </c>
      <c r="J6" s="14">
        <f t="shared" ref="J6:K6" si="2">D6*(1.035-0.03)</f>
        <v>485504.44499999995</v>
      </c>
      <c r="K6" s="14">
        <f t="shared" si="2"/>
        <v>1385403.5549999999</v>
      </c>
      <c r="L6" s="15">
        <f t="shared" si="1"/>
        <v>4670435.9999999991</v>
      </c>
    </row>
    <row r="7" spans="2:12" x14ac:dyDescent="0.25">
      <c r="B7" s="10" t="s">
        <v>8</v>
      </c>
      <c r="C7" s="14">
        <v>26007789</v>
      </c>
      <c r="D7" s="14">
        <v>4510371</v>
      </c>
      <c r="E7" s="14">
        <v>12870489</v>
      </c>
      <c r="F7" s="15">
        <f t="shared" si="0"/>
        <v>43388649</v>
      </c>
      <c r="H7" s="10" t="s">
        <v>8</v>
      </c>
      <c r="I7" s="4">
        <v>26620073</v>
      </c>
      <c r="J7" s="4">
        <v>4616556</v>
      </c>
      <c r="K7" s="4">
        <v>13173490</v>
      </c>
      <c r="L7" s="15">
        <f t="shared" si="1"/>
        <v>44410119</v>
      </c>
    </row>
    <row r="8" spans="2:12" x14ac:dyDescent="0.25">
      <c r="B8" s="10" t="s">
        <v>9</v>
      </c>
      <c r="C8" s="14">
        <v>1280063491</v>
      </c>
      <c r="D8" s="14">
        <v>221993543</v>
      </c>
      <c r="E8" s="14">
        <v>633465726</v>
      </c>
      <c r="F8" s="15">
        <f t="shared" si="0"/>
        <v>2135522760</v>
      </c>
      <c r="H8" s="10" t="s">
        <v>9</v>
      </c>
      <c r="I8" s="4">
        <v>1290000000</v>
      </c>
      <c r="J8" s="4">
        <v>226000000</v>
      </c>
      <c r="K8" s="4">
        <v>644900000</v>
      </c>
      <c r="L8" s="15">
        <f t="shared" si="1"/>
        <v>2160900000</v>
      </c>
    </row>
    <row r="9" spans="2:12" x14ac:dyDescent="0.25">
      <c r="B9" s="10" t="s">
        <v>10</v>
      </c>
      <c r="C9" s="14">
        <v>37647615</v>
      </c>
      <c r="D9" s="14">
        <v>0</v>
      </c>
      <c r="E9" s="14">
        <v>0</v>
      </c>
      <c r="F9" s="15">
        <f t="shared" si="0"/>
        <v>37647615</v>
      </c>
      <c r="H9" s="10" t="s">
        <v>10</v>
      </c>
      <c r="I9" s="4">
        <v>38060897</v>
      </c>
      <c r="J9" s="14">
        <v>0</v>
      </c>
      <c r="K9" s="14">
        <v>0</v>
      </c>
      <c r="L9" s="15">
        <f t="shared" si="1"/>
        <v>38060897</v>
      </c>
    </row>
    <row r="10" spans="2:12" x14ac:dyDescent="0.25">
      <c r="B10" s="10" t="s">
        <v>11</v>
      </c>
      <c r="C10" s="14">
        <v>8314329</v>
      </c>
      <c r="D10" s="14">
        <v>0</v>
      </c>
      <c r="E10" s="14">
        <v>0</v>
      </c>
      <c r="F10" s="15">
        <f t="shared" si="0"/>
        <v>8314329</v>
      </c>
      <c r="H10" s="10" t="s">
        <v>11</v>
      </c>
      <c r="I10" s="4">
        <v>8792932</v>
      </c>
      <c r="J10" s="14">
        <v>0</v>
      </c>
      <c r="K10" s="14">
        <v>0</v>
      </c>
      <c r="L10" s="15">
        <f t="shared" si="1"/>
        <v>8792932</v>
      </c>
    </row>
    <row r="11" spans="2:12" x14ac:dyDescent="0.25">
      <c r="B11" s="7" t="s">
        <v>16</v>
      </c>
      <c r="C11" s="14">
        <v>75681985</v>
      </c>
      <c r="D11" s="14"/>
      <c r="E11" s="14"/>
      <c r="F11" s="15">
        <f t="shared" si="0"/>
        <v>75681985</v>
      </c>
      <c r="H11" s="7" t="s">
        <v>16</v>
      </c>
      <c r="I11" s="4">
        <v>76968578</v>
      </c>
      <c r="J11" s="14"/>
      <c r="K11" s="14"/>
      <c r="L11" s="15">
        <f t="shared" si="1"/>
        <v>76968578</v>
      </c>
    </row>
    <row r="12" spans="2:12" x14ac:dyDescent="0.25">
      <c r="B12" s="7" t="s">
        <v>12</v>
      </c>
      <c r="C12" s="14">
        <v>43489861</v>
      </c>
      <c r="D12" s="14"/>
      <c r="E12" s="14"/>
      <c r="F12" s="15">
        <f t="shared" si="0"/>
        <v>43489861</v>
      </c>
      <c r="H12" s="7" t="s">
        <v>12</v>
      </c>
      <c r="I12" s="4">
        <v>29685502</v>
      </c>
      <c r="J12" s="14"/>
      <c r="K12" s="14"/>
      <c r="L12" s="15">
        <f t="shared" si="1"/>
        <v>29685502</v>
      </c>
    </row>
    <row r="13" spans="2:12" x14ac:dyDescent="0.25">
      <c r="B13" s="7" t="s">
        <v>13</v>
      </c>
      <c r="C13" s="14">
        <v>18535124</v>
      </c>
      <c r="D13" s="14"/>
      <c r="E13" s="14"/>
      <c r="F13" s="15">
        <f t="shared" si="0"/>
        <v>18535124</v>
      </c>
      <c r="H13" s="7" t="s">
        <v>13</v>
      </c>
      <c r="I13" s="14">
        <f>C13*(1.035-0.03)</f>
        <v>18627799.619999997</v>
      </c>
      <c r="J13" s="14"/>
      <c r="K13" s="14"/>
      <c r="L13" s="15">
        <f t="shared" si="1"/>
        <v>18627799.619999997</v>
      </c>
    </row>
    <row r="14" spans="2:12" ht="15.75" thickBot="1" x14ac:dyDescent="0.3">
      <c r="B14" s="16" t="s">
        <v>14</v>
      </c>
      <c r="C14" s="17">
        <f>SUM(C4:C13)</f>
        <v>1497313973</v>
      </c>
      <c r="D14" s="17">
        <f t="shared" ref="D14:E14" si="3">SUM(D4:D13)</f>
        <v>227817387</v>
      </c>
      <c r="E14" s="17">
        <f t="shared" si="3"/>
        <v>650084255</v>
      </c>
      <c r="F14" s="18">
        <f>SUM(F4:F13)</f>
        <v>2375215615</v>
      </c>
      <c r="H14" s="16" t="s">
        <v>14</v>
      </c>
      <c r="I14" s="17">
        <f>SUM(I4:I13)</f>
        <v>1497811743.6199999</v>
      </c>
      <c r="J14" s="17">
        <f t="shared" ref="J14:K14" si="4">SUM(J4:J13)</f>
        <v>232187075.44499999</v>
      </c>
      <c r="K14" s="17">
        <f t="shared" si="4"/>
        <v>662555018.55499995</v>
      </c>
      <c r="L14" s="18">
        <f>SUM(L4:L13)</f>
        <v>2392553837.6199999</v>
      </c>
    </row>
    <row r="15" spans="2:12" ht="15.75" thickBot="1" x14ac:dyDescent="0.3">
      <c r="B15" s="19"/>
      <c r="C15" s="20"/>
      <c r="D15" s="19"/>
      <c r="E15" s="19"/>
      <c r="F15" s="19"/>
      <c r="H15" s="19"/>
      <c r="I15" s="20"/>
      <c r="J15" s="19"/>
      <c r="K15" s="19"/>
      <c r="L15" s="19"/>
    </row>
    <row r="16" spans="2:12" x14ac:dyDescent="0.25">
      <c r="B16" s="1" t="s">
        <v>0</v>
      </c>
      <c r="C16" s="2" t="s">
        <v>15</v>
      </c>
      <c r="D16" s="2"/>
      <c r="E16" s="3"/>
      <c r="F16" s="19"/>
      <c r="H16" s="1" t="s">
        <v>0</v>
      </c>
      <c r="I16" s="2" t="s">
        <v>15</v>
      </c>
      <c r="J16" s="2"/>
      <c r="K16" s="3"/>
      <c r="L16" s="19"/>
    </row>
    <row r="17" spans="2:12" x14ac:dyDescent="0.25">
      <c r="B17" s="7"/>
      <c r="C17" s="8" t="s">
        <v>2</v>
      </c>
      <c r="D17" s="8" t="s">
        <v>3</v>
      </c>
      <c r="E17" s="9" t="s">
        <v>4</v>
      </c>
      <c r="F17" s="19"/>
      <c r="H17" s="7"/>
      <c r="I17" s="8" t="s">
        <v>2</v>
      </c>
      <c r="J17" s="8" t="s">
        <v>3</v>
      </c>
      <c r="K17" s="9" t="s">
        <v>4</v>
      </c>
      <c r="L17" s="19"/>
    </row>
    <row r="18" spans="2:12" x14ac:dyDescent="0.25">
      <c r="B18" s="10"/>
      <c r="C18" s="21"/>
      <c r="D18" s="21"/>
      <c r="E18" s="22"/>
      <c r="F18" s="19"/>
      <c r="H18" s="10"/>
      <c r="I18" s="21"/>
      <c r="J18" s="21"/>
      <c r="K18" s="22"/>
      <c r="L18" s="19"/>
    </row>
    <row r="19" spans="2:12" x14ac:dyDescent="0.25">
      <c r="B19" s="10" t="s">
        <v>6</v>
      </c>
      <c r="C19" s="23">
        <v>230.41</v>
      </c>
      <c r="D19" s="23">
        <v>248.86</v>
      </c>
      <c r="E19" s="24">
        <v>73.040000000000006</v>
      </c>
      <c r="F19" s="19"/>
      <c r="H19" s="10" t="s">
        <v>6</v>
      </c>
      <c r="I19" s="5">
        <v>70.89</v>
      </c>
      <c r="J19" s="5">
        <v>83.39</v>
      </c>
      <c r="K19" s="6">
        <v>83.39</v>
      </c>
      <c r="L19" s="19"/>
    </row>
    <row r="20" spans="2:12" x14ac:dyDescent="0.25">
      <c r="B20" s="10" t="s">
        <v>7</v>
      </c>
      <c r="C20" s="23">
        <v>522.89400000000001</v>
      </c>
      <c r="D20" s="23">
        <v>549.25800000000004</v>
      </c>
      <c r="E20" s="24">
        <v>549.25800000000004</v>
      </c>
      <c r="F20" s="19"/>
      <c r="H20" s="10" t="s">
        <v>7</v>
      </c>
      <c r="I20" s="23">
        <v>522.89400000000001</v>
      </c>
      <c r="J20" s="23">
        <v>549.25800000000004</v>
      </c>
      <c r="K20" s="24">
        <v>549.25800000000004</v>
      </c>
      <c r="L20" s="19"/>
    </row>
    <row r="21" spans="2:12" x14ac:dyDescent="0.25">
      <c r="B21" s="10" t="s">
        <v>8</v>
      </c>
      <c r="C21" s="23">
        <v>3498.2359999999999</v>
      </c>
      <c r="D21" s="23">
        <v>2734.6239999999998</v>
      </c>
      <c r="E21" s="24">
        <v>635.25199999999995</v>
      </c>
      <c r="F21" s="19"/>
      <c r="H21" s="10" t="s">
        <v>8</v>
      </c>
      <c r="I21" s="5">
        <v>3498.2359999999999</v>
      </c>
      <c r="J21" s="5">
        <v>2734.6239999999998</v>
      </c>
      <c r="K21" s="6">
        <v>635.25199999999995</v>
      </c>
      <c r="L21" s="19"/>
    </row>
    <row r="22" spans="2:12" x14ac:dyDescent="0.25">
      <c r="B22" s="10" t="s">
        <v>9</v>
      </c>
      <c r="C22" s="23">
        <v>230449.26699999999</v>
      </c>
      <c r="D22" s="23">
        <v>223707.783</v>
      </c>
      <c r="E22" s="24">
        <v>190298.856</v>
      </c>
      <c r="F22" s="19"/>
      <c r="H22" s="10" t="s">
        <v>9</v>
      </c>
      <c r="I22" s="5">
        <v>229485</v>
      </c>
      <c r="J22" s="5">
        <v>222779</v>
      </c>
      <c r="K22" s="6">
        <v>189509</v>
      </c>
      <c r="L22" s="19"/>
    </row>
    <row r="23" spans="2:12" x14ac:dyDescent="0.25">
      <c r="B23" s="10" t="s">
        <v>10</v>
      </c>
      <c r="C23" s="21">
        <v>0</v>
      </c>
      <c r="D23" s="21">
        <v>0</v>
      </c>
      <c r="E23" s="22">
        <v>0</v>
      </c>
      <c r="F23" s="19"/>
      <c r="H23" s="10" t="s">
        <v>10</v>
      </c>
      <c r="I23" s="21">
        <v>0</v>
      </c>
      <c r="J23" s="21">
        <v>0</v>
      </c>
      <c r="K23" s="22">
        <v>0</v>
      </c>
      <c r="L23" s="19"/>
    </row>
    <row r="24" spans="2:12" x14ac:dyDescent="0.25">
      <c r="B24" s="10" t="s">
        <v>11</v>
      </c>
      <c r="C24" s="21">
        <v>0</v>
      </c>
      <c r="D24" s="21">
        <v>0</v>
      </c>
      <c r="E24" s="22">
        <v>0</v>
      </c>
      <c r="F24" s="19"/>
      <c r="H24" s="10" t="s">
        <v>11</v>
      </c>
      <c r="I24" s="21">
        <v>0</v>
      </c>
      <c r="J24" s="21">
        <v>0</v>
      </c>
      <c r="K24" s="22">
        <v>0</v>
      </c>
      <c r="L24" s="19"/>
    </row>
    <row r="25" spans="2:12" x14ac:dyDescent="0.25">
      <c r="B25" s="7" t="s">
        <v>17</v>
      </c>
      <c r="C25" s="14"/>
      <c r="D25" s="14"/>
      <c r="E25" s="27"/>
      <c r="F25" s="19"/>
      <c r="H25" s="7" t="s">
        <v>17</v>
      </c>
      <c r="I25" s="14"/>
      <c r="J25" s="14"/>
      <c r="K25" s="27"/>
      <c r="L25" s="19"/>
    </row>
    <row r="26" spans="2:12" x14ac:dyDescent="0.25">
      <c r="B26" s="7" t="s">
        <v>12</v>
      </c>
      <c r="C26" s="23">
        <v>193.876</v>
      </c>
      <c r="D26" s="21"/>
      <c r="E26" s="22"/>
      <c r="F26" s="19"/>
      <c r="H26" s="7" t="s">
        <v>12</v>
      </c>
      <c r="I26" s="5">
        <v>209.97399999999999</v>
      </c>
      <c r="J26" s="21"/>
      <c r="K26" s="22"/>
      <c r="L26" s="19"/>
    </row>
    <row r="27" spans="2:12" x14ac:dyDescent="0.25">
      <c r="B27" s="7" t="s">
        <v>13</v>
      </c>
      <c r="C27" s="19"/>
      <c r="D27" s="19"/>
      <c r="E27" s="28"/>
      <c r="F27" s="19"/>
      <c r="H27" s="7" t="s">
        <v>13</v>
      </c>
      <c r="I27" s="19"/>
      <c r="J27" s="19"/>
      <c r="K27" s="28"/>
      <c r="L27" s="19"/>
    </row>
    <row r="28" spans="2:12" ht="15.75" thickBot="1" x14ac:dyDescent="0.3">
      <c r="B28" s="16" t="s">
        <v>14</v>
      </c>
      <c r="C28" s="25">
        <f>SUM(C18:C26)</f>
        <v>234894.68299999999</v>
      </c>
      <c r="D28" s="25">
        <f>SUM(D18:D26)</f>
        <v>227240.52499999999</v>
      </c>
      <c r="E28" s="26">
        <f>SUM(E18:E26)</f>
        <v>191556.40599999999</v>
      </c>
      <c r="F28" s="19"/>
      <c r="H28" s="16" t="s">
        <v>14</v>
      </c>
      <c r="I28" s="25">
        <f>SUM(I18:I26)</f>
        <v>233786.99399999998</v>
      </c>
      <c r="J28" s="25">
        <f>SUM(J18:J26)</f>
        <v>226146.272</v>
      </c>
      <c r="K28" s="26">
        <f>SUM(K18:K26)</f>
        <v>190776.9</v>
      </c>
      <c r="L28" s="19"/>
    </row>
    <row r="30" spans="2:12" x14ac:dyDescent="0.25">
      <c r="C30" s="29">
        <f>C14/C28/1000</f>
        <v>6.374405558596659</v>
      </c>
      <c r="D30" s="29">
        <f t="shared" ref="D30:E30" si="5">D14/D28/1000</f>
        <v>1.0025385524875019</v>
      </c>
      <c r="E30" s="29">
        <f t="shared" si="5"/>
        <v>3.3936962410956908</v>
      </c>
      <c r="I30" s="29">
        <f>I14/I28/1000</f>
        <v>6.4067368248038639</v>
      </c>
      <c r="J30" s="29">
        <f t="shared" ref="J30:K30" si="6">J14/J28/1000</f>
        <v>1.026711930254592</v>
      </c>
      <c r="K30" s="29">
        <f t="shared" si="6"/>
        <v>3.4729310443507568</v>
      </c>
    </row>
    <row r="32" spans="2:12" x14ac:dyDescent="0.25">
      <c r="I32" s="30">
        <f>I30/C30-1</f>
        <v>5.0720441161140606E-3</v>
      </c>
      <c r="J32" s="30">
        <f t="shared" ref="J32:K32" si="7">J30/D30-1</f>
        <v>2.4112167763634673E-2</v>
      </c>
      <c r="K32" s="30">
        <f t="shared" si="7"/>
        <v>2.3347641517110107E-2</v>
      </c>
    </row>
  </sheetData>
  <mergeCells count="2">
    <mergeCell ref="C2:F2"/>
    <mergeCell ref="I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56B24BA03CC41807CCB77DED0D7D2" ma:contentTypeVersion="16" ma:contentTypeDescription="Create a new document." ma:contentTypeScope="" ma:versionID="b23234d36ada9a2c0e58a3c2dd89d137">
  <xsd:schema xmlns:xsd="http://www.w3.org/2001/XMLSchema" xmlns:xs="http://www.w3.org/2001/XMLSchema" xmlns:p="http://schemas.microsoft.com/office/2006/metadata/properties" xmlns:ns2="1ebb5cdf-5803-4e55-8f90-2858ffc370dd" targetNamespace="http://schemas.microsoft.com/office/2006/metadata/properties" ma:root="true" ma:fieldsID="ae6c52689359815722308d5d16eaa639" ns2:_="">
    <xsd:import namespace="1ebb5cdf-5803-4e55-8f90-2858ffc370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rategic" minOccurs="0"/>
                <xsd:element ref="ns2:LeadPen" minOccurs="0"/>
                <xsd:element ref="ns2:DRP_x0028_Elexicon_x0029_" minOccurs="0"/>
                <xsd:element ref="ns2:Status" minOccurs="0"/>
                <xsd:element ref="ns2:MediaServiceDateTaken" minOccurs="0"/>
                <xsd:element ref="ns2:lcf76f155ced4ddcb4097134ff3c332f" minOccurs="0"/>
                <xsd:element ref="ns2:MediaServiceGenerationTime" minOccurs="0"/>
                <xsd:element ref="ns2:MediaServiceEventHashCode" minOccurs="0"/>
                <xsd:element ref="ns2:Witne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b5cdf-5803-4e55-8f90-2858ffc37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rategic" ma:index="12" nillable="true" ma:displayName="Strategic" ma:default="0" ma:format="Dropdown" ma:internalName="Strategic">
      <xsd:simpleType>
        <xsd:restriction base="dms:Boolean"/>
      </xsd:simpleType>
    </xsd:element>
    <xsd:element name="LeadPen" ma:index="13" nillable="true" ma:displayName="Lead Pen" ma:format="Dropdown" ma:list="UserInfo" ma:SharePointGroup="0" ma:internalName="LeadP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P_x0028_Elexicon_x0029_" ma:index="14" nillable="true" ma:displayName="DRP (Elexicon)" ma:format="Dropdown" ma:list="UserInfo" ma:SharePointGroup="0" ma:internalName="DRP_x0028_Elexicon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5" nillable="true" ma:displayName="Status" ma:format="Dropdown" ma:internalName="Status">
      <xsd:simpleType>
        <xsd:union memberTypes="dms:Text">
          <xsd:simpleType>
            <xsd:restriction base="dms:Choice">
              <xsd:enumeration value="Not Started"/>
              <xsd:enumeration value="First Draft in-progress"/>
              <xsd:enumeration value="Revised Draft in-progress"/>
              <xsd:enumeration value="with Torys"/>
              <xsd:enumeration value="Ready for Witness Review"/>
              <xsd:enumeration value="Needs revisions/inputs"/>
              <xsd:enumeration value="Signed-off by Witness"/>
              <xsd:enumeration value="Formatting in Progress"/>
              <xsd:enumeration value="Ready for Final Regulatory Review"/>
              <xsd:enumeration value="Ready to be Filed"/>
              <xsd:enumeration value="Ready for PDFing"/>
            </xsd:restriction>
          </xsd:simpleType>
        </xsd:un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a22a3d-408e-4f18-9ceb-0cfc2189b2ab"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itness" ma:index="21" nillable="true" ma:displayName="Witness" ma:format="Dropdown" ma:internalName="Witness">
      <xsd:complexType>
        <xsd:complexContent>
          <xsd:extension base="dms:MultiChoiceFillIn">
            <xsd:sequence>
              <xsd:element name="Value" maxOccurs="unbounded" minOccurs="0" nillable="true">
                <xsd:simpleType>
                  <xsd:union memberTypes="dms:Text">
                    <xsd:simpleType>
                      <xsd:restriction base="dms:Choice">
                        <xsd:enumeration value="Cynthia Chan"/>
                        <xsd:enumeration value="Stephen Vetsis"/>
                        <xsd:enumeration value="Kriston Romano"/>
                        <xsd:enumeration value="Lincoln Frost-Hunt"/>
                        <xsd:enumeration value="Sam Sadeghi"/>
                        <xsd:enumeration value="Brad Walker"/>
                        <xsd:enumeration value="Stephen Sheehy"/>
                        <xsd:enumeration value="Munish Multani"/>
                        <xsd:enumeration value="Zubair Islam"/>
                        <xsd:enumeration value="Andrew Blair (PA)"/>
                      </xsd:restriction>
                    </xsd:simpleType>
                  </xsd:union>
                </xsd:simple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eadPen xmlns="1ebb5cdf-5803-4e55-8f90-2858ffc370dd">
      <UserInfo>
        <DisplayName/>
        <AccountId xsi:nil="true"/>
        <AccountType/>
      </UserInfo>
    </LeadPen>
    <lcf76f155ced4ddcb4097134ff3c332f xmlns="1ebb5cdf-5803-4e55-8f90-2858ffc370dd">
      <Terms xmlns="http://schemas.microsoft.com/office/infopath/2007/PartnerControls"/>
    </lcf76f155ced4ddcb4097134ff3c332f>
    <Strategic xmlns="1ebb5cdf-5803-4e55-8f90-2858ffc370dd">false</Strategic>
    <DRP_x0028_Elexicon_x0029_ xmlns="1ebb5cdf-5803-4e55-8f90-2858ffc370dd">
      <UserInfo>
        <DisplayName/>
        <AccountId xsi:nil="true"/>
        <AccountType/>
      </UserInfo>
    </DRP_x0028_Elexicon_x0029_>
    <Status xmlns="1ebb5cdf-5803-4e55-8f90-2858ffc370dd">Ready to be Filed</Status>
    <Witness xmlns="1ebb5cdf-5803-4e55-8f90-2858ffc370dd">
      <Value>Stephen Vetsis</Value>
    </Witness>
  </documentManagement>
</p:properties>
</file>

<file path=customXml/itemProps1.xml><?xml version="1.0" encoding="utf-8"?>
<ds:datastoreItem xmlns:ds="http://schemas.openxmlformats.org/officeDocument/2006/customXml" ds:itemID="{F9B7B1A3-78FC-4EC4-9451-393BCCCCA3FC}">
  <ds:schemaRefs>
    <ds:schemaRef ds:uri="http://schemas.microsoft.com/sharepoint/v3/contenttype/forms"/>
  </ds:schemaRefs>
</ds:datastoreItem>
</file>

<file path=customXml/itemProps2.xml><?xml version="1.0" encoding="utf-8"?>
<ds:datastoreItem xmlns:ds="http://schemas.openxmlformats.org/officeDocument/2006/customXml" ds:itemID="{8EA0E60C-0AAF-4DD5-B698-3765FF00C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bb5cdf-5803-4e55-8f90-2858ffc370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0AB553-3B88-43B5-9B67-9E434DD7F604}">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1ebb5cdf-5803-4e55-8f90-2858ffc370d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1. Info</vt:lpstr>
      <vt:lpstr>2. Table of Contents</vt:lpstr>
      <vt:lpstr>3. RRR Data 2027</vt:lpstr>
      <vt:lpstr>3. RRR Data 2028</vt:lpstr>
      <vt:lpstr>3. RRR Data 2029</vt:lpstr>
      <vt:lpstr>3. RRR Data 2030</vt:lpstr>
      <vt:lpstr>3. RRR Data 2031</vt:lpstr>
      <vt:lpstr>4. UTRs &amp; Sub-Transmission</vt:lpstr>
      <vt:lpstr>4a. Forecast 2026 UTR</vt:lpstr>
      <vt:lpstr>7. Forecast Wholesale 2026</vt:lpstr>
      <vt:lpstr>7. Forecast Wholesale 2027</vt:lpstr>
      <vt:lpstr>8. RTSR Rates to Forecast 2027</vt:lpstr>
      <vt:lpstr>7. Forecast Wholesale 2028</vt:lpstr>
      <vt:lpstr>8. RTSR Rates to Forecast 2028</vt:lpstr>
      <vt:lpstr>7. Forecast Wholesale 2029</vt:lpstr>
      <vt:lpstr>8. RTSR Rates to Forecast 2029</vt:lpstr>
      <vt:lpstr>7. Forecast Wholesale 2030</vt:lpstr>
      <vt:lpstr>8. RTSR Rates to Forecast 2030</vt:lpstr>
      <vt:lpstr>7. Forecast Wholesale 2031</vt:lpstr>
      <vt:lpstr>8. RTSR Rates to Forecast 2031</vt:lpstr>
      <vt:lpstr>Forecast RTSRs</vt:lpstr>
      <vt:lpstr>LV Charges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Susan Kim</cp:lastModifiedBy>
  <dcterms:created xsi:type="dcterms:W3CDTF">2025-08-22T17:46:52Z</dcterms:created>
  <dcterms:modified xsi:type="dcterms:W3CDTF">2025-12-17T05:23:05Z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0x0101007C856B24BA03CC41807CCB77DED0D7D2</vt:lpwstr>
  </property>
  <property fmtid="{D5CDD505-2E9C-101B-9397-08002B2CF9AE}" pid="3" name="MediaServiceImageTags">
    <vt:lpwstr/>
  </property>
</Properties>
</file>