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5-0030_JRAP DX 2026 Annual Update\Reply Sub\"/>
    </mc:Choice>
  </mc:AlternateContent>
  <xr:revisionPtr revIDLastSave="0" documentId="13_ncr:1_{A51083C2-E544-4BE1-B494-0B15A133AD37}" xr6:coauthVersionLast="47" xr6:coauthVersionMax="47" xr10:uidLastSave="{00000000-0000-0000-0000-000000000000}"/>
  <bookViews>
    <workbookView xWindow="-110" yWindow="-110" windowWidth="19420" windowHeight="10300" xr2:uid="{8DE5933E-0895-4C2A-9410-5F50CE2ED234}"/>
  </bookViews>
  <sheets>
    <sheet name="Summary" sheetId="2" r:id="rId1"/>
  </sheets>
  <definedNames>
    <definedName name="_xlnm._FilterDatabase" localSheetId="0" hidden="1">Summary!$A$13:$AA$13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2" l="1"/>
  <c r="T16" i="2"/>
  <c r="R16" i="2"/>
  <c r="J19" i="2"/>
  <c r="K19" i="2"/>
  <c r="I19" i="2"/>
  <c r="J35" i="2"/>
  <c r="I35" i="2"/>
  <c r="J43" i="2"/>
  <c r="I43" i="2"/>
  <c r="J42" i="2"/>
  <c r="I42" i="2"/>
  <c r="J39" i="2"/>
  <c r="I39" i="2"/>
  <c r="J38" i="2"/>
  <c r="I38" i="2"/>
  <c r="J37" i="2"/>
  <c r="I37" i="2"/>
  <c r="J36" i="2"/>
  <c r="I36" i="2"/>
  <c r="J34" i="2"/>
  <c r="I34" i="2"/>
  <c r="J31" i="2"/>
  <c r="I31" i="2"/>
  <c r="J28" i="2"/>
  <c r="I28" i="2"/>
  <c r="J27" i="2"/>
  <c r="I27" i="2"/>
  <c r="J26" i="2"/>
  <c r="I26" i="2"/>
  <c r="J25" i="2"/>
  <c r="I25" i="2"/>
  <c r="U16" i="2" l="1"/>
  <c r="I18" i="2"/>
  <c r="K18" i="2"/>
  <c r="K46" i="2" s="1"/>
  <c r="J18" i="2"/>
  <c r="I41" i="2" l="1"/>
  <c r="J41" i="2"/>
  <c r="I40" i="2"/>
  <c r="J40" i="2"/>
  <c r="J29" i="2" l="1"/>
  <c r="I29" i="2"/>
  <c r="I30" i="2"/>
  <c r="J30" i="2"/>
  <c r="J33" i="2"/>
  <c r="I33" i="2"/>
  <c r="J32" i="2"/>
  <c r="I32" i="2"/>
  <c r="I45" i="2"/>
  <c r="J45" i="2"/>
  <c r="I44" i="2"/>
  <c r="J44" i="2"/>
  <c r="J46" i="2" l="1"/>
  <c r="M33" i="2" s="1"/>
  <c r="S33" i="2" s="1"/>
  <c r="Z33" i="2" s="1"/>
  <c r="M26" i="2"/>
  <c r="S26" i="2" s="1"/>
  <c r="X26" i="2" s="1"/>
  <c r="M19" i="2"/>
  <c r="S19" i="2" s="1"/>
  <c r="M39" i="2"/>
  <c r="S39" i="2" s="1"/>
  <c r="X39" i="2" s="1"/>
  <c r="M40" i="2"/>
  <c r="S40" i="2" s="1"/>
  <c r="Z40" i="2" s="1"/>
  <c r="M27" i="2"/>
  <c r="S27" i="2" s="1"/>
  <c r="X27" i="2" s="1"/>
  <c r="M28" i="2"/>
  <c r="S28" i="2" s="1"/>
  <c r="X28" i="2" s="1"/>
  <c r="M31" i="2"/>
  <c r="S31" i="2" s="1"/>
  <c r="X31" i="2" s="1"/>
  <c r="M35" i="2"/>
  <c r="S35" i="2" s="1"/>
  <c r="Z35" i="2" s="1"/>
  <c r="N18" i="2"/>
  <c r="T18" i="2" s="1"/>
  <c r="M37" i="2"/>
  <c r="S37" i="2" s="1"/>
  <c r="X37" i="2" s="1"/>
  <c r="M41" i="2"/>
  <c r="S41" i="2" s="1"/>
  <c r="Z41" i="2" s="1"/>
  <c r="M29" i="2"/>
  <c r="S29" i="2" s="1"/>
  <c r="Z29" i="2" s="1"/>
  <c r="M25" i="2"/>
  <c r="S25" i="2" s="1"/>
  <c r="X25" i="2" s="1"/>
  <c r="M38" i="2"/>
  <c r="S38" i="2" s="1"/>
  <c r="X38" i="2" s="1"/>
  <c r="M44" i="2"/>
  <c r="S44" i="2" s="1"/>
  <c r="Z44" i="2" s="1"/>
  <c r="I46" i="2"/>
  <c r="M36" i="2" l="1"/>
  <c r="S36" i="2" s="1"/>
  <c r="X36" i="2" s="1"/>
  <c r="M34" i="2"/>
  <c r="S34" i="2" s="1"/>
  <c r="X34" i="2" s="1"/>
  <c r="AA18" i="2"/>
  <c r="AA19" i="2" s="1"/>
  <c r="M18" i="2"/>
  <c r="S18" i="2" s="1"/>
  <c r="N19" i="2"/>
  <c r="T19" i="2" s="1"/>
  <c r="T46" i="2" s="1"/>
  <c r="M30" i="2"/>
  <c r="S30" i="2" s="1"/>
  <c r="Z30" i="2" s="1"/>
  <c r="M45" i="2"/>
  <c r="S45" i="2" s="1"/>
  <c r="Z45" i="2" s="1"/>
  <c r="M43" i="2"/>
  <c r="S43" i="2" s="1"/>
  <c r="X43" i="2" s="1"/>
  <c r="M32" i="2"/>
  <c r="S32" i="2" s="1"/>
  <c r="Z32" i="2" s="1"/>
  <c r="M42" i="2"/>
  <c r="S42" i="2" s="1"/>
  <c r="X42" i="2" s="1"/>
  <c r="L36" i="2"/>
  <c r="R36" i="2" s="1"/>
  <c r="W36" i="2" s="1"/>
  <c r="L28" i="2"/>
  <c r="R28" i="2" s="1"/>
  <c r="W28" i="2" s="1"/>
  <c r="L37" i="2"/>
  <c r="R37" i="2" s="1"/>
  <c r="W37" i="2" s="1"/>
  <c r="L42" i="2"/>
  <c r="R42" i="2" s="1"/>
  <c r="W42" i="2" s="1"/>
  <c r="L31" i="2"/>
  <c r="R31" i="2" s="1"/>
  <c r="W31" i="2" s="1"/>
  <c r="L19" i="2"/>
  <c r="R19" i="2" s="1"/>
  <c r="U19" i="2" s="1"/>
  <c r="L41" i="2"/>
  <c r="R41" i="2" s="1"/>
  <c r="Y41" i="2" s="1"/>
  <c r="L40" i="2"/>
  <c r="R40" i="2" s="1"/>
  <c r="Y40" i="2" s="1"/>
  <c r="L38" i="2"/>
  <c r="R38" i="2" s="1"/>
  <c r="W38" i="2" s="1"/>
  <c r="L35" i="2"/>
  <c r="R35" i="2" s="1"/>
  <c r="Y35" i="2" s="1"/>
  <c r="L26" i="2"/>
  <c r="R26" i="2" s="1"/>
  <c r="W26" i="2" s="1"/>
  <c r="L25" i="2"/>
  <c r="R25" i="2" s="1"/>
  <c r="W25" i="2" s="1"/>
  <c r="L43" i="2"/>
  <c r="R43" i="2" s="1"/>
  <c r="W43" i="2" s="1"/>
  <c r="L30" i="2"/>
  <c r="R30" i="2" s="1"/>
  <c r="Y30" i="2" s="1"/>
  <c r="L39" i="2"/>
  <c r="R39" i="2" s="1"/>
  <c r="W39" i="2" s="1"/>
  <c r="L34" i="2"/>
  <c r="R34" i="2" s="1"/>
  <c r="W34" i="2" s="1"/>
  <c r="L18" i="2"/>
  <c r="R18" i="2" s="1"/>
  <c r="L27" i="2"/>
  <c r="R27" i="2" s="1"/>
  <c r="W27" i="2" s="1"/>
  <c r="L32" i="2"/>
  <c r="R32" i="2" s="1"/>
  <c r="Y32" i="2" s="1"/>
  <c r="L29" i="2"/>
  <c r="R29" i="2" s="1"/>
  <c r="Y29" i="2" s="1"/>
  <c r="L44" i="2"/>
  <c r="R44" i="2" s="1"/>
  <c r="Y44" i="2" s="1"/>
  <c r="L33" i="2"/>
  <c r="R33" i="2" s="1"/>
  <c r="Y33" i="2" s="1"/>
  <c r="L45" i="2"/>
  <c r="R45" i="2" s="1"/>
  <c r="Y45" i="2" s="1"/>
  <c r="U18" i="2" l="1"/>
  <c r="R46" i="2"/>
  <c r="Y18" i="2"/>
  <c r="Y19" i="2" s="1"/>
  <c r="S46" i="2"/>
  <c r="Z18" i="2"/>
  <c r="Z19" i="2" s="1"/>
  <c r="U46" i="2" l="1"/>
</calcChain>
</file>

<file path=xl/sharedStrings.xml><?xml version="1.0" encoding="utf-8"?>
<sst xmlns="http://schemas.openxmlformats.org/spreadsheetml/2006/main" count="95" uniqueCount="62">
  <si>
    <t>UTR</t>
  </si>
  <si>
    <t>Proceeding</t>
  </si>
  <si>
    <t>Network</t>
  </si>
  <si>
    <t>Line Connection</t>
  </si>
  <si>
    <t>Transformation Connection</t>
  </si>
  <si>
    <t>$/kW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</si>
  <si>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</si>
  <si>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</si>
  <si>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</si>
  <si>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</si>
  <si>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</si>
  <si>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</si>
  <si>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</si>
  <si>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</si>
  <si>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</si>
  <si>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</si>
  <si>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</si>
  <si>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</si>
  <si>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</si>
  <si>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</si>
  <si>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</si>
  <si>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</si>
  <si>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</si>
  <si>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</si>
  <si>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</si>
  <si>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</si>
  <si>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</si>
  <si>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</si>
  <si>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</si>
  <si>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</si>
  <si>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</si>
  <si>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</si>
  <si>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</si>
  <si>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</si>
  <si>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</si>
  <si>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</si>
  <si>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</si>
  <si>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</si>
  <si>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</si>
  <si>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</si>
  <si>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</si>
  <si>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</si>
  <si>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</si>
  <si>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</si>
  <si>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</si>
  <si>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</si>
  <si>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</si>
  <si>
    <t>Allocators:  Sum of 2024 Individual Peaks, coincident with Tx DP Peak</t>
  </si>
  <si>
    <t>2026 Proposed Tx Charges</t>
  </si>
  <si>
    <t>2026 Proposed RTSR</t>
  </si>
  <si>
    <t>GSd - EV CHARGING</t>
  </si>
  <si>
    <t>ST - EV CHARGING</t>
  </si>
  <si>
    <t>UGd - EV CHARGING</t>
  </si>
  <si>
    <t>AUGd - EV CHARGING</t>
  </si>
  <si>
    <t>AGSd - EV CHARGING</t>
  </si>
  <si>
    <t>2023 Forecast Charge Determinants</t>
  </si>
  <si>
    <t>Current (2025) RTSRs</t>
  </si>
  <si>
    <t>Current RTSR Revenues</t>
  </si>
  <si>
    <t>% Revenue Share by class</t>
  </si>
  <si>
    <t>TOTAL</t>
  </si>
  <si>
    <t>2026 Preliminary UTRs</t>
  </si>
  <si>
    <t>EB-2025-0232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</si>
</sst>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  <numFmt numFmtId="169" formatCode="&quot;$&quot;#,##0.0000"/>
    <numFmt numFmtId="170" formatCode="&quot;$&quot;#,##0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0" fontId="3" fillId="0" borderId="0" xfId="0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5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/>
    <xf numFmtId="166" fontId="2" fillId="0" borderId="0" xfId="0" applyNumberFormat="1" applyFont="1"/>
    <xf numFmtId="165" fontId="3" fillId="0" borderId="0" xfId="0" applyNumberFormat="1" applyFont="1"/>
    <xf numFmtId="166" fontId="4" fillId="0" borderId="0" xfId="0" applyNumberFormat="1" applyFont="1"/>
    <xf numFmtId="3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43" fontId="2" fillId="0" borderId="7" xfId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165" fontId="6" fillId="0" borderId="4" xfId="2" applyNumberFormat="1" applyFont="1" applyFill="1" applyBorder="1"/>
    <xf numFmtId="5" fontId="2" fillId="0" borderId="4" xfId="2" applyNumberFormat="1" applyFont="1" applyBorder="1" applyAlignment="1">
      <alignment horizontal="center" vertical="center"/>
    </xf>
    <xf numFmtId="9" fontId="2" fillId="0" borderId="5" xfId="3" applyFont="1" applyBorder="1" applyAlignment="1">
      <alignment vertical="center"/>
    </xf>
    <xf numFmtId="5" fontId="3" fillId="0" borderId="4" xfId="2" applyNumberFormat="1" applyFont="1" applyBorder="1" applyAlignment="1">
      <alignment horizontal="center"/>
    </xf>
    <xf numFmtId="5" fontId="2" fillId="0" borderId="4" xfId="2" applyNumberFormat="1" applyFont="1" applyBorder="1" applyAlignment="1">
      <alignment horizontal="center"/>
    </xf>
    <xf numFmtId="9" fontId="2" fillId="0" borderId="5" xfId="3" applyFont="1" applyBorder="1"/>
    <xf numFmtId="9" fontId="3" fillId="0" borderId="5" xfId="3" applyFont="1" applyBorder="1"/>
    <xf numFmtId="165" fontId="3" fillId="0" borderId="4" xfId="2" applyNumberFormat="1" applyFont="1" applyBorder="1"/>
    <xf numFmtId="167" fontId="3" fillId="0" borderId="5" xfId="3" applyNumberFormat="1" applyFont="1" applyBorder="1"/>
    <xf numFmtId="44" fontId="2" fillId="0" borderId="5" xfId="0" applyNumberFormat="1" applyFont="1" applyBorder="1"/>
    <xf numFmtId="3" fontId="2" fillId="0" borderId="7" xfId="0" applyNumberFormat="1" applyFont="1" applyBorder="1"/>
    <xf numFmtId="169" fontId="2" fillId="0" borderId="1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169" fontId="4" fillId="0" borderId="4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center" vertical="center"/>
    </xf>
    <xf numFmtId="169" fontId="2" fillId="0" borderId="1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170" fontId="2" fillId="0" borderId="4" xfId="1" applyNumberFormat="1" applyFont="1" applyFill="1" applyBorder="1" applyAlignment="1">
      <alignment horizontal="center"/>
    </xf>
    <xf numFmtId="170" fontId="2" fillId="0" borderId="0" xfId="1" applyNumberFormat="1" applyFont="1" applyFill="1" applyBorder="1" applyAlignment="1">
      <alignment horizontal="center"/>
    </xf>
    <xf numFmtId="170" fontId="2" fillId="0" borderId="5" xfId="1" applyNumberFormat="1" applyFont="1" applyFill="1" applyBorder="1" applyAlignment="1">
      <alignment horizontal="center"/>
    </xf>
    <xf numFmtId="170" fontId="4" fillId="0" borderId="4" xfId="1" applyNumberFormat="1" applyFont="1" applyFill="1" applyBorder="1"/>
    <xf numFmtId="170" fontId="4" fillId="0" borderId="0" xfId="1" applyNumberFormat="1" applyFont="1" applyFill="1" applyBorder="1"/>
    <xf numFmtId="170" fontId="4" fillId="0" borderId="5" xfId="1" applyNumberFormat="1" applyFont="1" applyFill="1" applyBorder="1"/>
    <xf numFmtId="170" fontId="2" fillId="0" borderId="4" xfId="0" applyNumberFormat="1" applyFont="1" applyBorder="1"/>
    <xf numFmtId="170" fontId="2" fillId="0" borderId="0" xfId="0" applyNumberFormat="1" applyFont="1"/>
    <xf numFmtId="170" fontId="2" fillId="0" borderId="5" xfId="0" applyNumberFormat="1" applyFont="1" applyBorder="1"/>
    <xf numFmtId="170" fontId="4" fillId="0" borderId="4" xfId="0" applyNumberFormat="1" applyFont="1" applyBorder="1"/>
    <xf numFmtId="170" fontId="4" fillId="0" borderId="0" xfId="0" applyNumberFormat="1" applyFont="1"/>
    <xf numFmtId="170" fontId="4" fillId="0" borderId="5" xfId="0" applyNumberFormat="1" applyFont="1" applyBorder="1"/>
    <xf numFmtId="170" fontId="2" fillId="0" borderId="4" xfId="0" applyNumberFormat="1" applyFont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170" fontId="2" fillId="0" borderId="5" xfId="0" applyNumberFormat="1" applyFont="1" applyBorder="1" applyAlignment="1">
      <alignment horizontal="center"/>
    </xf>
    <xf numFmtId="170" fontId="2" fillId="0" borderId="6" xfId="1" applyNumberFormat="1" applyFont="1" applyFill="1" applyBorder="1" applyAlignment="1">
      <alignment horizontal="center"/>
    </xf>
    <xf numFmtId="170" fontId="2" fillId="0" borderId="7" xfId="1" applyNumberFormat="1" applyFont="1" applyFill="1" applyBorder="1" applyAlignment="1">
      <alignment horizontal="center"/>
    </xf>
    <xf numFmtId="170" fontId="2" fillId="0" borderId="11" xfId="0" applyNumberFormat="1" applyFont="1" applyBorder="1"/>
    <xf numFmtId="9" fontId="2" fillId="0" borderId="0" xfId="3" applyFont="1" applyFill="1" applyBorder="1" applyAlignment="1">
      <alignment horizontal="center"/>
    </xf>
    <xf numFmtId="9" fontId="2" fillId="0" borderId="4" xfId="3" applyFont="1" applyFill="1" applyBorder="1" applyAlignment="1">
      <alignment horizontal="center"/>
    </xf>
    <xf numFmtId="9" fontId="2" fillId="0" borderId="5" xfId="3" applyFont="1" applyFill="1" applyBorder="1" applyAlignment="1">
      <alignment horizontal="center"/>
    </xf>
    <xf numFmtId="9" fontId="4" fillId="0" borderId="4" xfId="3" applyFont="1" applyFill="1" applyBorder="1"/>
    <xf numFmtId="9" fontId="2" fillId="0" borderId="4" xfId="3" applyFont="1" applyBorder="1"/>
    <xf numFmtId="9" fontId="4" fillId="0" borderId="4" xfId="3" applyFont="1" applyBorder="1"/>
    <xf numFmtId="9" fontId="2" fillId="0" borderId="4" xfId="3" applyFont="1" applyBorder="1" applyAlignment="1">
      <alignment horizontal="center"/>
    </xf>
    <xf numFmtId="9" fontId="2" fillId="0" borderId="6" xfId="3" applyFont="1" applyFill="1" applyBorder="1" applyAlignment="1">
      <alignment horizontal="center"/>
    </xf>
    <xf numFmtId="9" fontId="2" fillId="0" borderId="7" xfId="3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5" fontId="2" fillId="0" borderId="6" xfId="2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0" fontId="2" fillId="0" borderId="4" xfId="3" applyNumberFormat="1" applyFont="1" applyFill="1" applyBorder="1" applyAlignment="1">
      <alignment horizontal="center" vertical="center"/>
    </xf>
    <xf numFmtId="10" fontId="2" fillId="0" borderId="0" xfId="3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2" fillId="0" borderId="6" xfId="3" applyNumberFormat="1" applyFont="1" applyFill="1" applyBorder="1" applyAlignment="1">
      <alignment horizontal="center" vertical="center"/>
    </xf>
    <xf numFmtId="10" fontId="2" fillId="0" borderId="7" xfId="3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35D4-4A47-4467-A980-DAC2B2BA077E}">
  <sheetPr>
    <pageSetUpPr fitToPage="1"/>
  </sheetPr>
  <dimension ref="A2:AC50"/>
  <sheetViews>
    <sheetView tabSelected="1" workbookViewId="0">
      <selection activeCell="A49" sqref="A49:XFD64"/>
    </sheetView>
  </sheetViews>
  <sheetFormatPr defaultColWidth="9.140625" defaultRowHeight="12.75" x14ac:dyDescent="0.2"/>
  <cols>
    <col min="1" max="1" width="9.140625" style="6" customWidth="1"/>
    <col min="2" max="2" width="21.140625" style="6" customWidth="1"/>
    <col min="3" max="5" width="13.140625" style="6" customWidth="1"/>
    <col min="6" max="6" width="16.85546875" style="6" customWidth="1"/>
    <col min="7" max="7" width="14" style="6" customWidth="1"/>
    <col min="8" max="14" width="16.5703125" style="6" customWidth="1"/>
    <col min="15" max="15" width="14.7109375" style="6" customWidth="1"/>
    <col min="16" max="16" width="13.85546875" style="6" customWidth="1"/>
    <col min="17" max="17" width="14.5703125" style="6" customWidth="1"/>
    <col min="18" max="18" width="21.42578125" style="6" bestFit="1" customWidth="1"/>
    <col min="19" max="20" width="16.5703125" style="6" customWidth="1"/>
    <col min="21" max="21" width="13.140625" style="6" customWidth="1"/>
    <col min="22" max="22" width="14.5703125" style="6" customWidth="1"/>
    <col min="23" max="23" width="11.7109375" style="6" bestFit="1" customWidth="1"/>
    <col min="24" max="24" width="11.42578125" style="6" customWidth="1"/>
    <col min="25" max="25" width="10.42578125" style="6" customWidth="1"/>
    <col min="26" max="26" width="11.85546875" style="6" customWidth="1"/>
    <col min="27" max="27" width="14.42578125" style="6" bestFit="1" customWidth="1"/>
    <col min="28" max="16384" width="9.140625" style="6"/>
  </cols>
  <sheetData>
    <row r="2" spans="1:27" ht="13.5" thickBot="1" x14ac:dyDescent="0.25">
      <c r="R2" s="57"/>
      <c r="S2" s="54"/>
      <c r="T2" s="54"/>
      <c r="U2" s="54"/>
      <c r="V2" s="54"/>
    </row>
    <row r="3" spans="1:27" ht="25.5" x14ac:dyDescent="0.2">
      <c r="R3" s="58" t="s">
        <v>0</v>
      </c>
      <c r="S3" s="55" t="s">
        <v>1</v>
      </c>
      <c r="T3" s="55" t="s">
        <v>2</v>
      </c>
      <c r="U3" s="55" t="s">
        <v>3</v>
      </c>
      <c r="V3" s="56" t="s">
        <v>4</v>
      </c>
    </row>
    <row r="4" spans="1:27" x14ac:dyDescent="0.2">
      <c r="R4" s="51"/>
      <c r="S4" s="29"/>
      <c r="T4" s="52" t="s">
        <v>5</v>
      </c>
      <c r="U4" s="52" t="s">
        <v>5</v>
      </c>
      <c r="V4" s="53" t="s">
        <v>5</v>
      </c>
    </row>
    <row r="5" spans="1:27" x14ac:dyDescent="0.2">
      <c r="Q5" s="7"/>
      <c r="R5" s="66" t="s">
        <v>60</v>
      </c>
      <c r="S5" s="67" t="s">
        <v>61</v>
      </c>
      <c r="T5" s="86">
        <v>6.42</v>
      </c>
      <c r="U5" s="86">
        <v>1.02</v>
      </c>
      <c r="V5" s="87">
        <v>3.47</v>
      </c>
      <c r="W5" s="8"/>
    </row>
    <row r="6" spans="1:27" hidden="1" x14ac:dyDescent="0.2">
      <c r="Q6" s="7"/>
      <c r="R6" s="5" t="s">
        <v>6</v>
      </c>
      <c r="S6" s="9" t="s">
        <v>7</v>
      </c>
      <c r="T6" s="10">
        <v>3.52</v>
      </c>
      <c r="U6" s="10">
        <v>0.88</v>
      </c>
      <c r="V6" s="11">
        <v>2.13</v>
      </c>
    </row>
    <row r="7" spans="1:27" hidden="1" x14ac:dyDescent="0.2">
      <c r="Q7" s="7"/>
      <c r="R7" s="5" t="s">
        <v>8</v>
      </c>
      <c r="S7" s="9" t="s">
        <v>9</v>
      </c>
      <c r="T7" s="10">
        <v>3.61</v>
      </c>
      <c r="U7" s="10">
        <v>0.95</v>
      </c>
      <c r="V7" s="11">
        <v>2.34</v>
      </c>
    </row>
    <row r="8" spans="1:27" hidden="1" x14ac:dyDescent="0.2">
      <c r="Q8" s="7"/>
      <c r="R8" s="5" t="s">
        <v>10</v>
      </c>
      <c r="S8" s="9" t="s">
        <v>11</v>
      </c>
      <c r="T8" s="12">
        <v>3.92</v>
      </c>
      <c r="U8" s="12">
        <v>0.97</v>
      </c>
      <c r="V8" s="11">
        <v>2.33</v>
      </c>
    </row>
    <row r="9" spans="1:27" hidden="1" x14ac:dyDescent="0.2">
      <c r="Q9" s="7"/>
      <c r="R9" s="5" t="s">
        <v>12</v>
      </c>
      <c r="S9" s="9" t="s">
        <v>13</v>
      </c>
      <c r="T9" s="12">
        <v>4.67</v>
      </c>
      <c r="U9" s="12">
        <v>0.77</v>
      </c>
      <c r="V9" s="13">
        <v>2.5299999999999998</v>
      </c>
    </row>
    <row r="10" spans="1:27" hidden="1" x14ac:dyDescent="0.2">
      <c r="Q10" s="7"/>
      <c r="R10" s="5" t="s">
        <v>14</v>
      </c>
      <c r="S10" s="9" t="s">
        <v>15</v>
      </c>
      <c r="T10" s="12">
        <v>5.46</v>
      </c>
      <c r="U10" s="12">
        <v>0.88</v>
      </c>
      <c r="V10" s="13">
        <v>2.81</v>
      </c>
    </row>
    <row r="11" spans="1:27" ht="13.5" thickBot="1" x14ac:dyDescent="0.25">
      <c r="Q11" s="14"/>
      <c r="R11" s="15"/>
      <c r="S11" s="16"/>
      <c r="T11" s="17"/>
      <c r="U11" s="17"/>
      <c r="V11" s="18"/>
    </row>
    <row r="12" spans="1:27" ht="42.95" customHeight="1" thickBot="1" x14ac:dyDescent="0.25">
      <c r="B12" s="19"/>
      <c r="C12" s="184" t="s">
        <v>56</v>
      </c>
      <c r="D12" s="185"/>
      <c r="E12" s="186"/>
      <c r="F12" s="187" t="s">
        <v>55</v>
      </c>
      <c r="G12" s="188"/>
      <c r="H12" s="189"/>
      <c r="I12" s="187" t="s">
        <v>57</v>
      </c>
      <c r="J12" s="188"/>
      <c r="K12" s="189"/>
      <c r="L12" s="190" t="s">
        <v>58</v>
      </c>
      <c r="M12" s="191"/>
      <c r="N12" s="192"/>
      <c r="O12" s="195" t="s">
        <v>47</v>
      </c>
      <c r="P12" s="196"/>
      <c r="Q12" s="197"/>
      <c r="R12" s="190" t="s">
        <v>48</v>
      </c>
      <c r="S12" s="191"/>
      <c r="T12" s="191"/>
      <c r="U12" s="191"/>
      <c r="V12" s="192"/>
      <c r="W12" s="198" t="s">
        <v>49</v>
      </c>
      <c r="X12" s="199"/>
      <c r="Y12" s="199"/>
      <c r="Z12" s="199"/>
      <c r="AA12" s="200"/>
    </row>
    <row r="13" spans="1:27" ht="39" customHeight="1" thickBot="1" x14ac:dyDescent="0.25">
      <c r="A13" s="1"/>
      <c r="B13" s="19"/>
      <c r="C13" s="181" t="s">
        <v>2</v>
      </c>
      <c r="D13" s="182" t="s">
        <v>3</v>
      </c>
      <c r="E13" s="183" t="s">
        <v>4</v>
      </c>
      <c r="F13" s="101" t="s">
        <v>2</v>
      </c>
      <c r="G13" s="121" t="s">
        <v>3</v>
      </c>
      <c r="H13" s="122" t="s">
        <v>4</v>
      </c>
      <c r="I13" s="101" t="s">
        <v>2</v>
      </c>
      <c r="J13" s="121" t="s">
        <v>3</v>
      </c>
      <c r="K13" s="122" t="s">
        <v>4</v>
      </c>
      <c r="L13" s="101" t="s">
        <v>2</v>
      </c>
      <c r="M13" s="121" t="s">
        <v>3</v>
      </c>
      <c r="N13" s="122" t="s">
        <v>4</v>
      </c>
      <c r="O13" s="102" t="s">
        <v>2</v>
      </c>
      <c r="P13" s="103" t="s">
        <v>3</v>
      </c>
      <c r="Q13" s="104" t="s">
        <v>4</v>
      </c>
      <c r="R13" s="100" t="s">
        <v>2</v>
      </c>
      <c r="S13" s="121" t="s">
        <v>3</v>
      </c>
      <c r="T13" s="121" t="s">
        <v>4</v>
      </c>
      <c r="U13" s="101" t="s">
        <v>16</v>
      </c>
      <c r="V13" s="123"/>
      <c r="W13" s="201" t="s">
        <v>17</v>
      </c>
      <c r="X13" s="202"/>
      <c r="Y13" s="203" t="s">
        <v>18</v>
      </c>
      <c r="Z13" s="203"/>
      <c r="AA13" s="202"/>
    </row>
    <row r="14" spans="1:27" x14ac:dyDescent="0.2">
      <c r="B14" s="19"/>
      <c r="C14" s="135"/>
      <c r="D14" s="143"/>
      <c r="E14" s="144"/>
      <c r="F14" s="21"/>
      <c r="G14" s="21"/>
      <c r="H14" s="20"/>
      <c r="I14" s="19"/>
      <c r="J14" s="21"/>
      <c r="K14" s="20"/>
      <c r="L14" s="19"/>
      <c r="M14" s="21"/>
      <c r="N14" s="20"/>
      <c r="O14" s="60"/>
      <c r="P14" s="61"/>
      <c r="Q14" s="62"/>
      <c r="R14" s="60"/>
      <c r="S14" s="61"/>
      <c r="T14" s="61"/>
      <c r="U14" s="61"/>
      <c r="V14" s="20"/>
      <c r="W14" s="19"/>
      <c r="X14" s="20"/>
      <c r="Y14" s="19"/>
      <c r="Z14" s="21"/>
      <c r="AA14" s="20"/>
    </row>
    <row r="15" spans="1:27" x14ac:dyDescent="0.2">
      <c r="B15" s="1"/>
      <c r="C15" s="136"/>
      <c r="D15" s="140"/>
      <c r="E15" s="145"/>
      <c r="H15" s="25"/>
      <c r="I15" s="1"/>
      <c r="K15" s="25"/>
      <c r="L15" s="1"/>
      <c r="N15" s="25"/>
      <c r="O15" s="63"/>
      <c r="P15" s="22"/>
      <c r="Q15" s="23"/>
      <c r="R15" s="124"/>
      <c r="S15" s="24"/>
      <c r="T15" s="24"/>
      <c r="U15" s="24"/>
      <c r="V15" s="25"/>
      <c r="W15" s="1"/>
      <c r="X15" s="25"/>
      <c r="Y15" s="1"/>
      <c r="AA15" s="25"/>
    </row>
    <row r="16" spans="1:27" s="57" customFormat="1" ht="25.5" x14ac:dyDescent="0.2">
      <c r="B16" s="3" t="s">
        <v>19</v>
      </c>
      <c r="C16" s="136"/>
      <c r="D16" s="140"/>
      <c r="E16" s="145"/>
      <c r="F16" s="105">
        <v>64156517.242763631</v>
      </c>
      <c r="G16" s="105">
        <v>58536774.925318129</v>
      </c>
      <c r="H16" s="179">
        <v>65738591.970111378</v>
      </c>
      <c r="I16" s="150"/>
      <c r="J16" s="106"/>
      <c r="K16" s="74"/>
      <c r="L16" s="150"/>
      <c r="M16" s="106"/>
      <c r="N16" s="74"/>
      <c r="O16" s="75">
        <v>64156517.242763631</v>
      </c>
      <c r="P16" s="76">
        <v>58536774.925318129</v>
      </c>
      <c r="Q16" s="77">
        <v>65738591.970111378</v>
      </c>
      <c r="R16" s="125">
        <f>F16*T5</f>
        <v>411884840.69854254</v>
      </c>
      <c r="S16" s="88">
        <f>G16*U5</f>
        <v>59707510.423824497</v>
      </c>
      <c r="T16" s="88">
        <f t="shared" ref="T16" si="0">H16*V5</f>
        <v>228112914.1362865</v>
      </c>
      <c r="U16" s="107">
        <f>SUM(R16:T16)</f>
        <v>699705265.25865352</v>
      </c>
      <c r="V16" s="126"/>
      <c r="W16" s="3"/>
      <c r="X16" s="65"/>
      <c r="Y16" s="49" t="s">
        <v>2</v>
      </c>
      <c r="Z16" s="108" t="s">
        <v>3</v>
      </c>
      <c r="AA16" s="50" t="s">
        <v>4</v>
      </c>
    </row>
    <row r="17" spans="1:29" s="31" customFormat="1" x14ac:dyDescent="0.2">
      <c r="A17" s="4"/>
      <c r="B17" s="4" t="s">
        <v>20</v>
      </c>
      <c r="C17" s="137"/>
      <c r="D17" s="141"/>
      <c r="E17" s="146"/>
      <c r="F17" s="109"/>
      <c r="G17" s="110"/>
      <c r="H17" s="78"/>
      <c r="I17" s="151"/>
      <c r="J17" s="110"/>
      <c r="K17" s="78"/>
      <c r="L17" s="151"/>
      <c r="M17" s="110"/>
      <c r="N17" s="78"/>
      <c r="O17" s="79"/>
      <c r="P17" s="80"/>
      <c r="Q17" s="81"/>
      <c r="R17" s="127"/>
      <c r="S17" s="89"/>
      <c r="T17" s="89"/>
      <c r="U17" s="111"/>
      <c r="V17" s="37"/>
      <c r="W17" s="4"/>
      <c r="X17" s="37"/>
      <c r="Y17" s="27" t="s">
        <v>5</v>
      </c>
      <c r="Z17" s="112" t="s">
        <v>5</v>
      </c>
      <c r="AA17" s="28" t="s">
        <v>5</v>
      </c>
    </row>
    <row r="18" spans="1:29" x14ac:dyDescent="0.2">
      <c r="A18" s="1"/>
      <c r="B18" s="1" t="s">
        <v>21</v>
      </c>
      <c r="C18" s="136">
        <v>5.3280000000000003</v>
      </c>
      <c r="D18" s="140">
        <v>0.68820000000000003</v>
      </c>
      <c r="E18" s="145">
        <v>3.4893999999999998</v>
      </c>
      <c r="F18" s="82">
        <v>30779297.882809322</v>
      </c>
      <c r="G18" s="82">
        <v>30381152.893179212</v>
      </c>
      <c r="H18" s="83">
        <v>24625947.26374374</v>
      </c>
      <c r="I18" s="152">
        <f>C18*F18</f>
        <v>163992099.11960807</v>
      </c>
      <c r="J18" s="153">
        <f>D18*G18</f>
        <v>20908309.421085935</v>
      </c>
      <c r="K18" s="154">
        <f t="shared" ref="K18" si="1">E18*H18</f>
        <v>85929780.382107407</v>
      </c>
      <c r="L18" s="171">
        <f>I18/I$46</f>
        <v>0.40881875784241473</v>
      </c>
      <c r="M18" s="170">
        <f>J18/(J$46+K$46)</f>
        <v>7.4455313431699796E-2</v>
      </c>
      <c r="N18" s="172">
        <f>K18/(K$46+J$46)</f>
        <v>0.30599933273489116</v>
      </c>
      <c r="O18" s="84">
        <v>26238771.240497924</v>
      </c>
      <c r="P18" s="69">
        <v>20906952.400309697</v>
      </c>
      <c r="Q18" s="85">
        <v>25347670.003296923</v>
      </c>
      <c r="R18" s="128">
        <f>R$16*L18</f>
        <v>168386248.94849902</v>
      </c>
      <c r="S18" s="90">
        <f>M18*($S$16+$T$16)</f>
        <v>21429759.922667969</v>
      </c>
      <c r="T18" s="90">
        <f>N18*($S$16+$T$16)</f>
        <v>88072857.862867042</v>
      </c>
      <c r="U18" s="113">
        <f>SUM(R18:T18)</f>
        <v>277888866.73403406</v>
      </c>
      <c r="V18" s="129"/>
      <c r="W18" s="1"/>
      <c r="X18" s="25"/>
      <c r="Y18" s="94">
        <f>ROUND(R18/F18,4)</f>
        <v>5.4707999999999997</v>
      </c>
      <c r="Z18" s="95">
        <f>ROUND(S18/G18,4)</f>
        <v>0.70540000000000003</v>
      </c>
      <c r="AA18" s="96">
        <f>ROUND(T18/H18,4)</f>
        <v>3.5764</v>
      </c>
      <c r="AB18" s="26"/>
      <c r="AC18" s="26"/>
    </row>
    <row r="19" spans="1:29" x14ac:dyDescent="0.2">
      <c r="A19" s="1"/>
      <c r="B19" s="1" t="s">
        <v>51</v>
      </c>
      <c r="C19" s="136">
        <v>0.90576000000000012</v>
      </c>
      <c r="D19" s="140">
        <v>0.11699400000000001</v>
      </c>
      <c r="E19" s="145">
        <v>0.593198</v>
      </c>
      <c r="F19" s="82">
        <v>0</v>
      </c>
      <c r="G19" s="82">
        <v>0</v>
      </c>
      <c r="H19" s="83">
        <v>0</v>
      </c>
      <c r="I19" s="152">
        <f>C19*F19</f>
        <v>0</v>
      </c>
      <c r="J19" s="153">
        <f t="shared" ref="J19" si="2">D19*G19</f>
        <v>0</v>
      </c>
      <c r="K19" s="154">
        <f t="shared" ref="K19" si="3">E19*H19</f>
        <v>0</v>
      </c>
      <c r="L19" s="171">
        <f>I19/I$46</f>
        <v>0</v>
      </c>
      <c r="M19" s="170">
        <f>J19/(J$46+K$46)</f>
        <v>0</v>
      </c>
      <c r="N19" s="172">
        <f>K19/(K$46+J$46)</f>
        <v>0</v>
      </c>
      <c r="O19" s="84">
        <v>0</v>
      </c>
      <c r="P19" s="69">
        <v>0</v>
      </c>
      <c r="Q19" s="85">
        <v>0</v>
      </c>
      <c r="R19" s="128">
        <f>R$16*L19</f>
        <v>0</v>
      </c>
      <c r="S19" s="90">
        <f>M19*($S$16+$T$16)</f>
        <v>0</v>
      </c>
      <c r="T19" s="90">
        <f>N19*($S$16+$T$16)</f>
        <v>0</v>
      </c>
      <c r="U19" s="113">
        <f>SUM(R19:T19)</f>
        <v>0</v>
      </c>
      <c r="V19" s="129"/>
      <c r="W19" s="1"/>
      <c r="X19" s="25"/>
      <c r="Y19" s="94">
        <f>ROUND(Y18*0.17,4)</f>
        <v>0.93</v>
      </c>
      <c r="Z19" s="95">
        <f>ROUND(Z18*0.17,4)</f>
        <v>0.11990000000000001</v>
      </c>
      <c r="AA19" s="96">
        <f>ROUND(AA18*0.17,4)</f>
        <v>0.60799999999999998</v>
      </c>
      <c r="AB19" s="26"/>
      <c r="AC19" s="26"/>
    </row>
    <row r="20" spans="1:29" s="31" customFormat="1" x14ac:dyDescent="0.2">
      <c r="A20" s="4"/>
      <c r="B20" s="5"/>
      <c r="C20" s="138"/>
      <c r="D20" s="142"/>
      <c r="E20" s="147"/>
      <c r="F20" s="32"/>
      <c r="G20" s="32"/>
      <c r="H20" s="33"/>
      <c r="I20" s="155"/>
      <c r="J20" s="156"/>
      <c r="K20" s="157"/>
      <c r="L20" s="173"/>
      <c r="M20" s="156"/>
      <c r="N20" s="157"/>
      <c r="O20" s="64"/>
      <c r="P20" s="32"/>
      <c r="Q20" s="33"/>
      <c r="R20" s="127"/>
      <c r="S20" s="89"/>
      <c r="T20" s="89"/>
      <c r="U20" s="111"/>
      <c r="V20" s="130"/>
      <c r="W20" s="34"/>
      <c r="X20" s="35"/>
      <c r="Y20" s="34"/>
      <c r="Z20" s="36"/>
      <c r="AA20" s="37"/>
      <c r="AB20" s="38"/>
      <c r="AC20" s="38"/>
    </row>
    <row r="21" spans="1:29" x14ac:dyDescent="0.2">
      <c r="A21" s="1"/>
      <c r="B21" s="1" t="s">
        <v>22</v>
      </c>
      <c r="C21" s="136"/>
      <c r="D21" s="140"/>
      <c r="E21" s="145"/>
      <c r="F21" s="114"/>
      <c r="H21" s="25"/>
      <c r="I21" s="158"/>
      <c r="J21" s="159"/>
      <c r="K21" s="160"/>
      <c r="L21" s="174"/>
      <c r="M21" s="159"/>
      <c r="N21" s="160"/>
      <c r="O21" s="1"/>
      <c r="Q21" s="25"/>
      <c r="R21" s="128"/>
      <c r="S21" s="90"/>
      <c r="T21" s="90"/>
      <c r="U21" s="113"/>
      <c r="V21" s="129"/>
      <c r="W21" s="39"/>
      <c r="X21" s="40"/>
      <c r="Y21" s="39"/>
      <c r="Z21" s="115"/>
      <c r="AA21" s="25"/>
      <c r="AB21" s="26"/>
      <c r="AC21" s="26"/>
    </row>
    <row r="22" spans="1:29" s="9" customFormat="1" x14ac:dyDescent="0.2">
      <c r="A22" s="5"/>
      <c r="B22" s="4"/>
      <c r="C22" s="137"/>
      <c r="D22" s="141"/>
      <c r="E22" s="146"/>
      <c r="H22" s="41"/>
      <c r="I22" s="161"/>
      <c r="J22" s="162"/>
      <c r="K22" s="163"/>
      <c r="L22" s="175"/>
      <c r="M22" s="162"/>
      <c r="N22" s="163"/>
      <c r="O22" s="5"/>
      <c r="Q22" s="41"/>
      <c r="R22" s="131"/>
      <c r="S22" s="30"/>
      <c r="T22" s="30"/>
      <c r="U22" s="116"/>
      <c r="V22" s="132"/>
      <c r="W22" s="42"/>
      <c r="X22" s="43"/>
      <c r="Y22" s="42"/>
      <c r="Z22" s="117"/>
      <c r="AA22" s="41"/>
      <c r="AB22" s="26"/>
      <c r="AC22" s="26"/>
    </row>
    <row r="23" spans="1:29" x14ac:dyDescent="0.2">
      <c r="B23" s="1"/>
      <c r="C23" s="136"/>
      <c r="D23" s="140"/>
      <c r="E23" s="145"/>
      <c r="F23" s="29" t="s">
        <v>23</v>
      </c>
      <c r="G23" s="29" t="s">
        <v>24</v>
      </c>
      <c r="H23" s="68"/>
      <c r="I23" s="164"/>
      <c r="J23" s="165"/>
      <c r="K23" s="166"/>
      <c r="L23" s="176"/>
      <c r="M23" s="165"/>
      <c r="N23" s="166"/>
      <c r="O23" s="51" t="s">
        <v>25</v>
      </c>
      <c r="P23" s="29" t="s">
        <v>26</v>
      </c>
      <c r="Q23" s="68"/>
      <c r="R23" s="51"/>
      <c r="S23" s="29"/>
      <c r="T23" s="29"/>
      <c r="V23" s="25"/>
      <c r="W23" s="27" t="s">
        <v>2</v>
      </c>
      <c r="X23" s="28" t="s">
        <v>27</v>
      </c>
      <c r="Y23" s="27" t="s">
        <v>2</v>
      </c>
      <c r="Z23" s="112" t="s">
        <v>27</v>
      </c>
      <c r="AA23" s="28"/>
      <c r="AB23" s="26"/>
      <c r="AC23" s="26"/>
    </row>
    <row r="24" spans="1:29" x14ac:dyDescent="0.2">
      <c r="B24" s="1"/>
      <c r="C24" s="136"/>
      <c r="D24" s="140"/>
      <c r="E24" s="145"/>
      <c r="F24" s="29"/>
      <c r="G24" s="29"/>
      <c r="H24" s="68"/>
      <c r="I24" s="164"/>
      <c r="J24" s="165"/>
      <c r="K24" s="166"/>
      <c r="L24" s="176"/>
      <c r="M24" s="165"/>
      <c r="N24" s="166"/>
      <c r="O24" s="51" t="s">
        <v>28</v>
      </c>
      <c r="P24" s="29" t="s">
        <v>28</v>
      </c>
      <c r="Q24" s="68"/>
      <c r="R24" s="51"/>
      <c r="S24" s="29"/>
      <c r="T24" s="29"/>
      <c r="V24" s="25"/>
      <c r="W24" s="27" t="s">
        <v>29</v>
      </c>
      <c r="X24" s="28" t="s">
        <v>29</v>
      </c>
      <c r="Y24" s="27" t="s">
        <v>5</v>
      </c>
      <c r="Z24" s="112" t="s">
        <v>5</v>
      </c>
      <c r="AA24" s="28"/>
      <c r="AB24" s="26"/>
      <c r="AC24" s="26"/>
    </row>
    <row r="25" spans="1:29" x14ac:dyDescent="0.2">
      <c r="A25" s="2"/>
      <c r="B25" s="3" t="s">
        <v>30</v>
      </c>
      <c r="C25" s="136">
        <v>1.37E-2</v>
      </c>
      <c r="D25" s="140">
        <v>9.7999999999999997E-3</v>
      </c>
      <c r="E25" s="145"/>
      <c r="F25" s="118">
        <v>2149656276.6441803</v>
      </c>
      <c r="G25" s="69"/>
      <c r="H25" s="85"/>
      <c r="I25" s="152">
        <f>C25*F25</f>
        <v>29450290.990025271</v>
      </c>
      <c r="J25" s="153">
        <f>D25*F25</f>
        <v>21066631.511112966</v>
      </c>
      <c r="K25" s="154"/>
      <c r="L25" s="171">
        <f>I25/I$46</f>
        <v>7.3417142931126861E-2</v>
      </c>
      <c r="M25" s="170">
        <f>J25/(J$46+K$46)</f>
        <v>7.5019104630630315E-2</v>
      </c>
      <c r="N25" s="154"/>
      <c r="O25" s="70">
        <v>0.1244466806105696</v>
      </c>
      <c r="P25" s="71">
        <v>0.12107897185091218</v>
      </c>
      <c r="Q25" s="72"/>
      <c r="R25" s="128">
        <f>R$16*L25</f>
        <v>30239408.220729314</v>
      </c>
      <c r="S25" s="90">
        <f>($S$16+$T$16)*M25</f>
        <v>21592030.544907406</v>
      </c>
      <c r="U25" s="8"/>
      <c r="V25" s="133"/>
      <c r="W25" s="92">
        <f>ROUND((R25/$F25),4)</f>
        <v>1.41E-2</v>
      </c>
      <c r="X25" s="93">
        <f>ROUND((S25/$F25),4)</f>
        <v>0.01</v>
      </c>
      <c r="Y25" s="39"/>
      <c r="Z25" s="115"/>
      <c r="AA25" s="25"/>
      <c r="AB25" s="26"/>
      <c r="AC25" s="26"/>
    </row>
    <row r="26" spans="1:29" x14ac:dyDescent="0.2">
      <c r="A26" s="2"/>
      <c r="B26" s="3" t="s">
        <v>31</v>
      </c>
      <c r="C26" s="136">
        <v>1.2800000000000001E-2</v>
      </c>
      <c r="D26" s="140">
        <v>9.1999999999999998E-3</v>
      </c>
      <c r="E26" s="145"/>
      <c r="F26" s="118">
        <v>5493556099.2764759</v>
      </c>
      <c r="G26" s="69"/>
      <c r="H26" s="85"/>
      <c r="I26" s="152">
        <f>C26*F26</f>
        <v>70317518.070738897</v>
      </c>
      <c r="J26" s="153">
        <f t="shared" ref="J26:J43" si="4">D26*F26</f>
        <v>50540716.113343574</v>
      </c>
      <c r="K26" s="154"/>
      <c r="L26" s="171">
        <f>I26/I$46</f>
        <v>0.17529576453115731</v>
      </c>
      <c r="M26" s="170">
        <f t="shared" ref="M26:M45" si="5">J26/(J$46+K$46)</f>
        <v>0.17997748089028004</v>
      </c>
      <c r="N26" s="154"/>
      <c r="O26" s="70">
        <v>0.29556902164240317</v>
      </c>
      <c r="P26" s="71">
        <v>0.29032675572946515</v>
      </c>
      <c r="Q26" s="72"/>
      <c r="R26" s="128">
        <f t="shared" ref="R26:R45" si="6">R$16*L26</f>
        <v>72201668.049044952</v>
      </c>
      <c r="S26" s="90">
        <f t="shared" ref="S26:S45" si="7">($S$16+$T$16)*M26</f>
        <v>51801194.961099662</v>
      </c>
      <c r="U26" s="8"/>
      <c r="V26" s="133"/>
      <c r="W26" s="92">
        <f t="shared" ref="W26:W43" si="8">ROUND((R26/$F26),4)</f>
        <v>1.3100000000000001E-2</v>
      </c>
      <c r="X26" s="93">
        <f>ROUND((S26/$F26),4)</f>
        <v>9.4000000000000004E-3</v>
      </c>
      <c r="Y26" s="39"/>
      <c r="Z26" s="115"/>
      <c r="AA26" s="25"/>
      <c r="AB26" s="26"/>
      <c r="AC26" s="26"/>
    </row>
    <row r="27" spans="1:29" x14ac:dyDescent="0.2">
      <c r="A27" s="2"/>
      <c r="B27" s="3" t="s">
        <v>32</v>
      </c>
      <c r="C27" s="136">
        <v>1.18E-2</v>
      </c>
      <c r="D27" s="140">
        <v>8.6E-3</v>
      </c>
      <c r="E27" s="145"/>
      <c r="F27" s="118">
        <v>5358500178.9455442</v>
      </c>
      <c r="G27" s="69"/>
      <c r="H27" s="85"/>
      <c r="I27" s="152">
        <f t="shared" ref="I27:I43" si="9">C27*F27</f>
        <v>63230302.111557424</v>
      </c>
      <c r="J27" s="153">
        <f t="shared" si="4"/>
        <v>46083101.538931683</v>
      </c>
      <c r="K27" s="154"/>
      <c r="L27" s="171">
        <f t="shared" ref="L27:L45" si="10">I27/I$46</f>
        <v>0.15762792052801244</v>
      </c>
      <c r="M27" s="170">
        <f t="shared" si="5"/>
        <v>0.16410373980431553</v>
      </c>
      <c r="N27" s="154"/>
      <c r="O27" s="70">
        <v>0.26622875583534616</v>
      </c>
      <c r="P27" s="71">
        <v>0.2652565138031362</v>
      </c>
      <c r="Q27" s="72"/>
      <c r="R27" s="128">
        <f t="shared" si="6"/>
        <v>64924550.936322927</v>
      </c>
      <c r="S27" s="90">
        <f t="shared" si="7"/>
        <v>47232408.062380083</v>
      </c>
      <c r="U27" s="8"/>
      <c r="V27" s="133"/>
      <c r="W27" s="92">
        <f t="shared" si="8"/>
        <v>1.21E-2</v>
      </c>
      <c r="X27" s="93">
        <f>ROUND((S27/$F27),4)</f>
        <v>8.8000000000000005E-3</v>
      </c>
      <c r="Y27" s="39"/>
      <c r="Z27" s="115"/>
      <c r="AA27" s="25"/>
      <c r="AB27" s="26"/>
      <c r="AC27" s="26"/>
    </row>
    <row r="28" spans="1:29" x14ac:dyDescent="0.2">
      <c r="A28" s="2"/>
      <c r="B28" s="3" t="s">
        <v>33</v>
      </c>
      <c r="C28" s="136">
        <v>1.01E-2</v>
      </c>
      <c r="D28" s="140">
        <v>7.7999999999999996E-3</v>
      </c>
      <c r="E28" s="145"/>
      <c r="F28" s="118">
        <v>2195850053.913743</v>
      </c>
      <c r="G28" s="69"/>
      <c r="H28" s="85"/>
      <c r="I28" s="152">
        <f t="shared" si="9"/>
        <v>22178085.544528805</v>
      </c>
      <c r="J28" s="153">
        <f t="shared" si="4"/>
        <v>17127630.420527194</v>
      </c>
      <c r="K28" s="154"/>
      <c r="L28" s="171">
        <f t="shared" si="10"/>
        <v>5.5288135418183608E-2</v>
      </c>
      <c r="M28" s="170">
        <f t="shared" si="5"/>
        <v>6.0992166588877406E-2</v>
      </c>
      <c r="N28" s="154"/>
      <c r="O28" s="70">
        <v>9.3417471675062314E-2</v>
      </c>
      <c r="P28" s="71">
        <v>9.8059830164167264E-2</v>
      </c>
      <c r="Q28" s="72"/>
      <c r="R28" s="128">
        <f t="shared" si="6"/>
        <v>22772344.849238005</v>
      </c>
      <c r="S28" s="90">
        <f t="shared" si="7"/>
        <v>17554791.282451712</v>
      </c>
      <c r="U28" s="8"/>
      <c r="V28" s="133"/>
      <c r="W28" s="92">
        <f t="shared" si="8"/>
        <v>1.04E-2</v>
      </c>
      <c r="X28" s="93">
        <f>ROUND((S28/$F28),4)</f>
        <v>8.0000000000000002E-3</v>
      </c>
      <c r="Y28" s="39"/>
      <c r="Z28" s="115"/>
      <c r="AA28" s="25"/>
      <c r="AB28" s="26"/>
      <c r="AC28" s="26"/>
    </row>
    <row r="29" spans="1:29" x14ac:dyDescent="0.2">
      <c r="A29" s="2"/>
      <c r="B29" s="3" t="s">
        <v>34</v>
      </c>
      <c r="C29" s="136">
        <v>3.0836000000000001</v>
      </c>
      <c r="D29" s="140">
        <v>2.3487</v>
      </c>
      <c r="E29" s="145"/>
      <c r="F29" s="118"/>
      <c r="G29" s="69">
        <v>7406962.3714283425</v>
      </c>
      <c r="H29" s="85"/>
      <c r="I29" s="152">
        <f>C29*G29</f>
        <v>22840109.16853644</v>
      </c>
      <c r="J29" s="153">
        <f>D29*G29</f>
        <v>17396732.521773748</v>
      </c>
      <c r="K29" s="154"/>
      <c r="L29" s="171">
        <f t="shared" si="10"/>
        <v>5.6938505631639671E-2</v>
      </c>
      <c r="M29" s="170">
        <f t="shared" si="5"/>
        <v>6.195044977141128E-2</v>
      </c>
      <c r="N29" s="154"/>
      <c r="O29" s="193">
        <v>9.6997945617622802E-2</v>
      </c>
      <c r="P29" s="194">
        <v>0.10030533859014472</v>
      </c>
      <c r="Q29" s="72"/>
      <c r="R29" s="128">
        <f t="shared" si="6"/>
        <v>23452107.321700972</v>
      </c>
      <c r="S29" s="90">
        <f t="shared" si="7"/>
        <v>17830604.754897427</v>
      </c>
      <c r="U29" s="8"/>
      <c r="V29" s="133"/>
      <c r="W29" s="92"/>
      <c r="X29" s="93"/>
      <c r="Y29" s="92">
        <f>ROUND((R29/$G29),4)</f>
        <v>3.1661999999999999</v>
      </c>
      <c r="Z29" s="119">
        <f>ROUND((S29/$G29),4)</f>
        <v>2.4073000000000002</v>
      </c>
      <c r="AA29" s="25"/>
      <c r="AB29" s="26"/>
      <c r="AC29" s="26"/>
    </row>
    <row r="30" spans="1:29" x14ac:dyDescent="0.2">
      <c r="A30" s="2"/>
      <c r="B30" s="3" t="s">
        <v>50</v>
      </c>
      <c r="C30" s="136">
        <v>0.52421200000000001</v>
      </c>
      <c r="D30" s="140">
        <v>0.39927900000000005</v>
      </c>
      <c r="E30" s="145"/>
      <c r="F30" s="118"/>
      <c r="G30" s="69">
        <v>47743.415789990839</v>
      </c>
      <c r="H30" s="85"/>
      <c r="I30" s="152">
        <f>C30*G30</f>
        <v>25027.671478102679</v>
      </c>
      <c r="J30" s="153">
        <f>D30*G30</f>
        <v>19062.943313211756</v>
      </c>
      <c r="K30" s="154"/>
      <c r="L30" s="171">
        <f t="shared" si="10"/>
        <v>6.2391917783206075E-5</v>
      </c>
      <c r="M30" s="170">
        <f t="shared" si="5"/>
        <v>6.788389203215596E-5</v>
      </c>
      <c r="N30" s="154"/>
      <c r="O30" s="193"/>
      <c r="P30" s="194"/>
      <c r="Q30" s="72"/>
      <c r="R30" s="128">
        <f t="shared" si="6"/>
        <v>25698.285117012398</v>
      </c>
      <c r="S30" s="90">
        <f t="shared" si="7"/>
        <v>19538.370625487863</v>
      </c>
      <c r="U30" s="8"/>
      <c r="V30" s="133"/>
      <c r="W30" s="92"/>
      <c r="X30" s="93"/>
      <c r="Y30" s="92">
        <f>ROUND((R30/$G30),4)</f>
        <v>0.5383</v>
      </c>
      <c r="Z30" s="119">
        <f>ROUND((S30/$G30),4)</f>
        <v>0.40920000000000001</v>
      </c>
      <c r="AA30" s="25"/>
      <c r="AB30" s="26"/>
      <c r="AC30" s="26"/>
    </row>
    <row r="31" spans="1:29" x14ac:dyDescent="0.2">
      <c r="A31" s="2"/>
      <c r="B31" s="3" t="s">
        <v>35</v>
      </c>
      <c r="C31" s="136">
        <v>1.0800000000000001E-2</v>
      </c>
      <c r="D31" s="140">
        <v>8.3000000000000001E-3</v>
      </c>
      <c r="E31" s="145"/>
      <c r="F31" s="118">
        <v>586475227.60225427</v>
      </c>
      <c r="G31" s="69"/>
      <c r="H31" s="85"/>
      <c r="I31" s="152">
        <f t="shared" si="9"/>
        <v>6333932.4581043469</v>
      </c>
      <c r="J31" s="153">
        <f t="shared" si="4"/>
        <v>4867744.3890987104</v>
      </c>
      <c r="K31" s="154"/>
      <c r="L31" s="171">
        <f t="shared" si="10"/>
        <v>1.5789970453950735E-2</v>
      </c>
      <c r="M31" s="170">
        <f t="shared" si="5"/>
        <v>1.733422951117387E-2</v>
      </c>
      <c r="N31" s="154"/>
      <c r="O31" s="70">
        <v>2.6676023508898753E-2</v>
      </c>
      <c r="P31" s="71">
        <v>2.7729848121516187E-2</v>
      </c>
      <c r="Q31" s="72"/>
      <c r="R31" s="128">
        <f t="shared" si="6"/>
        <v>6503649.4650601922</v>
      </c>
      <c r="S31" s="90">
        <f t="shared" si="7"/>
        <v>4989145.2973284684</v>
      </c>
      <c r="U31" s="8"/>
      <c r="V31" s="133"/>
      <c r="W31" s="92">
        <f t="shared" si="8"/>
        <v>1.11E-2</v>
      </c>
      <c r="X31" s="93">
        <f>ROUND((S31/$F31),4)</f>
        <v>8.5000000000000006E-3</v>
      </c>
      <c r="Y31" s="92"/>
      <c r="Z31" s="119"/>
      <c r="AA31" s="25"/>
      <c r="AB31" s="26"/>
      <c r="AC31" s="26"/>
    </row>
    <row r="32" spans="1:29" x14ac:dyDescent="0.2">
      <c r="A32" s="2"/>
      <c r="B32" s="3" t="s">
        <v>36</v>
      </c>
      <c r="C32" s="136">
        <v>3.9828000000000001</v>
      </c>
      <c r="D32" s="140">
        <v>2.9815</v>
      </c>
      <c r="E32" s="145"/>
      <c r="F32" s="118"/>
      <c r="G32" s="69">
        <v>2396428.4882394182</v>
      </c>
      <c r="H32" s="85"/>
      <c r="I32" s="152">
        <f>C32*G32</f>
        <v>9544495.3829599544</v>
      </c>
      <c r="J32" s="153">
        <f>D32*G32</f>
        <v>7144951.5376858255</v>
      </c>
      <c r="K32" s="154"/>
      <c r="L32" s="171">
        <f t="shared" si="10"/>
        <v>2.3793638642605825E-2</v>
      </c>
      <c r="M32" s="170">
        <f t="shared" si="5"/>
        <v>2.5443453867016359E-2</v>
      </c>
      <c r="N32" s="154"/>
      <c r="O32" s="193">
        <v>4.0835560784384994E-2</v>
      </c>
      <c r="P32" s="194">
        <v>4.1503433883144675E-2</v>
      </c>
      <c r="Q32" s="72"/>
      <c r="R32" s="128">
        <f t="shared" si="6"/>
        <v>9800239.061948387</v>
      </c>
      <c r="S32" s="90">
        <f t="shared" si="7"/>
        <v>7323145.6942802463</v>
      </c>
      <c r="U32" s="8"/>
      <c r="V32" s="133"/>
      <c r="W32" s="92"/>
      <c r="X32" s="93"/>
      <c r="Y32" s="92">
        <f>ROUND((R32/$G32),4)</f>
        <v>4.0895000000000001</v>
      </c>
      <c r="Z32" s="119">
        <f>ROUND((S32/$G32),4)</f>
        <v>3.0558999999999998</v>
      </c>
      <c r="AA32" s="25"/>
      <c r="AB32" s="26"/>
      <c r="AC32" s="26"/>
    </row>
    <row r="33" spans="1:29" x14ac:dyDescent="0.2">
      <c r="A33" s="2"/>
      <c r="B33" s="3" t="s">
        <v>52</v>
      </c>
      <c r="C33" s="136">
        <v>0.67707600000000012</v>
      </c>
      <c r="D33" s="140">
        <v>0.50685500000000006</v>
      </c>
      <c r="E33" s="145"/>
      <c r="F33" s="118"/>
      <c r="G33" s="69">
        <v>33409.922052003538</v>
      </c>
      <c r="H33" s="85"/>
      <c r="I33" s="152">
        <f>C33*G33</f>
        <v>22621.05638328235</v>
      </c>
      <c r="J33" s="153">
        <f>D33*G33</f>
        <v>16933.986041668257</v>
      </c>
      <c r="K33" s="154"/>
      <c r="L33" s="171">
        <f t="shared" si="10"/>
        <v>5.6392425131113959E-5</v>
      </c>
      <c r="M33" s="170">
        <f t="shared" si="5"/>
        <v>6.0302591328063223E-5</v>
      </c>
      <c r="N33" s="154"/>
      <c r="O33" s="193"/>
      <c r="P33" s="194"/>
      <c r="Q33" s="72"/>
      <c r="R33" s="128">
        <f t="shared" si="6"/>
        <v>23227.185041733359</v>
      </c>
      <c r="S33" s="90">
        <f t="shared" si="7"/>
        <v>17356.317438118025</v>
      </c>
      <c r="U33" s="8"/>
      <c r="V33" s="133"/>
      <c r="W33" s="92"/>
      <c r="X33" s="93"/>
      <c r="Y33" s="92">
        <f>ROUND((R33/$G33),4)</f>
        <v>0.69520000000000004</v>
      </c>
      <c r="Z33" s="119">
        <f>ROUND((S33/$G33),4)</f>
        <v>0.51949999999999996</v>
      </c>
      <c r="AA33" s="25"/>
      <c r="AB33" s="26"/>
      <c r="AC33" s="26"/>
    </row>
    <row r="34" spans="1:29" x14ac:dyDescent="0.2">
      <c r="A34" s="2"/>
      <c r="B34" s="3" t="s">
        <v>37</v>
      </c>
      <c r="C34" s="136">
        <v>8.5000000000000006E-3</v>
      </c>
      <c r="D34" s="140">
        <v>6.1999999999999998E-3</v>
      </c>
      <c r="E34" s="145"/>
      <c r="F34" s="118">
        <v>35792087.191938139</v>
      </c>
      <c r="G34" s="69"/>
      <c r="H34" s="85"/>
      <c r="I34" s="152">
        <f t="shared" si="9"/>
        <v>304232.74113147421</v>
      </c>
      <c r="J34" s="153">
        <f t="shared" si="4"/>
        <v>221910.94059001646</v>
      </c>
      <c r="K34" s="154"/>
      <c r="L34" s="171">
        <f t="shared" si="10"/>
        <v>7.5842709491539715E-4</v>
      </c>
      <c r="M34" s="170">
        <f t="shared" si="5"/>
        <v>7.9023360056505439E-4</v>
      </c>
      <c r="N34" s="154"/>
      <c r="O34" s="70">
        <v>1.2882878362542921E-3</v>
      </c>
      <c r="P34" s="71">
        <v>1.2733764411705585E-3</v>
      </c>
      <c r="Q34" s="72"/>
      <c r="R34" s="128">
        <f t="shared" si="6"/>
        <v>312384.62317068677</v>
      </c>
      <c r="S34" s="90">
        <f t="shared" si="7"/>
        <v>227445.37041629912</v>
      </c>
      <c r="U34" s="8"/>
      <c r="V34" s="133"/>
      <c r="W34" s="92">
        <f t="shared" si="8"/>
        <v>8.6999999999999994E-3</v>
      </c>
      <c r="X34" s="93">
        <f>ROUND((S34/$F34),4)</f>
        <v>6.4000000000000003E-3</v>
      </c>
      <c r="Y34" s="92"/>
      <c r="Z34" s="119"/>
      <c r="AA34" s="25"/>
      <c r="AB34" s="26"/>
      <c r="AC34" s="26"/>
    </row>
    <row r="35" spans="1:29" x14ac:dyDescent="0.2">
      <c r="A35" s="44"/>
      <c r="B35" s="3" t="s">
        <v>38</v>
      </c>
      <c r="C35" s="136">
        <v>1.6922999999999999</v>
      </c>
      <c r="D35" s="140">
        <v>1.0078</v>
      </c>
      <c r="E35" s="145"/>
      <c r="F35" s="118"/>
      <c r="G35" s="69">
        <v>224270.04355807469</v>
      </c>
      <c r="H35" s="85"/>
      <c r="I35" s="152">
        <f>C35*G35</f>
        <v>379532.19471332978</v>
      </c>
      <c r="J35" s="153">
        <f>D35*G35</f>
        <v>226019.34989782766</v>
      </c>
      <c r="K35" s="154"/>
      <c r="L35" s="171">
        <f t="shared" si="10"/>
        <v>9.4614241318261743E-4</v>
      </c>
      <c r="M35" s="170">
        <f t="shared" si="5"/>
        <v>8.0486380794137652E-4</v>
      </c>
      <c r="N35" s="154"/>
      <c r="O35" s="70">
        <v>1.6014695366219902E-3</v>
      </c>
      <c r="P35" s="71">
        <v>1.2948075309476674E-3</v>
      </c>
      <c r="Q35" s="72"/>
      <c r="R35" s="128">
        <f t="shared" si="6"/>
        <v>389701.717131857</v>
      </c>
      <c r="S35" s="90">
        <f t="shared" si="7"/>
        <v>231656.24291475461</v>
      </c>
      <c r="U35" s="8"/>
      <c r="V35" s="133"/>
      <c r="W35" s="92"/>
      <c r="X35" s="93"/>
      <c r="Y35" s="92">
        <f>ROUND((R35/$G35),4)</f>
        <v>1.7376</v>
      </c>
      <c r="Z35" s="119">
        <f>ROUND((S35/$G35),4)</f>
        <v>1.0328999999999999</v>
      </c>
      <c r="AA35" s="25"/>
      <c r="AB35" s="26"/>
      <c r="AC35" s="26"/>
    </row>
    <row r="36" spans="1:29" x14ac:dyDescent="0.2">
      <c r="A36" s="44"/>
      <c r="B36" s="3" t="s">
        <v>39</v>
      </c>
      <c r="C36" s="136">
        <v>7.4000000000000003E-3</v>
      </c>
      <c r="D36" s="140">
        <v>5.7000000000000002E-3</v>
      </c>
      <c r="E36" s="145"/>
      <c r="F36" s="118">
        <v>91425235.739970684</v>
      </c>
      <c r="G36" s="69"/>
      <c r="H36" s="85"/>
      <c r="I36" s="152">
        <f t="shared" si="9"/>
        <v>676546.74447578308</v>
      </c>
      <c r="J36" s="153">
        <f t="shared" si="4"/>
        <v>521123.84371783293</v>
      </c>
      <c r="K36" s="154"/>
      <c r="L36" s="171">
        <f t="shared" si="10"/>
        <v>1.6865751532163216E-3</v>
      </c>
      <c r="M36" s="170">
        <f t="shared" si="5"/>
        <v>1.8557425346696526E-3</v>
      </c>
      <c r="N36" s="154"/>
      <c r="O36" s="70">
        <v>2.8479415805666435E-3</v>
      </c>
      <c r="P36" s="71">
        <v>2.9979437281685739E-3</v>
      </c>
      <c r="Q36" s="72"/>
      <c r="R36" s="128">
        <f t="shared" si="6"/>
        <v>694674.7383086246</v>
      </c>
      <c r="S36" s="90">
        <f t="shared" si="7"/>
        <v>534120.60420287587</v>
      </c>
      <c r="T36" s="115"/>
      <c r="U36" s="8"/>
      <c r="V36" s="133"/>
      <c r="W36" s="92">
        <f t="shared" si="8"/>
        <v>7.6E-3</v>
      </c>
      <c r="X36" s="93">
        <f>ROUND((S36/$F36),4)</f>
        <v>5.7999999999999996E-3</v>
      </c>
      <c r="Y36" s="92"/>
      <c r="Z36" s="119"/>
      <c r="AA36" s="25"/>
      <c r="AB36" s="26"/>
      <c r="AC36" s="26"/>
    </row>
    <row r="37" spans="1:29" x14ac:dyDescent="0.2">
      <c r="A37" s="44"/>
      <c r="B37" s="3" t="s">
        <v>40</v>
      </c>
      <c r="C37" s="136">
        <v>7.4000000000000003E-3</v>
      </c>
      <c r="D37" s="140">
        <v>5.7000000000000002E-3</v>
      </c>
      <c r="E37" s="145"/>
      <c r="F37" s="118">
        <v>12485617.699860625</v>
      </c>
      <c r="G37" s="69"/>
      <c r="H37" s="85"/>
      <c r="I37" s="152">
        <f t="shared" si="9"/>
        <v>92393.570978968623</v>
      </c>
      <c r="J37" s="153">
        <f t="shared" si="4"/>
        <v>71168.020889205567</v>
      </c>
      <c r="K37" s="154"/>
      <c r="L37" s="171">
        <f t="shared" si="10"/>
        <v>2.3032954101464154E-4</v>
      </c>
      <c r="M37" s="170">
        <f t="shared" si="5"/>
        <v>2.534321257114985E-4</v>
      </c>
      <c r="N37" s="154"/>
      <c r="O37" s="70">
        <v>3.9084616435015239E-4</v>
      </c>
      <c r="P37" s="71">
        <v>4.0965236982100665E-4</v>
      </c>
      <c r="Q37" s="72"/>
      <c r="R37" s="128">
        <f t="shared" si="6"/>
        <v>94869.246308984046</v>
      </c>
      <c r="S37" s="90">
        <f t="shared" si="7"/>
        <v>72942.942019454917</v>
      </c>
      <c r="U37" s="8"/>
      <c r="V37" s="133"/>
      <c r="W37" s="92">
        <f t="shared" si="8"/>
        <v>7.6E-3</v>
      </c>
      <c r="X37" s="93">
        <f>ROUND((S37/$F37),4)</f>
        <v>5.7999999999999996E-3</v>
      </c>
      <c r="Y37" s="92"/>
      <c r="Z37" s="119"/>
      <c r="AA37" s="25"/>
      <c r="AB37" s="26"/>
      <c r="AC37" s="26"/>
    </row>
    <row r="38" spans="1:29" x14ac:dyDescent="0.2">
      <c r="A38" s="44"/>
      <c r="B38" s="3" t="s">
        <v>41</v>
      </c>
      <c r="C38" s="136">
        <v>1.41E-2</v>
      </c>
      <c r="D38" s="140">
        <v>1.01E-2</v>
      </c>
      <c r="E38" s="145"/>
      <c r="F38" s="118">
        <v>123206495.58779468</v>
      </c>
      <c r="G38" s="69"/>
      <c r="H38" s="85"/>
      <c r="I38" s="152">
        <f t="shared" si="9"/>
        <v>1737211.587787905</v>
      </c>
      <c r="J38" s="153">
        <f t="shared" si="4"/>
        <v>1244385.6054367262</v>
      </c>
      <c r="K38" s="154"/>
      <c r="L38" s="171">
        <f t="shared" si="10"/>
        <v>4.3307249998117935E-3</v>
      </c>
      <c r="M38" s="170">
        <f t="shared" si="5"/>
        <v>4.4313061576010887E-3</v>
      </c>
      <c r="N38" s="154"/>
      <c r="O38" s="70">
        <v>7.3494526000513457E-3</v>
      </c>
      <c r="P38" s="71">
        <v>7.1332073365697416E-3</v>
      </c>
      <c r="Q38" s="73"/>
      <c r="R38" s="128">
        <f t="shared" si="6"/>
        <v>1783759.9766566763</v>
      </c>
      <c r="S38" s="90">
        <f t="shared" si="7"/>
        <v>1275420.4196365795</v>
      </c>
      <c r="U38" s="8"/>
      <c r="V38" s="133"/>
      <c r="W38" s="92">
        <f t="shared" si="8"/>
        <v>1.4500000000000001E-2</v>
      </c>
      <c r="X38" s="93">
        <f>ROUND((S38/$F38),4)</f>
        <v>1.04E-2</v>
      </c>
      <c r="Y38" s="92"/>
      <c r="Z38" s="119"/>
      <c r="AA38" s="25"/>
      <c r="AB38" s="26"/>
      <c r="AC38" s="26"/>
    </row>
    <row r="39" spans="1:29" x14ac:dyDescent="0.2">
      <c r="A39" s="44"/>
      <c r="B39" s="3" t="s">
        <v>42</v>
      </c>
      <c r="C39" s="136">
        <v>1.09E-2</v>
      </c>
      <c r="D39" s="140">
        <v>8.2000000000000007E-3</v>
      </c>
      <c r="E39" s="145"/>
      <c r="F39" s="118">
        <v>42685254.588755839</v>
      </c>
      <c r="G39" s="69"/>
      <c r="H39" s="85"/>
      <c r="I39" s="152">
        <f t="shared" si="9"/>
        <v>465269.27501743863</v>
      </c>
      <c r="J39" s="153">
        <f t="shared" si="4"/>
        <v>350019.08762779791</v>
      </c>
      <c r="K39" s="154"/>
      <c r="L39" s="171">
        <f t="shared" si="10"/>
        <v>1.1598778727512924E-3</v>
      </c>
      <c r="M39" s="170">
        <f t="shared" si="5"/>
        <v>1.2464317583765576E-3</v>
      </c>
      <c r="N39" s="154"/>
      <c r="O39" s="70">
        <v>1.9575506890283003E-3</v>
      </c>
      <c r="P39" s="71">
        <v>2.0153295413912406E-3</v>
      </c>
      <c r="Q39" s="73"/>
      <c r="R39" s="128">
        <f t="shared" si="6"/>
        <v>477736.11284793046</v>
      </c>
      <c r="S39" s="90">
        <f t="shared" si="7"/>
        <v>358748.51788114646</v>
      </c>
      <c r="U39" s="8"/>
      <c r="V39" s="133"/>
      <c r="W39" s="92">
        <f t="shared" si="8"/>
        <v>1.12E-2</v>
      </c>
      <c r="X39" s="93">
        <f>ROUND((S39/$F39),4)</f>
        <v>8.3999999999999995E-3</v>
      </c>
      <c r="Y39" s="92"/>
      <c r="Z39" s="119"/>
      <c r="AA39" s="25"/>
      <c r="AB39" s="26"/>
      <c r="AC39" s="26"/>
    </row>
    <row r="40" spans="1:29" x14ac:dyDescent="0.2">
      <c r="A40" s="44"/>
      <c r="B40" s="3" t="s">
        <v>43</v>
      </c>
      <c r="C40" s="136">
        <v>3.6695000000000002</v>
      </c>
      <c r="D40" s="140">
        <v>2.7383999999999999</v>
      </c>
      <c r="E40" s="145"/>
      <c r="F40" s="118"/>
      <c r="G40" s="69">
        <v>336990.0299962103</v>
      </c>
      <c r="H40" s="85"/>
      <c r="I40" s="152">
        <f>C40*G40</f>
        <v>1236584.9150710937</v>
      </c>
      <c r="J40" s="153">
        <f>D40*G40</f>
        <v>922813.49814162229</v>
      </c>
      <c r="K40" s="154"/>
      <c r="L40" s="171">
        <f t="shared" si="10"/>
        <v>3.0827040550125292E-3</v>
      </c>
      <c r="M40" s="170">
        <f t="shared" si="5"/>
        <v>3.286175216722483E-3</v>
      </c>
      <c r="N40" s="154"/>
      <c r="O40" s="193">
        <v>5.3429559610113347E-3</v>
      </c>
      <c r="P40" s="194">
        <v>5.4132155058701607E-3</v>
      </c>
      <c r="Q40" s="73"/>
      <c r="R40" s="128">
        <f t="shared" si="6"/>
        <v>1269719.0686195868</v>
      </c>
      <c r="S40" s="90">
        <f t="shared" si="7"/>
        <v>945828.34605597972</v>
      </c>
      <c r="U40" s="8"/>
      <c r="V40" s="133"/>
      <c r="W40" s="92"/>
      <c r="X40" s="93"/>
      <c r="Y40" s="92">
        <f>ROUND((R40/$G40),4)</f>
        <v>3.7677999999999998</v>
      </c>
      <c r="Z40" s="119">
        <f>ROUND((S40/$G40),4)</f>
        <v>2.8067000000000002</v>
      </c>
      <c r="AA40" s="25"/>
      <c r="AB40" s="26"/>
      <c r="AC40" s="26"/>
    </row>
    <row r="41" spans="1:29" x14ac:dyDescent="0.2">
      <c r="A41" s="44"/>
      <c r="B41" s="3" t="s">
        <v>53</v>
      </c>
      <c r="C41" s="136">
        <v>0.62381500000000012</v>
      </c>
      <c r="D41" s="140">
        <v>0.465528</v>
      </c>
      <c r="E41" s="145"/>
      <c r="F41" s="118"/>
      <c r="G41" s="69">
        <v>8071.9505513610384</v>
      </c>
      <c r="H41" s="85"/>
      <c r="I41" s="152">
        <f>C41*G41</f>
        <v>5035.403833197287</v>
      </c>
      <c r="J41" s="153">
        <f>D41*G41</f>
        <v>3757.7189962740013</v>
      </c>
      <c r="K41" s="154"/>
      <c r="L41" s="171">
        <f t="shared" si="10"/>
        <v>1.2552845846684521E-5</v>
      </c>
      <c r="M41" s="170">
        <f t="shared" si="5"/>
        <v>1.3381385363164469E-5</v>
      </c>
      <c r="N41" s="154"/>
      <c r="O41" s="193"/>
      <c r="P41" s="194"/>
      <c r="Q41" s="73"/>
      <c r="R41" s="128">
        <f t="shared" si="6"/>
        <v>5170.326911875015</v>
      </c>
      <c r="S41" s="90">
        <f t="shared" si="7"/>
        <v>3851.4360164284526</v>
      </c>
      <c r="U41" s="8"/>
      <c r="V41" s="133"/>
      <c r="W41" s="92"/>
      <c r="X41" s="93"/>
      <c r="Y41" s="92">
        <f>ROUND((R41/$G41),4)</f>
        <v>0.64049999999999996</v>
      </c>
      <c r="Z41" s="119">
        <f>ROUND((S41/$G41),4)</f>
        <v>0.47710000000000002</v>
      </c>
      <c r="AA41" s="25"/>
      <c r="AB41" s="26"/>
      <c r="AC41" s="26"/>
    </row>
    <row r="42" spans="1:29" x14ac:dyDescent="0.2">
      <c r="A42" s="44"/>
      <c r="B42" s="3" t="s">
        <v>44</v>
      </c>
      <c r="C42" s="136">
        <v>1.35E-2</v>
      </c>
      <c r="D42" s="140">
        <v>9.7999999999999997E-3</v>
      </c>
      <c r="E42" s="145"/>
      <c r="F42" s="118">
        <v>357623068.74825633</v>
      </c>
      <c r="G42" s="69"/>
      <c r="H42" s="85"/>
      <c r="I42" s="152">
        <f t="shared" si="9"/>
        <v>4827911.4281014604</v>
      </c>
      <c r="J42" s="153">
        <f t="shared" si="4"/>
        <v>3504706.0737329121</v>
      </c>
      <c r="K42" s="154"/>
      <c r="L42" s="171">
        <f t="shared" si="10"/>
        <v>1.2035584419040119E-2</v>
      </c>
      <c r="M42" s="170">
        <f t="shared" si="5"/>
        <v>1.2480396379757279E-2</v>
      </c>
      <c r="N42" s="154"/>
      <c r="O42" s="70">
        <v>2.0345006967408711E-2</v>
      </c>
      <c r="P42" s="71">
        <v>1.9999699048707284E-2</v>
      </c>
      <c r="Q42" s="73"/>
      <c r="R42" s="128">
        <f t="shared" si="6"/>
        <v>4957274.7711501997</v>
      </c>
      <c r="S42" s="90">
        <f t="shared" si="7"/>
        <v>3592112.9847002123</v>
      </c>
      <c r="U42" s="8"/>
      <c r="V42" s="133"/>
      <c r="W42" s="92">
        <f t="shared" si="8"/>
        <v>1.3899999999999999E-2</v>
      </c>
      <c r="X42" s="93">
        <f>ROUND((S42/$F42),4)</f>
        <v>0.01</v>
      </c>
      <c r="Y42" s="92"/>
      <c r="Z42" s="119"/>
      <c r="AA42" s="25"/>
      <c r="AB42" s="26"/>
      <c r="AC42" s="26"/>
    </row>
    <row r="43" spans="1:29" x14ac:dyDescent="0.2">
      <c r="A43" s="44"/>
      <c r="B43" s="3" t="s">
        <v>45</v>
      </c>
      <c r="C43" s="136">
        <v>1.0699999999999999E-2</v>
      </c>
      <c r="D43" s="140">
        <v>8.0999999999999996E-3</v>
      </c>
      <c r="E43" s="145"/>
      <c r="F43" s="118">
        <v>124866497.45385723</v>
      </c>
      <c r="G43" s="69"/>
      <c r="H43" s="85"/>
      <c r="I43" s="152">
        <f t="shared" si="9"/>
        <v>1336071.5227562722</v>
      </c>
      <c r="J43" s="153">
        <f t="shared" si="4"/>
        <v>1011418.6293762435</v>
      </c>
      <c r="K43" s="154"/>
      <c r="L43" s="171">
        <f t="shared" si="10"/>
        <v>3.3307159506718812E-3</v>
      </c>
      <c r="M43" s="170">
        <f t="shared" si="5"/>
        <v>3.6017015792258731E-3</v>
      </c>
      <c r="N43" s="154"/>
      <c r="O43" s="70">
        <v>5.6242158051080264E-3</v>
      </c>
      <c r="P43" s="71">
        <v>5.770506389851434E-3</v>
      </c>
      <c r="Q43" s="73"/>
      <c r="R43" s="128">
        <f t="shared" si="6"/>
        <v>1371871.4087545825</v>
      </c>
      <c r="S43" s="90">
        <f t="shared" si="7"/>
        <v>1036643.277671613</v>
      </c>
      <c r="V43" s="25"/>
      <c r="W43" s="92">
        <f t="shared" si="8"/>
        <v>1.0999999999999999E-2</v>
      </c>
      <c r="X43" s="93">
        <f>ROUND((S43/$F43),4)</f>
        <v>8.3000000000000001E-3</v>
      </c>
      <c r="Y43" s="92"/>
      <c r="Z43" s="119"/>
      <c r="AA43" s="25"/>
      <c r="AB43" s="26"/>
      <c r="AC43" s="26"/>
    </row>
    <row r="44" spans="1:29" x14ac:dyDescent="0.2">
      <c r="A44" s="44"/>
      <c r="B44" s="3" t="s">
        <v>46</v>
      </c>
      <c r="C44" s="136">
        <v>3.1602999999999999</v>
      </c>
      <c r="D44" s="140">
        <v>2.4176000000000002</v>
      </c>
      <c r="E44" s="145"/>
      <c r="F44" s="118"/>
      <c r="G44" s="69">
        <v>676813.31412026472</v>
      </c>
      <c r="H44" s="85"/>
      <c r="I44" s="152">
        <f>C44*G44</f>
        <v>2138933.1166142724</v>
      </c>
      <c r="J44" s="153">
        <f>D44*G44</f>
        <v>1636263.8682171521</v>
      </c>
      <c r="K44" s="154"/>
      <c r="L44" s="171">
        <f t="shared" si="10"/>
        <v>5.3321835901647885E-3</v>
      </c>
      <c r="M44" s="170">
        <f t="shared" si="5"/>
        <v>5.8268000875388833E-3</v>
      </c>
      <c r="N44" s="154"/>
      <c r="O44" s="193">
        <v>9.0808131853113705E-3</v>
      </c>
      <c r="P44" s="194">
        <v>9.4315699650159377E-3</v>
      </c>
      <c r="Q44" s="73"/>
      <c r="R44" s="128">
        <f t="shared" si="6"/>
        <v>2196245.5886104065</v>
      </c>
      <c r="S44" s="90">
        <f t="shared" si="7"/>
        <v>1677072.0750223333</v>
      </c>
      <c r="V44" s="25"/>
      <c r="W44" s="39"/>
      <c r="X44" s="40"/>
      <c r="Y44" s="92">
        <f>ROUND((R44/$G44),4)</f>
        <v>3.2450000000000001</v>
      </c>
      <c r="Z44" s="119">
        <f>ROUND((S44/$G44),4)</f>
        <v>2.4779</v>
      </c>
      <c r="AA44" s="25"/>
      <c r="AB44" s="26"/>
      <c r="AC44" s="26"/>
    </row>
    <row r="45" spans="1:29" ht="13.5" thickBot="1" x14ac:dyDescent="0.25">
      <c r="B45" s="59" t="s">
        <v>54</v>
      </c>
      <c r="C45" s="139">
        <v>0.53725100000000003</v>
      </c>
      <c r="D45" s="148">
        <v>0.41099200000000008</v>
      </c>
      <c r="E45" s="149"/>
      <c r="F45" s="120"/>
      <c r="G45" s="134">
        <v>4152.6539842964739</v>
      </c>
      <c r="H45" s="46"/>
      <c r="I45" s="167">
        <f>C45*G45</f>
        <v>2231.0175057172651</v>
      </c>
      <c r="J45" s="168">
        <f>D45*G45</f>
        <v>1706.7075663139767</v>
      </c>
      <c r="K45" s="169"/>
      <c r="L45" s="177">
        <f t="shared" si="10"/>
        <v>5.5617423663001311E-6</v>
      </c>
      <c r="M45" s="178">
        <f t="shared" si="5"/>
        <v>6.0776528712554686E-6</v>
      </c>
      <c r="N45" s="169"/>
      <c r="O45" s="204"/>
      <c r="P45" s="205"/>
      <c r="Q45" s="46"/>
      <c r="R45" s="180">
        <f t="shared" si="6"/>
        <v>2290.7973685498646</v>
      </c>
      <c r="S45" s="91">
        <f t="shared" si="7"/>
        <v>1749.2726297337265</v>
      </c>
      <c r="T45" s="45"/>
      <c r="U45" s="45"/>
      <c r="V45" s="46"/>
      <c r="W45" s="59"/>
      <c r="X45" s="46"/>
      <c r="Y45" s="97">
        <f>ROUND((R45/$G45),4)</f>
        <v>0.55159999999999998</v>
      </c>
      <c r="Z45" s="98">
        <f>ROUND((S45/$G45),4)</f>
        <v>0.42120000000000002</v>
      </c>
      <c r="AA45" s="46"/>
    </row>
    <row r="46" spans="1:29" x14ac:dyDescent="0.2">
      <c r="B46" s="6" t="s">
        <v>59</v>
      </c>
      <c r="F46" s="47"/>
      <c r="I46" s="165">
        <f>SUM(I18:I45)</f>
        <v>401136435.09190756</v>
      </c>
      <c r="J46" s="165">
        <f t="shared" ref="J46:K46" si="11">SUM(J18:J45)</f>
        <v>194887107.7271044</v>
      </c>
      <c r="K46" s="165">
        <f t="shared" si="11"/>
        <v>85929780.382107407</v>
      </c>
      <c r="R46" s="165">
        <f>SUM(R18:R45)</f>
        <v>411884840.69854236</v>
      </c>
      <c r="S46" s="165">
        <f>SUM(S18:S45)</f>
        <v>199747566.69724402</v>
      </c>
      <c r="T46" s="165">
        <f>SUM(T18:T45)</f>
        <v>88072857.862867042</v>
      </c>
      <c r="U46" s="113">
        <f>SUM(R46:T46)</f>
        <v>699705265.2586534</v>
      </c>
      <c r="W46" s="99"/>
      <c r="X46" s="99"/>
    </row>
    <row r="47" spans="1:29" x14ac:dyDescent="0.2">
      <c r="F47" s="47"/>
      <c r="W47" s="99"/>
      <c r="X47" s="99"/>
    </row>
    <row r="48" spans="1:29" x14ac:dyDescent="0.2">
      <c r="F48" s="47"/>
      <c r="W48" s="99"/>
      <c r="X48" s="99"/>
    </row>
    <row r="49" spans="8:14" x14ac:dyDescent="0.2">
      <c r="H49" s="48"/>
      <c r="I49" s="48"/>
      <c r="J49" s="48"/>
      <c r="K49" s="48"/>
      <c r="L49" s="48"/>
      <c r="M49" s="48"/>
      <c r="N49" s="48"/>
    </row>
    <row r="50" spans="8:14" x14ac:dyDescent="0.2">
      <c r="H50" s="48"/>
      <c r="I50" s="48"/>
      <c r="J50" s="48"/>
      <c r="K50" s="48"/>
      <c r="L50" s="48"/>
      <c r="M50" s="48"/>
      <c r="N50" s="48"/>
    </row>
  </sheetData>
  <mergeCells count="17">
    <mergeCell ref="R12:V12"/>
    <mergeCell ref="W12:AA12"/>
    <mergeCell ref="W13:X13"/>
    <mergeCell ref="Y13:AA13"/>
    <mergeCell ref="O44:O45"/>
    <mergeCell ref="P44:P45"/>
    <mergeCell ref="O29:O30"/>
    <mergeCell ref="P29:P30"/>
    <mergeCell ref="O32:O33"/>
    <mergeCell ref="P32:P33"/>
    <mergeCell ref="C12:E12"/>
    <mergeCell ref="I12:K12"/>
    <mergeCell ref="L12:N12"/>
    <mergeCell ref="O40:O41"/>
    <mergeCell ref="P40:P41"/>
    <mergeCell ref="F12:H12"/>
    <mergeCell ref="O12:Q12"/>
  </mergeCells>
  <pageMargins left="0.75" right="0.75" top="1" bottom="1" header="0.5" footer="0.5"/>
  <pageSetup paperSize="17" orientation="landscape" r:id="rId1"/>
  <headerFooter alignWithMargins="0"/>
  <ignoredErrors>
    <ignoredError sqref="I31:J31 I34:J34 I35:J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b86ebaa08207840992d73a43f20d557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f4d950e9645e90f308b7eb7be4dbf2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2025-12-19T05:00:00+00:00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Attachmen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02ACF-5E42-417D-8FD2-618AEF34A891}"/>
</file>

<file path=customXml/itemProps2.xml><?xml version="1.0" encoding="utf-8"?>
<ds:datastoreItem xmlns:ds="http://schemas.openxmlformats.org/officeDocument/2006/customXml" ds:itemID="{CB04C6F6-2B0E-439D-B58D-99D0B050A138}">
  <ds:schemaRefs>
    <ds:schemaRef ds:uri="7e651a3a-8d05-4ee0-9344-b668032e30e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customXml/itemProps3.xml><?xml version="1.0" encoding="utf-8"?>
<ds:datastoreItem xmlns:ds="http://schemas.openxmlformats.org/officeDocument/2006/customXml" ds:itemID="{AEE30962-8488-4232-9091-8D5C0F952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HONI_Dx_A-04-04-01_2026 Retail Transmission Service Rates_20251125</dc:title>
  <dc:subject/>
  <dc:creator>SHETH Nikita</dc:creator>
  <cp:keywords/>
  <dc:description/>
  <cp:lastModifiedBy>Nikita Sheth</cp:lastModifiedBy>
  <cp:revision/>
  <dcterms:created xsi:type="dcterms:W3CDTF">2022-10-01T02:51:43Z</dcterms:created>
  <dcterms:modified xsi:type="dcterms:W3CDTF">2025-11-20T16:24:03Z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